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annah Nevel\Documents\Interest Calculator\12-13-2023 Scripts V3\"/>
    </mc:Choice>
  </mc:AlternateContent>
  <xr:revisionPtr revIDLastSave="0" documentId="13_ncr:1_{857E4349-256C-461B-8A8B-D6EA846F1487}" xr6:coauthVersionLast="47" xr6:coauthVersionMax="47" xr10:uidLastSave="{00000000-0000-0000-0000-000000000000}"/>
  <bookViews>
    <workbookView xWindow="-96" yWindow="-96" windowWidth="23232" windowHeight="12432" activeTab="1" xr2:uid="{037550D1-AE38-4322-857F-E1119717FF7D}"/>
  </bookViews>
  <sheets>
    <sheet name="Compare Offerings" sheetId="3" r:id="rId1"/>
    <sheet name="Drill Down" sheetId="4" r:id="rId2"/>
    <sheet name="Payment Schedule" sheetId="6" r:id="rId3"/>
  </sheets>
  <definedNames>
    <definedName name="bprice">'Drill Down'!$B$24</definedName>
    <definedName name="Discount" localSheetId="0">'Compare Offerings'!$B$25</definedName>
    <definedName name="Discount" localSheetId="1">'Drill Down'!$B$25</definedName>
    <definedName name="Earnest_Payment">#REF!</definedName>
    <definedName name="Interest_Rate">#REF!</definedName>
    <definedName name="Interest_Type" localSheetId="1">'Drill Down'!$B$10</definedName>
    <definedName name="Interest_Type">'Compare Offerings'!$B$10</definedName>
    <definedName name="Investment_Amount" localSheetId="0">'Compare Offerings'!$B$7</definedName>
    <definedName name="Investment_Amount" localSheetId="1">'Drill Down'!$B$7</definedName>
    <definedName name="lift">'Drill Down'!$B$23</definedName>
    <definedName name="Mineral_Value">#REF!</definedName>
    <definedName name="Payment" localSheetId="0">'Compare Offerings'!#REF!</definedName>
    <definedName name="Payment" localSheetId="1">'Drill Down'!#REF!</definedName>
    <definedName name="Payment">#REF!</definedName>
    <definedName name="_xlnm.Print_Area" localSheetId="0">'Compare Offerings'!$D$1:$S$134</definedName>
    <definedName name="_xlnm.Print_Area" localSheetId="1">'Drill Down'!$D$1:$S$136</definedName>
    <definedName name="Rate" localSheetId="0">'Compare Offerings'!$B$9</definedName>
    <definedName name="Rate" localSheetId="1">'Drill Down'!$B$9</definedName>
    <definedName name="Years" localSheetId="0">'Compare Offerings'!$B$8</definedName>
    <definedName name="Years" localSheetId="1">'Drill Down'!$B$8</definedName>
    <definedName name="Years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4" i="4" l="1"/>
  <c r="B9" i="3" l="1"/>
  <c r="K9" i="3" s="1"/>
  <c r="F10" i="3"/>
  <c r="F10" i="4"/>
  <c r="H10" i="4"/>
  <c r="H10" i="3"/>
  <c r="B9" i="4" l="1"/>
  <c r="K12" i="3"/>
  <c r="B7" i="4"/>
  <c r="K12" i="4" l="1"/>
  <c r="K18" i="4"/>
  <c r="J18" i="4"/>
  <c r="H18" i="4"/>
  <c r="G18" i="4"/>
  <c r="F18" i="4"/>
  <c r="B17" i="3" l="1"/>
  <c r="B25" i="4" l="1"/>
  <c r="B15" i="3"/>
  <c r="S137" i="4"/>
  <c r="R137" i="4"/>
  <c r="Q137" i="4"/>
  <c r="P137" i="4"/>
  <c r="O137" i="4"/>
  <c r="K136" i="4"/>
  <c r="J136" i="4"/>
  <c r="I136" i="4"/>
  <c r="H136" i="4"/>
  <c r="G136" i="4"/>
  <c r="S136" i="4"/>
  <c r="R136" i="4"/>
  <c r="Q136" i="4"/>
  <c r="P136" i="4"/>
  <c r="O136" i="4"/>
  <c r="K135" i="4"/>
  <c r="J135" i="4"/>
  <c r="I135" i="4"/>
  <c r="H135" i="4"/>
  <c r="G135" i="4"/>
  <c r="S135" i="4"/>
  <c r="R135" i="4"/>
  <c r="Q135" i="4"/>
  <c r="P135" i="4"/>
  <c r="O135" i="4"/>
  <c r="K134" i="4"/>
  <c r="J134" i="4"/>
  <c r="I134" i="4"/>
  <c r="H134" i="4"/>
  <c r="G134" i="4"/>
  <c r="S134" i="4"/>
  <c r="R134" i="4"/>
  <c r="Q134" i="4"/>
  <c r="P134" i="4"/>
  <c r="O134" i="4"/>
  <c r="K133" i="4"/>
  <c r="J133" i="4"/>
  <c r="I133" i="4"/>
  <c r="H133" i="4"/>
  <c r="G133" i="4"/>
  <c r="S133" i="4"/>
  <c r="R133" i="4"/>
  <c r="Q133" i="4"/>
  <c r="P133" i="4"/>
  <c r="O133" i="4"/>
  <c r="K132" i="4"/>
  <c r="J132" i="4"/>
  <c r="I132" i="4"/>
  <c r="H132" i="4"/>
  <c r="G132" i="4"/>
  <c r="S132" i="4"/>
  <c r="R132" i="4"/>
  <c r="Q132" i="4"/>
  <c r="P132" i="4"/>
  <c r="O132" i="4"/>
  <c r="K131" i="4"/>
  <c r="J131" i="4"/>
  <c r="I131" i="4"/>
  <c r="H131" i="4"/>
  <c r="G131" i="4"/>
  <c r="S131" i="4"/>
  <c r="R131" i="4"/>
  <c r="Q131" i="4"/>
  <c r="P131" i="4"/>
  <c r="O131" i="4"/>
  <c r="K130" i="4"/>
  <c r="J130" i="4"/>
  <c r="I130" i="4"/>
  <c r="H130" i="4"/>
  <c r="G130" i="4"/>
  <c r="S130" i="4"/>
  <c r="R130" i="4"/>
  <c r="Q130" i="4"/>
  <c r="P130" i="4"/>
  <c r="O130" i="4"/>
  <c r="K129" i="4"/>
  <c r="J129" i="4"/>
  <c r="I129" i="4"/>
  <c r="H129" i="4"/>
  <c r="G129" i="4"/>
  <c r="S129" i="4"/>
  <c r="R129" i="4"/>
  <c r="Q129" i="4"/>
  <c r="P129" i="4"/>
  <c r="O129" i="4"/>
  <c r="K128" i="4"/>
  <c r="J128" i="4"/>
  <c r="I128" i="4"/>
  <c r="H128" i="4"/>
  <c r="G128" i="4"/>
  <c r="S128" i="4"/>
  <c r="R128" i="4"/>
  <c r="Q128" i="4"/>
  <c r="P128" i="4"/>
  <c r="O128" i="4"/>
  <c r="K127" i="4"/>
  <c r="J127" i="4"/>
  <c r="I127" i="4"/>
  <c r="H127" i="4"/>
  <c r="G127" i="4"/>
  <c r="S127" i="4"/>
  <c r="R127" i="4"/>
  <c r="Q127" i="4"/>
  <c r="P127" i="4"/>
  <c r="O127" i="4"/>
  <c r="K126" i="4"/>
  <c r="J126" i="4"/>
  <c r="I126" i="4"/>
  <c r="H126" i="4"/>
  <c r="G126" i="4"/>
  <c r="S126" i="4"/>
  <c r="R126" i="4"/>
  <c r="Q126" i="4"/>
  <c r="P126" i="4"/>
  <c r="O126" i="4"/>
  <c r="K125" i="4"/>
  <c r="J125" i="4"/>
  <c r="I125" i="4"/>
  <c r="H125" i="4"/>
  <c r="G125" i="4"/>
  <c r="S125" i="4"/>
  <c r="R125" i="4"/>
  <c r="Q125" i="4"/>
  <c r="P125" i="4"/>
  <c r="O125" i="4"/>
  <c r="K124" i="4"/>
  <c r="J124" i="4"/>
  <c r="I124" i="4"/>
  <c r="H124" i="4"/>
  <c r="G124" i="4"/>
  <c r="S124" i="4"/>
  <c r="R124" i="4"/>
  <c r="Q124" i="4"/>
  <c r="P124" i="4"/>
  <c r="O124" i="4"/>
  <c r="K123" i="4"/>
  <c r="J123" i="4"/>
  <c r="I123" i="4"/>
  <c r="H123" i="4"/>
  <c r="G123" i="4"/>
  <c r="S123" i="4"/>
  <c r="R123" i="4"/>
  <c r="Q123" i="4"/>
  <c r="P123" i="4"/>
  <c r="O123" i="4"/>
  <c r="K122" i="4"/>
  <c r="J122" i="4"/>
  <c r="I122" i="4"/>
  <c r="H122" i="4"/>
  <c r="G122" i="4"/>
  <c r="S122" i="4"/>
  <c r="R122" i="4"/>
  <c r="Q122" i="4"/>
  <c r="P122" i="4"/>
  <c r="O122" i="4"/>
  <c r="K121" i="4"/>
  <c r="J121" i="4"/>
  <c r="I121" i="4"/>
  <c r="H121" i="4"/>
  <c r="G121" i="4"/>
  <c r="S121" i="4"/>
  <c r="R121" i="4"/>
  <c r="Q121" i="4"/>
  <c r="P121" i="4"/>
  <c r="O121" i="4"/>
  <c r="K120" i="4"/>
  <c r="J120" i="4"/>
  <c r="I120" i="4"/>
  <c r="H120" i="4"/>
  <c r="G120" i="4"/>
  <c r="S120" i="4"/>
  <c r="R120" i="4"/>
  <c r="Q120" i="4"/>
  <c r="P120" i="4"/>
  <c r="O120" i="4"/>
  <c r="K119" i="4"/>
  <c r="J119" i="4"/>
  <c r="I119" i="4"/>
  <c r="H119" i="4"/>
  <c r="G119" i="4"/>
  <c r="S119" i="4"/>
  <c r="R119" i="4"/>
  <c r="Q119" i="4"/>
  <c r="P119" i="4"/>
  <c r="O119" i="4"/>
  <c r="K118" i="4"/>
  <c r="J118" i="4"/>
  <c r="I118" i="4"/>
  <c r="H118" i="4"/>
  <c r="G118" i="4"/>
  <c r="S118" i="4"/>
  <c r="R118" i="4"/>
  <c r="Q118" i="4"/>
  <c r="P118" i="4"/>
  <c r="O118" i="4"/>
  <c r="K117" i="4"/>
  <c r="J117" i="4"/>
  <c r="I117" i="4"/>
  <c r="H117" i="4"/>
  <c r="G117" i="4"/>
  <c r="S117" i="4"/>
  <c r="R117" i="4"/>
  <c r="Q117" i="4"/>
  <c r="P117" i="4"/>
  <c r="O117" i="4"/>
  <c r="K116" i="4"/>
  <c r="J116" i="4"/>
  <c r="I116" i="4"/>
  <c r="H116" i="4"/>
  <c r="G116" i="4"/>
  <c r="S116" i="4"/>
  <c r="R116" i="4"/>
  <c r="Q116" i="4"/>
  <c r="P116" i="4"/>
  <c r="O116" i="4"/>
  <c r="K115" i="4"/>
  <c r="J115" i="4"/>
  <c r="I115" i="4"/>
  <c r="H115" i="4"/>
  <c r="G115" i="4"/>
  <c r="S115" i="4"/>
  <c r="R115" i="4"/>
  <c r="Q115" i="4"/>
  <c r="P115" i="4"/>
  <c r="O115" i="4"/>
  <c r="K114" i="4"/>
  <c r="J114" i="4"/>
  <c r="I114" i="4"/>
  <c r="H114" i="4"/>
  <c r="G114" i="4"/>
  <c r="S114" i="4"/>
  <c r="R114" i="4"/>
  <c r="Q114" i="4"/>
  <c r="P114" i="4"/>
  <c r="O114" i="4"/>
  <c r="K113" i="4"/>
  <c r="J113" i="4"/>
  <c r="I113" i="4"/>
  <c r="H113" i="4"/>
  <c r="G113" i="4"/>
  <c r="S113" i="4"/>
  <c r="R113" i="4"/>
  <c r="Q113" i="4"/>
  <c r="P113" i="4"/>
  <c r="O113" i="4"/>
  <c r="K112" i="4"/>
  <c r="J112" i="4"/>
  <c r="I112" i="4"/>
  <c r="H112" i="4"/>
  <c r="G112" i="4"/>
  <c r="S112" i="4"/>
  <c r="R112" i="4"/>
  <c r="Q112" i="4"/>
  <c r="P112" i="4"/>
  <c r="O112" i="4"/>
  <c r="K111" i="4"/>
  <c r="J111" i="4"/>
  <c r="I111" i="4"/>
  <c r="H111" i="4"/>
  <c r="G111" i="4"/>
  <c r="S111" i="4"/>
  <c r="R111" i="4"/>
  <c r="Q111" i="4"/>
  <c r="P111" i="4"/>
  <c r="O111" i="4"/>
  <c r="K110" i="4"/>
  <c r="J110" i="4"/>
  <c r="I110" i="4"/>
  <c r="H110" i="4"/>
  <c r="G110" i="4"/>
  <c r="S110" i="4"/>
  <c r="R110" i="4"/>
  <c r="Q110" i="4"/>
  <c r="P110" i="4"/>
  <c r="O110" i="4"/>
  <c r="K109" i="4"/>
  <c r="J109" i="4"/>
  <c r="I109" i="4"/>
  <c r="H109" i="4"/>
  <c r="G109" i="4"/>
  <c r="S109" i="4"/>
  <c r="R109" i="4"/>
  <c r="Q109" i="4"/>
  <c r="P109" i="4"/>
  <c r="O109" i="4"/>
  <c r="K108" i="4"/>
  <c r="J108" i="4"/>
  <c r="I108" i="4"/>
  <c r="H108" i="4"/>
  <c r="G108" i="4"/>
  <c r="S108" i="4"/>
  <c r="R108" i="4"/>
  <c r="Q108" i="4"/>
  <c r="P108" i="4"/>
  <c r="O108" i="4"/>
  <c r="K107" i="4"/>
  <c r="J107" i="4"/>
  <c r="I107" i="4"/>
  <c r="H107" i="4"/>
  <c r="G107" i="4"/>
  <c r="S107" i="4"/>
  <c r="R107" i="4"/>
  <c r="Q107" i="4"/>
  <c r="P107" i="4"/>
  <c r="O107" i="4"/>
  <c r="K106" i="4"/>
  <c r="J106" i="4"/>
  <c r="I106" i="4"/>
  <c r="H106" i="4"/>
  <c r="G106" i="4"/>
  <c r="S106" i="4"/>
  <c r="R106" i="4"/>
  <c r="Q106" i="4"/>
  <c r="P106" i="4"/>
  <c r="O106" i="4"/>
  <c r="K105" i="4"/>
  <c r="J105" i="4"/>
  <c r="I105" i="4"/>
  <c r="H105" i="4"/>
  <c r="G105" i="4"/>
  <c r="D21" i="4"/>
  <c r="I18" i="4"/>
  <c r="B14" i="4"/>
  <c r="B12" i="4"/>
  <c r="K11" i="4"/>
  <c r="K10" i="4"/>
  <c r="K9" i="4"/>
  <c r="K8" i="4"/>
  <c r="F8" i="4"/>
  <c r="B16" i="3"/>
  <c r="B14" i="3"/>
  <c r="K20" i="4" l="1"/>
  <c r="J20" i="4"/>
  <c r="B26" i="4"/>
  <c r="F21" i="4" s="1"/>
  <c r="I20" i="4"/>
  <c r="I19" i="4"/>
  <c r="I23" i="4" s="1"/>
  <c r="J19" i="4"/>
  <c r="J23" i="4" s="1"/>
  <c r="K19" i="4"/>
  <c r="K23" i="4" s="1"/>
  <c r="H20" i="4"/>
  <c r="H19" i="4"/>
  <c r="G20" i="4"/>
  <c r="G19" i="4"/>
  <c r="G23" i="4" s="1"/>
  <c r="F20" i="4"/>
  <c r="F19" i="4"/>
  <c r="B15" i="4"/>
  <c r="B13" i="4"/>
  <c r="K13" i="4"/>
  <c r="K14" i="4" s="1"/>
  <c r="H23" i="4"/>
  <c r="F23" i="4"/>
  <c r="B27" i="4" l="1"/>
  <c r="G21" i="4"/>
  <c r="G24" i="4" s="1"/>
  <c r="H21" i="4"/>
  <c r="I21" i="4"/>
  <c r="I24" i="4" s="1"/>
  <c r="J21" i="4"/>
  <c r="J24" i="4" s="1"/>
  <c r="K21" i="4"/>
  <c r="K24" i="4" s="1"/>
  <c r="F24" i="4"/>
  <c r="H24" i="4"/>
  <c r="F8" i="3"/>
  <c r="G17" i="3"/>
  <c r="H17" i="3"/>
  <c r="I17" i="3"/>
  <c r="J17" i="3"/>
  <c r="K17" i="3"/>
  <c r="F17" i="3"/>
  <c r="K11" i="3"/>
  <c r="K10" i="3"/>
  <c r="F19" i="3" l="1"/>
  <c r="F18" i="3"/>
  <c r="K19" i="3"/>
  <c r="K18" i="3"/>
  <c r="J19" i="3"/>
  <c r="J18" i="3"/>
  <c r="I19" i="3"/>
  <c r="I22" i="3" s="1"/>
  <c r="I18" i="3"/>
  <c r="I21" i="3" s="1"/>
  <c r="H19" i="3"/>
  <c r="H18" i="3"/>
  <c r="G19" i="3"/>
  <c r="G22" i="3" s="1"/>
  <c r="G18" i="3"/>
  <c r="G21" i="3" s="1"/>
  <c r="K22" i="3"/>
  <c r="K21" i="3"/>
  <c r="J21" i="3"/>
  <c r="J22" i="3"/>
  <c r="H21" i="3"/>
  <c r="H22" i="3"/>
  <c r="F21" i="3"/>
  <c r="F22" i="3"/>
  <c r="P124" i="3"/>
  <c r="Q106" i="3"/>
  <c r="Q119" i="3"/>
  <c r="R119" i="3" s="1"/>
  <c r="Q107" i="3"/>
  <c r="R107" i="3" s="1"/>
  <c r="H108" i="3"/>
  <c r="Q123" i="3"/>
  <c r="R123" i="3" s="1"/>
  <c r="H124" i="3"/>
  <c r="Q111" i="3"/>
  <c r="I124" i="3"/>
  <c r="J124" i="3" s="1"/>
  <c r="H112" i="3"/>
  <c r="I112" i="3"/>
  <c r="O124" i="3"/>
  <c r="P130" i="3"/>
  <c r="I122" i="3"/>
  <c r="J123" i="3" s="1"/>
  <c r="Q117" i="3"/>
  <c r="R117" i="3" s="1"/>
  <c r="Q112" i="3"/>
  <c r="O108" i="3"/>
  <c r="J104" i="3"/>
  <c r="Q134" i="3"/>
  <c r="R134" i="3" s="1"/>
  <c r="O130" i="3"/>
  <c r="H122" i="3"/>
  <c r="P112" i="3"/>
  <c r="I104" i="3"/>
  <c r="J105" i="3" s="1"/>
  <c r="P134" i="3"/>
  <c r="I126" i="3"/>
  <c r="Q121" i="3"/>
  <c r="Q116" i="3"/>
  <c r="O112" i="3"/>
  <c r="H104" i="3"/>
  <c r="O134" i="3"/>
  <c r="H126" i="3"/>
  <c r="P116" i="3"/>
  <c r="I108" i="3"/>
  <c r="J108" i="3" s="1"/>
  <c r="Q103" i="3"/>
  <c r="I130" i="3"/>
  <c r="Q125" i="3"/>
  <c r="Q120" i="3"/>
  <c r="O116" i="3"/>
  <c r="O128" i="3"/>
  <c r="Q122" i="3"/>
  <c r="R122" i="3" s="1"/>
  <c r="Q110" i="3"/>
  <c r="H106" i="3"/>
  <c r="I134" i="3"/>
  <c r="P122" i="3"/>
  <c r="P110" i="3"/>
  <c r="Q105" i="3"/>
  <c r="H134" i="3"/>
  <c r="J128" i="3"/>
  <c r="O122" i="3"/>
  <c r="I116" i="3"/>
  <c r="O110" i="3"/>
  <c r="Q133" i="3"/>
  <c r="I128" i="3"/>
  <c r="H116" i="3"/>
  <c r="Q104" i="3"/>
  <c r="H128" i="3"/>
  <c r="Q115" i="3"/>
  <c r="R115" i="3" s="1"/>
  <c r="J110" i="3"/>
  <c r="P104" i="3"/>
  <c r="Q132" i="3"/>
  <c r="R132" i="3" s="1"/>
  <c r="Q127" i="3"/>
  <c r="P120" i="3"/>
  <c r="I110" i="3"/>
  <c r="O104" i="3"/>
  <c r="P132" i="3"/>
  <c r="O120" i="3"/>
  <c r="Q114" i="3"/>
  <c r="H110" i="3"/>
  <c r="O132" i="3"/>
  <c r="Q126" i="3"/>
  <c r="R126" i="3" s="1"/>
  <c r="P114" i="3"/>
  <c r="Q109" i="3"/>
  <c r="P126" i="3"/>
  <c r="O114" i="3"/>
  <c r="O126" i="3"/>
  <c r="I120" i="3"/>
  <c r="J121" i="3" s="1"/>
  <c r="Q108" i="3"/>
  <c r="I132" i="3"/>
  <c r="H120" i="3"/>
  <c r="P108" i="3"/>
  <c r="Q113" i="3"/>
  <c r="R113" i="3" s="1"/>
  <c r="Q124" i="3"/>
  <c r="R124" i="3" s="1"/>
  <c r="H114" i="3"/>
  <c r="P128" i="3"/>
  <c r="I114" i="3"/>
  <c r="J114" i="3" s="1"/>
  <c r="Q128" i="3"/>
  <c r="H118" i="3"/>
  <c r="I118" i="3"/>
  <c r="J119" i="3" s="1"/>
  <c r="Q129" i="3"/>
  <c r="R129" i="3" s="1"/>
  <c r="I106" i="3"/>
  <c r="J107" i="3" s="1"/>
  <c r="H130" i="3"/>
  <c r="Q130" i="3"/>
  <c r="O118" i="3"/>
  <c r="O106" i="3"/>
  <c r="P118" i="3"/>
  <c r="Q131" i="3"/>
  <c r="P106" i="3"/>
  <c r="Q118" i="3"/>
  <c r="H132" i="3"/>
  <c r="G103" i="3"/>
  <c r="G105" i="3"/>
  <c r="G107" i="3"/>
  <c r="G109" i="3"/>
  <c r="G111" i="3"/>
  <c r="G113" i="3"/>
  <c r="G115" i="3"/>
  <c r="G117" i="3"/>
  <c r="G119" i="3"/>
  <c r="G121" i="3"/>
  <c r="G123" i="3"/>
  <c r="G125" i="3"/>
  <c r="G127" i="3"/>
  <c r="G129" i="3"/>
  <c r="G131" i="3"/>
  <c r="G133" i="3"/>
  <c r="H103" i="3"/>
  <c r="H105" i="3"/>
  <c r="H107" i="3"/>
  <c r="H109" i="3"/>
  <c r="H111" i="3"/>
  <c r="H113" i="3"/>
  <c r="H115" i="3"/>
  <c r="H117" i="3"/>
  <c r="H119" i="3"/>
  <c r="H121" i="3"/>
  <c r="H123" i="3"/>
  <c r="H125" i="3"/>
  <c r="H127" i="3"/>
  <c r="H129" i="3"/>
  <c r="H131" i="3"/>
  <c r="H133" i="3"/>
  <c r="I103" i="3"/>
  <c r="I105" i="3"/>
  <c r="I107" i="3"/>
  <c r="I109" i="3"/>
  <c r="I111" i="3"/>
  <c r="J112" i="3" s="1"/>
  <c r="I113" i="3"/>
  <c r="I115" i="3"/>
  <c r="I117" i="3"/>
  <c r="J117" i="3" s="1"/>
  <c r="I119" i="3"/>
  <c r="I121" i="3"/>
  <c r="I123" i="3"/>
  <c r="I125" i="3"/>
  <c r="I127" i="3"/>
  <c r="J127" i="3" s="1"/>
  <c r="I129" i="3"/>
  <c r="J130" i="3" s="1"/>
  <c r="I131" i="3"/>
  <c r="J131" i="3" s="1"/>
  <c r="I133" i="3"/>
  <c r="J133" i="3" s="1"/>
  <c r="J111" i="3"/>
  <c r="J113" i="3"/>
  <c r="O103" i="3"/>
  <c r="O105" i="3"/>
  <c r="O107" i="3"/>
  <c r="O109" i="3"/>
  <c r="O111" i="3"/>
  <c r="O113" i="3"/>
  <c r="O115" i="3"/>
  <c r="O117" i="3"/>
  <c r="O119" i="3"/>
  <c r="O121" i="3"/>
  <c r="O123" i="3"/>
  <c r="O125" i="3"/>
  <c r="O127" i="3"/>
  <c r="O129" i="3"/>
  <c r="O131" i="3"/>
  <c r="O133" i="3"/>
  <c r="P103" i="3"/>
  <c r="P105" i="3"/>
  <c r="P107" i="3"/>
  <c r="P109" i="3"/>
  <c r="P111" i="3"/>
  <c r="P113" i="3"/>
  <c r="P115" i="3"/>
  <c r="P117" i="3"/>
  <c r="P119" i="3"/>
  <c r="P121" i="3"/>
  <c r="P123" i="3"/>
  <c r="P125" i="3"/>
  <c r="P127" i="3"/>
  <c r="P129" i="3"/>
  <c r="P131" i="3"/>
  <c r="P133" i="3"/>
  <c r="K8" i="3"/>
  <c r="R121" i="3"/>
  <c r="G104" i="3"/>
  <c r="G106" i="3"/>
  <c r="G108" i="3"/>
  <c r="G110" i="3"/>
  <c r="G112" i="3"/>
  <c r="G114" i="3"/>
  <c r="G116" i="3"/>
  <c r="G118" i="3"/>
  <c r="G120" i="3"/>
  <c r="G122" i="3"/>
  <c r="G124" i="3"/>
  <c r="G126" i="3"/>
  <c r="G128" i="3"/>
  <c r="G130" i="3"/>
  <c r="G132" i="3"/>
  <c r="G134" i="3"/>
  <c r="R106" i="3"/>
  <c r="R114" i="3"/>
  <c r="R118" i="3"/>
  <c r="R120" i="3"/>
  <c r="J109" i="3" l="1"/>
  <c r="R125" i="3"/>
  <c r="J122" i="3"/>
  <c r="R127" i="3"/>
  <c r="R116" i="3"/>
  <c r="R104" i="3"/>
  <c r="J120" i="3"/>
  <c r="R133" i="3"/>
  <c r="J116" i="3"/>
  <c r="J129" i="3"/>
  <c r="R112" i="3"/>
  <c r="R130" i="3"/>
  <c r="J103" i="3"/>
  <c r="J126" i="3"/>
  <c r="R109" i="3"/>
  <c r="J132" i="3"/>
  <c r="J106" i="3"/>
  <c r="J115" i="3"/>
  <c r="J125" i="3"/>
  <c r="R111" i="3"/>
  <c r="R110" i="3"/>
  <c r="R105" i="3"/>
  <c r="R103" i="3"/>
  <c r="J134" i="3"/>
  <c r="J118" i="3"/>
  <c r="R108" i="3"/>
  <c r="R131" i="3"/>
  <c r="R128" i="3"/>
  <c r="K109" i="3" l="1"/>
  <c r="K134" i="3"/>
  <c r="S122" i="3"/>
  <c r="K128" i="3"/>
  <c r="K104" i="3"/>
  <c r="K103" i="3"/>
  <c r="K130" i="3"/>
  <c r="K121" i="3"/>
  <c r="K123" i="3"/>
  <c r="K131" i="3"/>
  <c r="K106" i="3"/>
  <c r="K105" i="3"/>
  <c r="K127" i="3"/>
  <c r="K120" i="3"/>
  <c r="K111" i="3"/>
  <c r="K115" i="3"/>
  <c r="K117" i="3"/>
  <c r="K133" i="3"/>
  <c r="K114" i="3"/>
  <c r="K122" i="3"/>
  <c r="K126" i="3"/>
  <c r="K112" i="3"/>
  <c r="K113" i="3"/>
  <c r="K108" i="3"/>
  <c r="K116" i="3"/>
  <c r="K132" i="3"/>
  <c r="K118" i="3"/>
  <c r="K125" i="3"/>
  <c r="K110" i="3"/>
  <c r="K119" i="3"/>
  <c r="K124" i="3"/>
  <c r="K129" i="3"/>
  <c r="S130" i="3"/>
  <c r="S129" i="3"/>
  <c r="S131" i="3"/>
  <c r="S104" i="3"/>
  <c r="S133" i="3"/>
  <c r="S109" i="3"/>
  <c r="S124" i="3"/>
  <c r="S111" i="3"/>
  <c r="S106" i="3"/>
  <c r="S119" i="3"/>
  <c r="S112" i="3"/>
  <c r="S107" i="3"/>
  <c r="S110" i="3"/>
  <c r="S128" i="3"/>
  <c r="S113" i="3"/>
  <c r="S108" i="3"/>
  <c r="S123" i="3"/>
  <c r="S125" i="3"/>
  <c r="S114" i="3"/>
  <c r="S127" i="3"/>
  <c r="S134" i="3"/>
  <c r="S120" i="3"/>
  <c r="S132" i="3"/>
  <c r="S121" i="3"/>
  <c r="S118" i="3"/>
  <c r="S116" i="3"/>
  <c r="S103" i="3"/>
  <c r="S105" i="3"/>
  <c r="S115" i="3"/>
  <c r="S126" i="3"/>
  <c r="S117" i="3"/>
  <c r="K107" i="3"/>
  <c r="K13" i="3" l="1"/>
  <c r="K15" i="4" l="1"/>
</calcChain>
</file>

<file path=xl/sharedStrings.xml><?xml version="1.0" encoding="utf-8"?>
<sst xmlns="http://schemas.openxmlformats.org/spreadsheetml/2006/main" count="86" uniqueCount="47">
  <si>
    <t>Inputs</t>
  </si>
  <si>
    <t>Investment Amount</t>
  </si>
  <si>
    <t>Investment Values</t>
  </si>
  <si>
    <t>Investment Information</t>
  </si>
  <si>
    <t>Investor Information</t>
  </si>
  <si>
    <t>Investment Details</t>
  </si>
  <si>
    <t>Term (Years)</t>
  </si>
  <si>
    <t>Investor Name</t>
  </si>
  <si>
    <t>Interest Rate</t>
  </si>
  <si>
    <t>Investor Email</t>
  </si>
  <si>
    <t>Interest Type</t>
  </si>
  <si>
    <t>Investment Account Type</t>
  </si>
  <si>
    <t>Total Interest Periods</t>
  </si>
  <si>
    <t>Maturity Value</t>
  </si>
  <si>
    <t>Individual</t>
  </si>
  <si>
    <t>Total Interest Paid (Simple)</t>
  </si>
  <si>
    <t>Investment Options</t>
  </si>
  <si>
    <t>Offering</t>
  </si>
  <si>
    <t>3 Years @ 10%</t>
  </si>
  <si>
    <t>5 Years @ 11%</t>
  </si>
  <si>
    <t>7 Years @ 12%</t>
  </si>
  <si>
    <t>9 Years @ 12.5%</t>
  </si>
  <si>
    <t>11 Years @ 13%</t>
  </si>
  <si>
    <t>Total Interest Paid (Compounding)</t>
  </si>
  <si>
    <t>Initial Investment Amount</t>
  </si>
  <si>
    <t>Total Simple Interest</t>
  </si>
  <si>
    <t>Total Compounding Interest</t>
  </si>
  <si>
    <t>Simple Interest Maturity Value</t>
  </si>
  <si>
    <t>Compounding Interest Maturity Value</t>
  </si>
  <si>
    <t>Rate + Lift</t>
  </si>
  <si>
    <t>Total Bonds after Discount</t>
  </si>
  <si>
    <t>Rate + Lift Value</t>
  </si>
  <si>
    <t xml:space="preserve">Compounding </t>
  </si>
  <si>
    <t>Jerry</t>
  </si>
  <si>
    <t>Jerry@yahoo.com</t>
  </si>
  <si>
    <t>Bond Price</t>
  </si>
  <si>
    <t>1 Year @ 9%</t>
  </si>
  <si>
    <t>Total Bonds</t>
  </si>
  <si>
    <t>Drilled Down Discount Values</t>
  </si>
  <si>
    <t>Settled Date</t>
  </si>
  <si>
    <t>First Payment Date</t>
  </si>
  <si>
    <t>Maturity Date</t>
  </si>
  <si>
    <t>Bonds from Investment Amount</t>
  </si>
  <si>
    <t>Bonds earned through Rate Lift</t>
  </si>
  <si>
    <t>1 Year at 9.0%</t>
  </si>
  <si>
    <t>Simple Interest Payment Schedule</t>
  </si>
  <si>
    <t>Adjusted Bond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</si>
</sst>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%"/>
    <numFmt numFmtId="165" formatCode="&quot;$&quot;#,##0.00"/>
    <numFmt numFmtId="166" formatCode="0.0000"/>
    <numFmt numFmtId="167" formatCode="&quot;$&quot;#,##0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b/>
      <sz val="10"/>
      <color theme="1"/>
      <name val="Segoe UI"/>
      <family val="2"/>
    </font>
    <font>
      <sz val="20"/>
      <color theme="1"/>
      <name val="Lucida Bright"/>
      <family val="1"/>
    </font>
    <font>
      <b/>
      <i/>
      <sz val="11"/>
      <name val="Calibri"/>
      <family val="2"/>
      <scheme val="minor"/>
    </font>
    <font>
      <b/>
      <i/>
      <sz val="10"/>
      <color theme="1"/>
      <name val="Segoe UI"/>
      <family val="2"/>
    </font>
    <font>
      <sz val="10"/>
      <color theme="1"/>
      <name val="Segoe UI"/>
      <family val="2"/>
    </font>
    <font>
      <sz val="11"/>
      <color rgb="FF000000"/>
      <name val="Calibri"/>
      <family val="2"/>
      <scheme val="minor"/>
    </font>
    <font>
      <b/>
      <sz val="11"/>
      <color theme="1"/>
      <name val="Segoe UI"/>
      <family val="2"/>
    </font>
    <font>
      <b/>
      <sz val="22"/>
      <color rgb="FFBF9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Segoe UI"/>
      <family val="2"/>
    </font>
    <font>
      <b/>
      <i/>
      <sz val="11"/>
      <color theme="1"/>
      <name val="Segoe UI"/>
      <family val="2"/>
    </font>
    <font>
      <b/>
      <sz val="11"/>
      <color theme="0"/>
      <name val="Lucida Bright"/>
      <family val="1"/>
    </font>
    <font>
      <b/>
      <sz val="12"/>
      <color theme="1"/>
      <name val="Segoe UI"/>
      <family val="2"/>
    </font>
    <font>
      <sz val="12"/>
      <color theme="1"/>
      <name val="Segoe UI"/>
      <family val="2"/>
    </font>
    <font>
      <b/>
      <i/>
      <sz val="12"/>
      <color theme="1"/>
      <name val="Segoe UI"/>
      <family val="2"/>
    </font>
    <font>
      <b/>
      <sz val="12"/>
      <color theme="0"/>
      <name val="Lucida Bright"/>
      <family val="1"/>
    </font>
    <font>
      <b/>
      <sz val="12"/>
      <color rgb="FFFFFFFF"/>
      <name val="Lucida Bright"/>
      <family val="1"/>
    </font>
    <font>
      <b/>
      <sz val="18"/>
      <color rgb="FFFFFFFF"/>
      <name val="Georgia Pro Cond Semibold"/>
      <family val="1"/>
    </font>
    <font>
      <b/>
      <sz val="20"/>
      <color rgb="FFFFFFFF"/>
      <name val="Georgia Pro Cond Semibold"/>
      <family val="1"/>
    </font>
    <font>
      <sz val="20"/>
      <color theme="1"/>
      <name val="Georgia Pro Cond Semibold"/>
      <family val="1"/>
    </font>
    <font>
      <sz val="14"/>
      <color rgb="FF000000"/>
      <name val="ADLaM Display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6253F"/>
        <bgColor indexed="64"/>
      </patternFill>
    </fill>
    <fill>
      <patternFill patternType="solid">
        <fgColor rgb="FFEBBC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3366"/>
      </patternFill>
    </fill>
    <fill>
      <patternFill patternType="solid">
        <fgColor theme="0" tint="-4.9989318521683403E-2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2" fillId="0" borderId="0" applyNumberFormat="0" applyFill="0" applyBorder="0" applyAlignment="0" applyProtection="0"/>
  </cellStyleXfs>
  <cellXfs count="139">
    <xf numFmtId="0" fontId="0" fillId="0" borderId="0" xfId="0"/>
    <xf numFmtId="0" fontId="0" fillId="2" borderId="0" xfId="0" applyFill="1"/>
    <xf numFmtId="165" fontId="3" fillId="0" borderId="0" xfId="3" applyNumberFormat="1" applyFont="1" applyAlignment="1">
      <alignment horizontal="right"/>
    </xf>
    <xf numFmtId="0" fontId="3" fillId="0" borderId="0" xfId="0" applyFont="1" applyAlignment="1">
      <alignment horizontal="center"/>
    </xf>
    <xf numFmtId="0" fontId="3" fillId="0" borderId="0" xfId="0" applyFont="1"/>
    <xf numFmtId="165" fontId="3" fillId="0" borderId="0" xfId="3" applyNumberFormat="1" applyFont="1" applyAlignment="1">
      <alignment horizontal="left"/>
    </xf>
    <xf numFmtId="0" fontId="0" fillId="0" borderId="0" xfId="0" applyAlignment="1">
      <alignment horizontal="right"/>
    </xf>
    <xf numFmtId="0" fontId="3" fillId="0" borderId="0" xfId="0" applyFont="1" applyAlignment="1">
      <alignment horizontal="left"/>
    </xf>
    <xf numFmtId="9" fontId="4" fillId="0" borderId="0" xfId="0" applyNumberFormat="1" applyFont="1" applyAlignment="1">
      <alignment horizontal="center"/>
    </xf>
    <xf numFmtId="166" fontId="3" fillId="0" borderId="0" xfId="0" applyNumberFormat="1" applyFont="1" applyAlignment="1">
      <alignment horizontal="center" vertical="center" textRotation="90"/>
    </xf>
    <xf numFmtId="166" fontId="3" fillId="0" borderId="0" xfId="0" applyNumberFormat="1" applyFont="1" applyAlignment="1">
      <alignment vertical="center" textRotation="90"/>
    </xf>
    <xf numFmtId="10" fontId="3" fillId="0" borderId="0" xfId="2" applyNumberFormat="1" applyFont="1" applyAlignment="1">
      <alignment horizontal="right"/>
    </xf>
    <xf numFmtId="166" fontId="0" fillId="0" borderId="0" xfId="0" applyNumberFormat="1"/>
    <xf numFmtId="44" fontId="0" fillId="0" borderId="0" xfId="0" applyNumberFormat="1" applyAlignment="1">
      <alignment horizontal="right"/>
    </xf>
    <xf numFmtId="0" fontId="4" fillId="0" borderId="0" xfId="0" applyFont="1" applyAlignment="1">
      <alignment horizontal="center"/>
    </xf>
    <xf numFmtId="43" fontId="0" fillId="0" borderId="0" xfId="3" applyFont="1"/>
    <xf numFmtId="0" fontId="4" fillId="0" borderId="0" xfId="0" applyFont="1"/>
    <xf numFmtId="165" fontId="3" fillId="0" borderId="0" xfId="3" applyNumberFormat="1" applyFont="1" applyFill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/>
    </xf>
    <xf numFmtId="0" fontId="0" fillId="0" borderId="12" xfId="0" applyBorder="1"/>
    <xf numFmtId="0" fontId="2" fillId="0" borderId="13" xfId="0" applyFont="1" applyBorder="1"/>
    <xf numFmtId="165" fontId="2" fillId="6" borderId="13" xfId="1" applyNumberFormat="1" applyFont="1" applyFill="1" applyBorder="1" applyAlignment="1">
      <alignment horizontal="center" vertical="center"/>
    </xf>
    <xf numFmtId="0" fontId="0" fillId="0" borderId="14" xfId="0" applyBorder="1"/>
    <xf numFmtId="165" fontId="9" fillId="0" borderId="14" xfId="1" applyNumberFormat="1" applyFont="1" applyBorder="1" applyAlignment="1">
      <alignment horizontal="center" vertical="center"/>
    </xf>
    <xf numFmtId="2" fontId="9" fillId="0" borderId="14" xfId="1" applyNumberFormat="1" applyFont="1" applyBorder="1" applyAlignment="1">
      <alignment horizontal="center" vertical="center"/>
    </xf>
    <xf numFmtId="10" fontId="9" fillId="0" borderId="12" xfId="2" applyNumberFormat="1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10" fontId="6" fillId="0" borderId="14" xfId="2" applyNumberFormat="1" applyFont="1" applyBorder="1" applyAlignment="1">
      <alignment horizontal="center" vertical="center"/>
    </xf>
    <xf numFmtId="10" fontId="6" fillId="0" borderId="12" xfId="2" applyNumberFormat="1" applyFont="1" applyBorder="1" applyAlignment="1">
      <alignment horizontal="center" vertical="center"/>
    </xf>
    <xf numFmtId="165" fontId="2" fillId="6" borderId="12" xfId="1" applyNumberFormat="1" applyFont="1" applyFill="1" applyBorder="1" applyAlignment="1">
      <alignment horizontal="center" vertical="center"/>
    </xf>
    <xf numFmtId="165" fontId="8" fillId="0" borderId="0" xfId="3" applyNumberFormat="1" applyFont="1" applyAlignment="1">
      <alignment horizontal="left"/>
    </xf>
    <xf numFmtId="165" fontId="5" fillId="0" borderId="0" xfId="3" applyNumberFormat="1" applyFont="1" applyFill="1" applyAlignment="1"/>
    <xf numFmtId="0" fontId="11" fillId="0" borderId="0" xfId="0" applyFont="1" applyAlignment="1">
      <alignment vertical="top"/>
    </xf>
    <xf numFmtId="165" fontId="7" fillId="0" borderId="0" xfId="3" applyNumberFormat="1" applyFont="1" applyFill="1" applyAlignment="1">
      <alignment horizontal="center" vertical="center"/>
    </xf>
    <xf numFmtId="0" fontId="12" fillId="0" borderId="12" xfId="4" applyBorder="1" applyAlignment="1">
      <alignment horizontal="center" vertical="center"/>
    </xf>
    <xf numFmtId="2" fontId="0" fillId="0" borderId="12" xfId="0" applyNumberFormat="1" applyBorder="1" applyAlignment="1">
      <alignment horizontal="center"/>
    </xf>
    <xf numFmtId="9" fontId="0" fillId="0" borderId="0" xfId="0" applyNumberFormat="1" applyAlignment="1">
      <alignment horizontal="center"/>
    </xf>
    <xf numFmtId="164" fontId="0" fillId="0" borderId="12" xfId="0" applyNumberFormat="1" applyBorder="1" applyAlignment="1">
      <alignment horizontal="center"/>
    </xf>
    <xf numFmtId="164" fontId="9" fillId="0" borderId="12" xfId="1" applyNumberFormat="1" applyFont="1" applyBorder="1" applyAlignment="1">
      <alignment horizontal="center" vertical="center"/>
    </xf>
    <xf numFmtId="165" fontId="3" fillId="0" borderId="0" xfId="3" applyNumberFormat="1" applyFont="1" applyBorder="1" applyAlignment="1">
      <alignment horizontal="left"/>
    </xf>
    <xf numFmtId="0" fontId="3" fillId="0" borderId="15" xfId="0" applyFont="1" applyBorder="1"/>
    <xf numFmtId="0" fontId="13" fillId="0" borderId="0" xfId="3" applyNumberFormat="1" applyFont="1" applyBorder="1" applyAlignment="1">
      <alignment horizontal="right"/>
    </xf>
    <xf numFmtId="14" fontId="13" fillId="0" borderId="0" xfId="3" applyNumberFormat="1" applyFont="1" applyBorder="1" applyAlignment="1">
      <alignment horizontal="right"/>
    </xf>
    <xf numFmtId="0" fontId="17" fillId="5" borderId="9" xfId="0" applyFont="1" applyFill="1" applyBorder="1"/>
    <xf numFmtId="0" fontId="17" fillId="9" borderId="7" xfId="0" applyFont="1" applyFill="1" applyBorder="1"/>
    <xf numFmtId="0" fontId="17" fillId="5" borderId="7" xfId="0" applyFont="1" applyFill="1" applyBorder="1"/>
    <xf numFmtId="165" fontId="16" fillId="5" borderId="16" xfId="3" applyNumberFormat="1" applyFont="1" applyFill="1" applyBorder="1" applyAlignment="1">
      <alignment horizontal="center"/>
    </xf>
    <xf numFmtId="165" fontId="17" fillId="9" borderId="1" xfId="3" applyNumberFormat="1" applyFont="1" applyFill="1" applyBorder="1" applyAlignment="1">
      <alignment horizontal="center"/>
    </xf>
    <xf numFmtId="165" fontId="17" fillId="5" borderId="1" xfId="3" applyNumberFormat="1" applyFont="1" applyFill="1" applyBorder="1" applyAlignment="1">
      <alignment horizontal="center"/>
    </xf>
    <xf numFmtId="165" fontId="18" fillId="7" borderId="16" xfId="3" applyNumberFormat="1" applyFont="1" applyFill="1" applyBorder="1" applyAlignment="1">
      <alignment horizontal="center"/>
    </xf>
    <xf numFmtId="0" fontId="13" fillId="0" borderId="8" xfId="0" applyFont="1" applyBorder="1" applyAlignment="1">
      <alignment horizontal="left"/>
    </xf>
    <xf numFmtId="0" fontId="0" fillId="0" borderId="8" xfId="0" applyBorder="1"/>
    <xf numFmtId="165" fontId="10" fillId="5" borderId="11" xfId="3" applyNumberFormat="1" applyFont="1" applyFill="1" applyBorder="1" applyAlignment="1"/>
    <xf numFmtId="0" fontId="13" fillId="0" borderId="8" xfId="0" applyFont="1" applyBorder="1" applyAlignment="1">
      <alignment horizontal="right"/>
    </xf>
    <xf numFmtId="0" fontId="3" fillId="5" borderId="15" xfId="0" applyFont="1" applyFill="1" applyBorder="1"/>
    <xf numFmtId="0" fontId="16" fillId="5" borderId="16" xfId="0" applyFont="1" applyFill="1" applyBorder="1"/>
    <xf numFmtId="165" fontId="13" fillId="0" borderId="1" xfId="3" applyNumberFormat="1" applyFont="1" applyFill="1" applyBorder="1" applyAlignment="1">
      <alignment horizontal="center"/>
    </xf>
    <xf numFmtId="165" fontId="13" fillId="5" borderId="1" xfId="3" applyNumberFormat="1" applyFont="1" applyFill="1" applyBorder="1" applyAlignment="1">
      <alignment horizontal="center"/>
    </xf>
    <xf numFmtId="165" fontId="13" fillId="0" borderId="16" xfId="3" applyNumberFormat="1" applyFont="1" applyFill="1" applyBorder="1" applyAlignment="1">
      <alignment horizontal="center"/>
    </xf>
    <xf numFmtId="165" fontId="14" fillId="7" borderId="16" xfId="3" applyNumberFormat="1" applyFont="1" applyFill="1" applyBorder="1" applyAlignment="1">
      <alignment horizontal="center"/>
    </xf>
    <xf numFmtId="0" fontId="17" fillId="5" borderId="10" xfId="0" applyFont="1" applyFill="1" applyBorder="1"/>
    <xf numFmtId="165" fontId="17" fillId="5" borderId="17" xfId="3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166" fontId="0" fillId="2" borderId="0" xfId="0" applyNumberFormat="1" applyFill="1"/>
    <xf numFmtId="0" fontId="3" fillId="2" borderId="0" xfId="0" applyFont="1" applyFill="1"/>
    <xf numFmtId="0" fontId="3" fillId="2" borderId="0" xfId="0" applyFont="1" applyFill="1" applyAlignment="1">
      <alignment horizontal="center"/>
    </xf>
    <xf numFmtId="165" fontId="3" fillId="2" borderId="0" xfId="3" applyNumberFormat="1" applyFont="1" applyFill="1" applyBorder="1" applyAlignment="1">
      <alignment horizontal="right"/>
    </xf>
    <xf numFmtId="165" fontId="18" fillId="7" borderId="9" xfId="3" applyNumberFormat="1" applyFont="1" applyFill="1" applyBorder="1" applyAlignment="1">
      <alignment horizontal="center"/>
    </xf>
    <xf numFmtId="165" fontId="17" fillId="2" borderId="16" xfId="3" applyNumberFormat="1" applyFont="1" applyFill="1" applyBorder="1" applyAlignment="1">
      <alignment horizontal="center"/>
    </xf>
    <xf numFmtId="0" fontId="13" fillId="0" borderId="2" xfId="0" applyFont="1" applyBorder="1" applyAlignment="1">
      <alignment horizontal="left"/>
    </xf>
    <xf numFmtId="0" fontId="13" fillId="0" borderId="8" xfId="0" applyFont="1" applyBorder="1"/>
    <xf numFmtId="165" fontId="13" fillId="0" borderId="3" xfId="3" applyNumberFormat="1" applyFont="1" applyBorder="1" applyAlignment="1">
      <alignment horizontal="right"/>
    </xf>
    <xf numFmtId="10" fontId="13" fillId="0" borderId="9" xfId="2" applyNumberFormat="1" applyFont="1" applyBorder="1" applyAlignment="1">
      <alignment horizontal="right"/>
    </xf>
    <xf numFmtId="2" fontId="13" fillId="0" borderId="9" xfId="3" applyNumberFormat="1" applyFont="1" applyBorder="1" applyAlignment="1">
      <alignment horizontal="right"/>
    </xf>
    <xf numFmtId="1" fontId="3" fillId="0" borderId="9" xfId="3" applyNumberFormat="1" applyFont="1" applyBorder="1" applyAlignment="1">
      <alignment horizontal="right"/>
    </xf>
    <xf numFmtId="165" fontId="10" fillId="4" borderId="9" xfId="3" applyNumberFormat="1" applyFont="1" applyFill="1" applyBorder="1" applyAlignment="1">
      <alignment horizontal="right"/>
    </xf>
    <xf numFmtId="0" fontId="13" fillId="0" borderId="9" xfId="0" applyFont="1" applyBorder="1" applyAlignment="1">
      <alignment horizontal="right"/>
    </xf>
    <xf numFmtId="0" fontId="13" fillId="0" borderId="2" xfId="0" applyFont="1" applyBorder="1"/>
    <xf numFmtId="165" fontId="3" fillId="0" borderId="8" xfId="3" applyNumberFormat="1" applyFont="1" applyBorder="1" applyAlignment="1">
      <alignment horizontal="left"/>
    </xf>
    <xf numFmtId="0" fontId="3" fillId="0" borderId="8" xfId="0" applyFont="1" applyBorder="1"/>
    <xf numFmtId="0" fontId="0" fillId="0" borderId="0" xfId="0" applyAlignment="1">
      <alignment horizontal="center"/>
    </xf>
    <xf numFmtId="0" fontId="13" fillId="0" borderId="0" xfId="0" applyFont="1" applyAlignment="1">
      <alignment horizontal="left"/>
    </xf>
    <xf numFmtId="0" fontId="13" fillId="0" borderId="0" xfId="3" applyNumberFormat="1" applyFont="1" applyBorder="1" applyAlignment="1"/>
    <xf numFmtId="0" fontId="13" fillId="0" borderId="0" xfId="0" applyFont="1"/>
    <xf numFmtId="0" fontId="13" fillId="0" borderId="0" xfId="2" applyNumberFormat="1" applyFont="1" applyBorder="1" applyAlignment="1"/>
    <xf numFmtId="0" fontId="13" fillId="0" borderId="0" xfId="0" applyFont="1" applyAlignment="1">
      <alignment horizontal="right"/>
    </xf>
    <xf numFmtId="14" fontId="13" fillId="0" borderId="0" xfId="3" applyNumberFormat="1" applyFont="1" applyBorder="1" applyAlignment="1"/>
    <xf numFmtId="0" fontId="15" fillId="3" borderId="0" xfId="0" applyFont="1" applyFill="1" applyAlignment="1">
      <alignment vertical="center" wrapText="1"/>
    </xf>
    <xf numFmtId="0" fontId="15" fillId="3" borderId="0" xfId="0" applyFont="1" applyFill="1" applyAlignment="1">
      <alignment horizontal="center"/>
    </xf>
    <xf numFmtId="165" fontId="15" fillId="3" borderId="0" xfId="3" applyNumberFormat="1" applyFont="1" applyFill="1" applyBorder="1" applyAlignment="1">
      <alignment horizontal="center"/>
    </xf>
    <xf numFmtId="0" fontId="16" fillId="5" borderId="0" xfId="0" applyFont="1" applyFill="1"/>
    <xf numFmtId="0" fontId="17" fillId="2" borderId="0" xfId="0" applyFont="1" applyFill="1"/>
    <xf numFmtId="0" fontId="18" fillId="7" borderId="0" xfId="0" applyFont="1" applyFill="1"/>
    <xf numFmtId="165" fontId="14" fillId="4" borderId="11" xfId="3" applyNumberFormat="1" applyFont="1" applyFill="1" applyBorder="1" applyAlignment="1">
      <alignment horizontal="left"/>
    </xf>
    <xf numFmtId="165" fontId="16" fillId="4" borderId="18" xfId="3" applyNumberFormat="1" applyFont="1" applyFill="1" applyBorder="1" applyAlignment="1">
      <alignment horizontal="center"/>
    </xf>
    <xf numFmtId="0" fontId="19" fillId="3" borderId="8" xfId="0" applyFont="1" applyFill="1" applyBorder="1" applyAlignment="1">
      <alignment vertical="center"/>
    </xf>
    <xf numFmtId="0" fontId="16" fillId="5" borderId="8" xfId="0" applyFont="1" applyFill="1" applyBorder="1"/>
    <xf numFmtId="0" fontId="17" fillId="9" borderId="6" xfId="0" applyFont="1" applyFill="1" applyBorder="1"/>
    <xf numFmtId="0" fontId="17" fillId="5" borderId="6" xfId="0" applyFont="1" applyFill="1" applyBorder="1"/>
    <xf numFmtId="0" fontId="17" fillId="5" borderId="2" xfId="0" applyFont="1" applyFill="1" applyBorder="1"/>
    <xf numFmtId="0" fontId="17" fillId="2" borderId="8" xfId="0" applyFont="1" applyFill="1" applyBorder="1"/>
    <xf numFmtId="0" fontId="18" fillId="7" borderId="8" xfId="0" applyFont="1" applyFill="1" applyBorder="1"/>
    <xf numFmtId="165" fontId="18" fillId="4" borderId="4" xfId="3" applyNumberFormat="1" applyFont="1" applyFill="1" applyBorder="1" applyAlignment="1">
      <alignment horizontal="left"/>
    </xf>
    <xf numFmtId="165" fontId="15" fillId="3" borderId="9" xfId="3" applyNumberFormat="1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0" fontId="4" fillId="7" borderId="0" xfId="0" applyFont="1" applyFill="1"/>
    <xf numFmtId="165" fontId="10" fillId="4" borderId="5" xfId="3" applyNumberFormat="1" applyFont="1" applyFill="1" applyBorder="1" applyAlignment="1">
      <alignment horizontal="center"/>
    </xf>
    <xf numFmtId="165" fontId="10" fillId="4" borderId="18" xfId="3" applyNumberFormat="1" applyFont="1" applyFill="1" applyBorder="1" applyAlignment="1">
      <alignment horizontal="center"/>
    </xf>
    <xf numFmtId="165" fontId="16" fillId="4" borderId="4" xfId="3" applyNumberFormat="1" applyFont="1" applyFill="1" applyBorder="1" applyAlignment="1">
      <alignment horizontal="left"/>
    </xf>
    <xf numFmtId="165" fontId="10" fillId="4" borderId="7" xfId="3" applyNumberFormat="1" applyFont="1" applyFill="1" applyBorder="1" applyAlignment="1">
      <alignment horizontal="right"/>
    </xf>
    <xf numFmtId="0" fontId="10" fillId="4" borderId="6" xfId="0" applyFont="1" applyFill="1" applyBorder="1"/>
    <xf numFmtId="0" fontId="10" fillId="4" borderId="15" xfId="0" applyFont="1" applyFill="1" applyBorder="1"/>
    <xf numFmtId="165" fontId="3" fillId="7" borderId="15" xfId="3" applyNumberFormat="1" applyFont="1" applyFill="1" applyBorder="1" applyAlignment="1">
      <alignment horizontal="left"/>
    </xf>
    <xf numFmtId="1" fontId="3" fillId="7" borderId="7" xfId="3" applyNumberFormat="1" applyFont="1" applyFill="1" applyBorder="1" applyAlignment="1">
      <alignment horizontal="right"/>
    </xf>
    <xf numFmtId="165" fontId="4" fillId="7" borderId="6" xfId="3" applyNumberFormat="1" applyFont="1" applyFill="1" applyBorder="1" applyAlignment="1">
      <alignment horizontal="left"/>
    </xf>
    <xf numFmtId="0" fontId="10" fillId="4" borderId="10" xfId="0" applyFont="1" applyFill="1" applyBorder="1"/>
    <xf numFmtId="165" fontId="3" fillId="7" borderId="10" xfId="3" applyNumberFormat="1" applyFont="1" applyFill="1" applyBorder="1" applyAlignment="1">
      <alignment horizontal="left"/>
    </xf>
    <xf numFmtId="167" fontId="9" fillId="0" borderId="14" xfId="1" applyNumberFormat="1" applyFont="1" applyBorder="1" applyAlignment="1">
      <alignment horizontal="center" vertical="center"/>
    </xf>
    <xf numFmtId="0" fontId="0" fillId="0" borderId="19" xfId="0" applyBorder="1"/>
    <xf numFmtId="0" fontId="3" fillId="0" borderId="0" xfId="0" applyFont="1" applyAlignment="1">
      <alignment horizontal="left"/>
    </xf>
    <xf numFmtId="165" fontId="10" fillId="5" borderId="4" xfId="3" applyNumberFormat="1" applyFont="1" applyFill="1" applyBorder="1" applyAlignment="1">
      <alignment horizontal="left"/>
    </xf>
    <xf numFmtId="165" fontId="10" fillId="5" borderId="11" xfId="3" applyNumberFormat="1" applyFont="1" applyFill="1" applyBorder="1" applyAlignment="1">
      <alignment horizontal="left"/>
    </xf>
    <xf numFmtId="165" fontId="10" fillId="5" borderId="5" xfId="3" applyNumberFormat="1" applyFont="1" applyFill="1" applyBorder="1" applyAlignment="1">
      <alignment horizontal="left"/>
    </xf>
    <xf numFmtId="165" fontId="10" fillId="0" borderId="0" xfId="3" applyNumberFormat="1" applyFont="1" applyFill="1" applyAlignment="1">
      <alignment horizontal="center" vertical="center"/>
    </xf>
    <xf numFmtId="165" fontId="10" fillId="0" borderId="0" xfId="3" applyNumberFormat="1" applyFont="1" applyFill="1" applyAlignment="1">
      <alignment horizontal="center" vertical="top"/>
    </xf>
    <xf numFmtId="0" fontId="20" fillId="3" borderId="2" xfId="0" applyFont="1" applyFill="1" applyBorder="1" applyAlignment="1">
      <alignment horizontal="left"/>
    </xf>
    <xf numFmtId="0" fontId="20" fillId="3" borderId="10" xfId="0" applyFont="1" applyFill="1" applyBorder="1" applyAlignment="1">
      <alignment horizontal="left"/>
    </xf>
    <xf numFmtId="0" fontId="20" fillId="3" borderId="3" xfId="0" applyFont="1" applyFill="1" applyBorder="1" applyAlignment="1">
      <alignment horizontal="left"/>
    </xf>
    <xf numFmtId="0" fontId="13" fillId="0" borderId="2" xfId="0" applyFont="1" applyBorder="1" applyAlignment="1">
      <alignment horizontal="left"/>
    </xf>
    <xf numFmtId="0" fontId="0" fillId="0" borderId="10" xfId="0" applyBorder="1"/>
    <xf numFmtId="0" fontId="13" fillId="0" borderId="8" xfId="0" applyFont="1" applyBorder="1" applyAlignment="1">
      <alignment horizontal="left"/>
    </xf>
    <xf numFmtId="0" fontId="0" fillId="0" borderId="0" xfId="0"/>
    <xf numFmtId="0" fontId="22" fillId="8" borderId="2" xfId="0" applyFont="1" applyFill="1" applyBorder="1" applyAlignment="1">
      <alignment horizontal="center"/>
    </xf>
    <xf numFmtId="0" fontId="23" fillId="0" borderId="10" xfId="0" applyFont="1" applyBorder="1"/>
    <xf numFmtId="0" fontId="23" fillId="0" borderId="3" xfId="0" applyFont="1" applyBorder="1"/>
    <xf numFmtId="0" fontId="21" fillId="8" borderId="8" xfId="0" applyFont="1" applyFill="1" applyBorder="1" applyAlignment="1">
      <alignment horizontal="center" vertical="top"/>
    </xf>
    <xf numFmtId="0" fontId="21" fillId="8" borderId="0" xfId="0" applyFont="1" applyFill="1" applyAlignment="1">
      <alignment horizontal="center" vertical="top"/>
    </xf>
    <xf numFmtId="0" fontId="21" fillId="8" borderId="9" xfId="0" applyFont="1" applyFill="1" applyBorder="1" applyAlignment="1">
      <alignment horizontal="center" vertical="top"/>
    </xf>
  </cellXfs>
  <cellStyles count="5">
    <cellStyle name="Comma 2" xfId="3" xr:uid="{6DBC3DF2-5D13-4302-BC5F-2F0FEA2B185F}"/>
    <cellStyle name="Currency" xfId="1" builtinId="4"/>
    <cellStyle name="Hyperlink" xfId="4" builtinId="8"/>
    <cellStyle name="Normal" xfId="0" builtinId="0"/>
    <cellStyle name="Percent" xfId="2" builtinId="5"/>
  </cellStyles>
  <dxfs count="0"/>
  <tableStyles count="0" defaultTableStyle="TableStyleMedium2" defaultPivotStyle="PivotStyleLight16"/>
  <colors>
    <mruColors>
      <color rgb="FFEBBC00"/>
      <color rgb="FF06253F"/>
      <color rgb="FFFFFFCC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rgbClr val="06253F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06253F"/>
                </a:solidFill>
              </a:rPr>
              <a:t>Total</a:t>
            </a:r>
            <a:r>
              <a:rPr lang="en-US" baseline="0">
                <a:solidFill>
                  <a:srgbClr val="06253F"/>
                </a:solidFill>
              </a:rPr>
              <a:t> interest with each offering</a:t>
            </a:r>
          </a:p>
          <a:p>
            <a:pPr>
              <a:defRPr>
                <a:solidFill>
                  <a:srgbClr val="06253F"/>
                </a:solidFill>
              </a:defRPr>
            </a:pPr>
            <a:r>
              <a:rPr lang="en-US" baseline="0">
                <a:solidFill>
                  <a:srgbClr val="06253F"/>
                </a:solidFill>
              </a:rPr>
              <a:t>Simple vs compounding</a:t>
            </a:r>
            <a:endParaRPr lang="en-US">
              <a:solidFill>
                <a:srgbClr val="06253F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rgbClr val="06253F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'Compare Offerings'!$D$18</c:f>
              <c:strCache>
                <c:ptCount val="1"/>
                <c:pt idx="0">
                  <c:v>Total Simple Interest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'Compare Offerings'!$F$16:$K$16</c:f>
              <c:strCache>
                <c:ptCount val="6"/>
                <c:pt idx="0">
                  <c:v>1 Year @ 9%</c:v>
                </c:pt>
                <c:pt idx="1">
                  <c:v>3 Years @ 10%</c:v>
                </c:pt>
                <c:pt idx="2">
                  <c:v>5 Years @ 11%</c:v>
                </c:pt>
                <c:pt idx="3">
                  <c:v>7 Years @ 12%</c:v>
                </c:pt>
                <c:pt idx="4">
                  <c:v>9 Years @ 12.5%</c:v>
                </c:pt>
                <c:pt idx="5">
                  <c:v>11 Years @ 13%</c:v>
                </c:pt>
              </c:strCache>
            </c:strRef>
          </c:cat>
          <c:val>
            <c:numRef>
              <c:f>'Compare Offerings'!$F$18:$K$18</c:f>
              <c:numCache>
                <c:formatCode>"$"#,##0.00</c:formatCode>
                <c:ptCount val="6"/>
                <c:pt idx="0">
                  <c:v>45000</c:v>
                </c:pt>
                <c:pt idx="1">
                  <c:v>150000</c:v>
                </c:pt>
                <c:pt idx="2">
                  <c:v>275000</c:v>
                </c:pt>
                <c:pt idx="3">
                  <c:v>420000</c:v>
                </c:pt>
                <c:pt idx="4">
                  <c:v>562500</c:v>
                </c:pt>
                <c:pt idx="5">
                  <c:v>715000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2F-4C5A-B615-E9B21BD50540}"/>
            </c:ext>
          </c:extLst>
        </c:ser>
        <c:ser>
          <c:idx val="1"/>
          <c:order val="1"/>
          <c:tx>
            <c:strRef>
              <c:f>'Compare Offerings'!$D$19</c:f>
              <c:strCache>
                <c:ptCount val="1"/>
                <c:pt idx="0">
                  <c:v>Total Compounding Interest</c:v>
                </c:pt>
              </c:strCache>
            </c:strRef>
          </c:tx>
          <c:spPr>
            <a:solidFill>
              <a:srgbClr val="EBBC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'Compare Offerings'!$F$16:$K$16</c:f>
              <c:strCache>
                <c:ptCount val="6"/>
                <c:pt idx="0">
                  <c:v>1 Year @ 9%</c:v>
                </c:pt>
                <c:pt idx="1">
                  <c:v>3 Years @ 10%</c:v>
                </c:pt>
                <c:pt idx="2">
                  <c:v>5 Years @ 11%</c:v>
                </c:pt>
                <c:pt idx="3">
                  <c:v>7 Years @ 12%</c:v>
                </c:pt>
                <c:pt idx="4">
                  <c:v>9 Years @ 12.5%</c:v>
                </c:pt>
                <c:pt idx="5">
                  <c:v>11 Years @ 13%</c:v>
                </c:pt>
              </c:strCache>
            </c:strRef>
          </c:cat>
          <c:val>
            <c:numRef>
              <c:f>'Compare Offerings'!$F$19:$K$19</c:f>
              <c:numCache>
                <c:formatCode>"$"#,##0.00</c:formatCode>
                <c:ptCount val="6"/>
                <c:pt idx="0">
                  <c:v>46903.448835492134</c:v>
                </c:pt>
                <c:pt idx="1">
                  <c:v>174090.92120941344</c:v>
                </c:pt>
                <c:pt idx="2">
                  <c:v>364457.86522671196</c:v>
                </c:pt>
                <c:pt idx="3">
                  <c:v>653361.37202018336</c:v>
                </c:pt>
                <c:pt idx="4">
                  <c:v>1031172.5574096767</c:v>
                </c:pt>
                <c:pt idx="5">
                  <c:v>1573343.4087783408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C2F-4C5A-B615-E9B21BD505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axId val="1060242544"/>
        <c:axId val="1414735888"/>
        <c:extLst/>
      </c:barChart>
      <c:catAx>
        <c:axId val="1060242544"/>
        <c:scaling>
          <c:orientation val="minMax"/>
        </c:scaling>
        <c:delete val="0"/>
        <c:axPos val="b"/>
        <c:majorGridlines>
          <c:spPr>
            <a:ln w="12700" cap="flat" cmpd="sng" algn="ctr">
              <a:solidFill>
                <a:sysClr val="windowText" lastClr="000000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50" b="1" i="0" u="none" strike="noStrike" kern="1200" cap="all" baseline="0">
                    <a:solidFill>
                      <a:srgbClr val="06253F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50" b="1">
                    <a:solidFill>
                      <a:srgbClr val="06253F"/>
                    </a:solidFill>
                  </a:rPr>
                  <a:t>Offering Rate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1" i="0" u="none" strike="noStrike" kern="1200" cap="all" baseline="0">
                  <a:solidFill>
                    <a:srgbClr val="06253F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cap="all" spc="120" normalizeH="0" baseline="0">
                <a:solidFill>
                  <a:srgbClr val="06253F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4735888"/>
        <c:crosses val="autoZero"/>
        <c:auto val="1"/>
        <c:lblAlgn val="ctr"/>
        <c:lblOffset val="100"/>
        <c:noMultiLvlLbl val="0"/>
      </c:catAx>
      <c:valAx>
        <c:axId val="1414735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cap="all" baseline="0">
                    <a:solidFill>
                      <a:srgbClr val="06253F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 b="1">
                    <a:solidFill>
                      <a:srgbClr val="06253F"/>
                    </a:solidFill>
                  </a:rPr>
                  <a:t>Future Value in Dollars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1" i="0" u="none" strike="noStrike" kern="1200" cap="all" baseline="0">
                  <a:solidFill>
                    <a:srgbClr val="06253F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024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rgbClr val="06253F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75000"/>
      </a:schemeClr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1" i="0" u="none" strike="noStrike" kern="1200" cap="all" spc="120" normalizeH="0" baseline="0">
                <a:solidFill>
                  <a:srgbClr val="06253F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06253F"/>
                </a:solidFill>
              </a:rPr>
              <a:t>Total</a:t>
            </a:r>
            <a:r>
              <a:rPr lang="en-US" baseline="0">
                <a:solidFill>
                  <a:srgbClr val="06253F"/>
                </a:solidFill>
              </a:rPr>
              <a:t> interest by year earned with each offering</a:t>
            </a: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>
                <a:solidFill>
                  <a:srgbClr val="06253F"/>
                </a:solidFill>
              </a:defRPr>
            </a:pPr>
            <a:r>
              <a:rPr lang="en-US" sz="1600" b="1" i="0" u="none" strike="noStrike" kern="1200" cap="all" spc="120" normalizeH="0" baseline="0">
                <a:solidFill>
                  <a:srgbClr val="06253F"/>
                </a:solidFill>
              </a:rPr>
              <a:t>Simple vs compoundinG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600" b="1" i="0" u="none" strike="noStrike" kern="1200" cap="all" spc="120" normalizeH="0" baseline="0">
              <a:solidFill>
                <a:srgbClr val="06253F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'Drill Down'!$D$23</c:f>
              <c:strCache>
                <c:ptCount val="1"/>
                <c:pt idx="0">
                  <c:v>Simple Interest Maturity Value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'Drill Down'!$F$17:$K$17</c:f>
              <c:strCache>
                <c:ptCount val="6"/>
                <c:pt idx="0">
                  <c:v>1 Year @ 9%</c:v>
                </c:pt>
                <c:pt idx="1">
                  <c:v>3 Years @ 10%</c:v>
                </c:pt>
                <c:pt idx="2">
                  <c:v>5 Years @ 11%</c:v>
                </c:pt>
                <c:pt idx="3">
                  <c:v>7 Years @ 12%</c:v>
                </c:pt>
                <c:pt idx="4">
                  <c:v>9 Years @ 12.5%</c:v>
                </c:pt>
                <c:pt idx="5">
                  <c:v>11 Years @ 13%</c:v>
                </c:pt>
              </c:strCache>
            </c:strRef>
          </c:cat>
          <c:val>
            <c:numRef>
              <c:f>'Drill Down'!$F$23:$K$23</c:f>
              <c:numCache>
                <c:formatCode>"$"#,##0.00</c:formatCode>
                <c:ptCount val="6"/>
                <c:pt idx="0">
                  <c:v>546080</c:v>
                </c:pt>
                <c:pt idx="1">
                  <c:v>653600</c:v>
                </c:pt>
                <c:pt idx="2">
                  <c:v>781600</c:v>
                </c:pt>
                <c:pt idx="3">
                  <c:v>930080</c:v>
                </c:pt>
                <c:pt idx="4">
                  <c:v>1076000</c:v>
                </c:pt>
                <c:pt idx="5">
                  <c:v>1232160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20C-4C51-9E27-59707D3FEEF5}"/>
            </c:ext>
          </c:extLst>
        </c:ser>
        <c:ser>
          <c:idx val="1"/>
          <c:order val="1"/>
          <c:tx>
            <c:strRef>
              <c:f>'Drill Down'!$D$24</c:f>
              <c:strCache>
                <c:ptCount val="1"/>
                <c:pt idx="0">
                  <c:v>Compounding Interest Maturity Value</c:v>
                </c:pt>
              </c:strCache>
            </c:strRef>
          </c:tx>
          <c:spPr>
            <a:solidFill>
              <a:srgbClr val="EBBC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'Drill Down'!$F$17:$K$17</c:f>
              <c:strCache>
                <c:ptCount val="6"/>
                <c:pt idx="0">
                  <c:v>1 Year @ 9%</c:v>
                </c:pt>
                <c:pt idx="1">
                  <c:v>3 Years @ 10%</c:v>
                </c:pt>
                <c:pt idx="2">
                  <c:v>5 Years @ 11%</c:v>
                </c:pt>
                <c:pt idx="3">
                  <c:v>7 Years @ 12%</c:v>
                </c:pt>
                <c:pt idx="4">
                  <c:v>9 Years @ 12.5%</c:v>
                </c:pt>
                <c:pt idx="5">
                  <c:v>11 Years @ 13%</c:v>
                </c:pt>
              </c:strCache>
            </c:strRef>
          </c:cat>
          <c:val>
            <c:numRef>
              <c:f>'Drill Down'!$F$24:$K$24</c:f>
              <c:numCache>
                <c:formatCode>"$"#,##0.00</c:formatCode>
                <c:ptCount val="6"/>
                <c:pt idx="0">
                  <c:v>560030.41160754394</c:v>
                </c:pt>
                <c:pt idx="1">
                  <c:v>690270.38331843936</c:v>
                </c:pt>
                <c:pt idx="2">
                  <c:v>885206.1339921531</c:v>
                </c:pt>
                <c:pt idx="3">
                  <c:v>1181043.3249486678</c:v>
                </c:pt>
                <c:pt idx="4">
                  <c:v>1567921.978787509</c:v>
                </c:pt>
                <c:pt idx="5">
                  <c:v>2123104.9305890212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20C-4C51-9E27-59707D3FEE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axId val="1060242544"/>
        <c:axId val="1414735888"/>
        <c:extLst/>
      </c:barChart>
      <c:catAx>
        <c:axId val="1060242544"/>
        <c:scaling>
          <c:orientation val="minMax"/>
        </c:scaling>
        <c:delete val="0"/>
        <c:axPos val="b"/>
        <c:majorGridlines>
          <c:spPr>
            <a:ln w="12700" cap="flat" cmpd="sng" algn="ctr">
              <a:solidFill>
                <a:sysClr val="windowText" lastClr="000000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cap="all" baseline="0">
                    <a:solidFill>
                      <a:srgbClr val="06253F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 b="1">
                    <a:solidFill>
                      <a:srgbClr val="06253F"/>
                    </a:solidFill>
                  </a:rPr>
                  <a:t>Offering Rate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1" i="0" u="none" strike="noStrike" kern="1200" cap="all" baseline="0">
                  <a:solidFill>
                    <a:srgbClr val="06253F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cap="all" spc="120" normalizeH="0" baseline="0">
                <a:solidFill>
                  <a:srgbClr val="06253F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4735888"/>
        <c:crosses val="autoZero"/>
        <c:auto val="1"/>
        <c:lblAlgn val="ctr"/>
        <c:lblOffset val="100"/>
        <c:noMultiLvlLbl val="0"/>
      </c:catAx>
      <c:valAx>
        <c:axId val="14147358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cap="all" baseline="0">
                    <a:solidFill>
                      <a:srgbClr val="06253F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 b="1">
                    <a:solidFill>
                      <a:srgbClr val="06253F"/>
                    </a:solidFill>
                  </a:rPr>
                  <a:t>Future Value in Dollars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1" i="0" u="none" strike="noStrike" kern="1200" cap="all" baseline="0">
                  <a:solidFill>
                    <a:srgbClr val="06253F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024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rgbClr val="06253F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75000"/>
      </a:schemeClr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9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9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20954</xdr:colOff>
      <xdr:row>0</xdr:row>
      <xdr:rowOff>118109</xdr:rowOff>
    </xdr:from>
    <xdr:to>
      <xdr:col>5</xdr:col>
      <xdr:colOff>149361</xdr:colOff>
      <xdr:row>4</xdr:row>
      <xdr:rowOff>148875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40829" y="118109"/>
          <a:ext cx="3150690" cy="804672"/>
        </a:xfrm>
        <a:prstGeom prst="rect">
          <a:avLst/>
        </a:prstGeom>
      </xdr:spPr>
    </xdr:pic>
    <xdr:clientData/>
  </xdr:twoCellAnchor>
  <xdr:twoCellAnchor>
    <xdr:from>
      <xdr:col>3</xdr:col>
      <xdr:colOff>10001</xdr:colOff>
      <xdr:row>23</xdr:row>
      <xdr:rowOff>106468</xdr:rowOff>
    </xdr:from>
    <xdr:to>
      <xdr:col>11</xdr:col>
      <xdr:colOff>0</xdr:colOff>
      <xdr:row>48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962025</xdr:colOff>
          <xdr:row>19</xdr:row>
          <xdr:rowOff>0</xdr:rowOff>
        </xdr:from>
        <xdr:to>
          <xdr:col>1</xdr:col>
          <xdr:colOff>0</xdr:colOff>
          <xdr:row>22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DLaM Display"/>
                  <a:ea typeface="ADLaM Display"/>
                  <a:cs typeface="ADLaM Display"/>
                </a:rPr>
                <a:t>Print to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20955</xdr:colOff>
      <xdr:row>0</xdr:row>
      <xdr:rowOff>118110</xdr:rowOff>
    </xdr:from>
    <xdr:to>
      <xdr:col>5</xdr:col>
      <xdr:colOff>154781</xdr:colOff>
      <xdr:row>4</xdr:row>
      <xdr:rowOff>151880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40830" y="118110"/>
          <a:ext cx="3158014" cy="807676"/>
        </a:xfrm>
        <a:prstGeom prst="rect">
          <a:avLst/>
        </a:prstGeom>
      </xdr:spPr>
    </xdr:pic>
    <xdr:clientData/>
  </xdr:twoCellAnchor>
  <xdr:twoCellAnchor>
    <xdr:from>
      <xdr:col>3</xdr:col>
      <xdr:colOff>20954</xdr:colOff>
      <xdr:row>25</xdr:row>
      <xdr:rowOff>125730</xdr:rowOff>
    </xdr:from>
    <xdr:to>
      <xdr:col>10</xdr:col>
      <xdr:colOff>1247774</xdr:colOff>
      <xdr:row>49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1885950</xdr:colOff>
          <xdr:row>29</xdr:row>
          <xdr:rowOff>28575</xdr:rowOff>
        </xdr:from>
        <xdr:to>
          <xdr:col>1</xdr:col>
          <xdr:colOff>485775</xdr:colOff>
          <xdr:row>32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DLaM Display"/>
                  <a:ea typeface="ADLaM Display"/>
                  <a:cs typeface="ADLaM Display"/>
                </a:rPr>
                <a:t>Print to PDF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57150</xdr:colOff>
      <xdr:row>0</xdr:row>
      <xdr:rowOff>9525</xdr:rowOff>
    </xdr:from>
    <xdr:ext cx="1057275" cy="1104900"/>
    <xdr:pic>
      <xdr:nvPicPr>
        <xdr:cNvPr id="2" name="Image 1" descr="Pictur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7150" y="9525"/>
          <a:ext cx="1057275" cy="1104900"/>
        </a:xfrm>
        <a:prstGeom prst="rect">
          <a:avLst/>
        </a:prstGeom>
      </xdr:spPr>
    </xdr:pic>
    <xdr:clientData/>
  </xdr:oneCellAnchor>
  <xdr:oneCellAnchor>
    <xdr:from>
      <xdr:col>3</xdr:col>
      <xdr:colOff>1333500</xdr:colOff>
      <xdr:row>0</xdr:row>
      <xdr:rowOff>9525</xdr:rowOff>
    </xdr:from>
    <xdr:ext cx="1057275" cy="1104900"/>
    <xdr:pic>
      <xdr:nvPicPr>
        <xdr:cNvPr id="3" name="Image 1" descr="Pictur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 flipH="1">
          <a:off x="7019925" y="9525"/>
          <a:ext cx="1057275" cy="1104900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257175</xdr:colOff>
          <xdr:row>1</xdr:row>
          <xdr:rowOff>171450</xdr:rowOff>
        </xdr:from>
        <xdr:to>
          <xdr:col>10</xdr:col>
          <xdr:colOff>85725</xdr:colOff>
          <xdr:row>3</xdr:row>
          <xdr:rowOff>180975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DLaM Display"/>
                  <a:ea typeface="ADLaM Display"/>
                  <a:cs typeface="ADLaM Display"/>
                </a:rPr>
                <a:t>Print to PDF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Jerry@yahoo.com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D1DB01-625A-4998-93B9-9427CB5A0F21}">
  <sheetPr codeName="Sheet1">
    <tabColor rgb="FF92D050"/>
    <pageSetUpPr fitToPage="1"/>
  </sheetPr>
  <dimension ref="A1:W229"/>
  <sheetViews>
    <sheetView showGridLines="0" zoomScale="80" zoomScaleNormal="80" zoomScaleSheetLayoutView="90" workbookViewId="0">
      <selection activeCell="B8" sqref="B8"/>
    </sheetView>
  </sheetViews>
  <sheetFormatPr defaultRowHeight="15" x14ac:dyDescent="0.25"/>
  <cols>
    <col min="1" max="1" width="52.5703125" customWidth="1"/>
    <col min="2" max="2" width="42" style="6" customWidth="1"/>
    <col min="3" max="3" width="4.85546875" customWidth="1"/>
    <col min="4" max="4" width="23.5703125" style="4" customWidth="1"/>
    <col min="5" max="5" width="21.7109375" style="4" customWidth="1"/>
    <col min="6" max="6" width="18.7109375" style="3" customWidth="1"/>
    <col min="7" max="11" width="18.7109375" style="5" customWidth="1"/>
    <col min="12" max="12" width="3.85546875" style="4" customWidth="1"/>
    <col min="13" max="13" width="18.7109375" style="4" customWidth="1"/>
    <col min="14" max="14" width="18.7109375" style="3" customWidth="1"/>
    <col min="15" max="15" width="13.42578125" style="2" customWidth="1"/>
    <col min="16" max="16" width="10.85546875" style="2" customWidth="1"/>
    <col min="17" max="17" width="17.140625" style="2" customWidth="1"/>
    <col min="18" max="18" width="13.42578125" style="2" customWidth="1"/>
    <col min="19" max="19" width="14.5703125" style="2" customWidth="1"/>
    <col min="20" max="20" width="5.7109375" customWidth="1"/>
  </cols>
  <sheetData>
    <row r="1" spans="1:23" ht="15" customHeight="1" x14ac:dyDescent="0.35">
      <c r="J1" s="32"/>
      <c r="K1" s="32"/>
      <c r="L1" s="32"/>
      <c r="M1" s="32"/>
      <c r="N1" s="32"/>
      <c r="O1" s="32"/>
      <c r="P1" s="32"/>
      <c r="Q1" s="32"/>
      <c r="R1" s="32"/>
      <c r="S1" s="32"/>
    </row>
    <row r="2" spans="1:23" ht="15" customHeight="1" x14ac:dyDescent="0.35">
      <c r="G2" s="17"/>
      <c r="H2" s="17"/>
      <c r="I2" s="17"/>
      <c r="J2" s="32"/>
      <c r="K2" s="32"/>
      <c r="L2" s="32"/>
      <c r="M2" s="32"/>
      <c r="N2" s="32"/>
      <c r="O2" s="32"/>
      <c r="P2" s="32"/>
      <c r="Q2" s="32"/>
      <c r="R2" s="32"/>
      <c r="S2" s="32"/>
    </row>
    <row r="3" spans="1:23" ht="15" customHeight="1" x14ac:dyDescent="0.35">
      <c r="G3" s="17"/>
      <c r="H3" s="17"/>
      <c r="I3" s="34"/>
      <c r="J3" s="124"/>
      <c r="K3" s="124"/>
      <c r="L3" s="32"/>
      <c r="M3" s="32"/>
      <c r="N3" s="32"/>
      <c r="O3" s="32"/>
      <c r="P3" s="32"/>
      <c r="Q3" s="32"/>
      <c r="R3" s="32"/>
      <c r="S3" s="32"/>
    </row>
    <row r="4" spans="1:23" ht="16.149999999999999" customHeight="1" x14ac:dyDescent="0.35">
      <c r="G4" s="17"/>
      <c r="H4" s="17"/>
      <c r="J4" s="124"/>
      <c r="K4" s="124"/>
      <c r="L4" s="33"/>
      <c r="M4" s="33"/>
      <c r="N4" s="32"/>
      <c r="O4" s="32"/>
      <c r="P4" s="32"/>
      <c r="Q4" s="32"/>
      <c r="R4" s="32"/>
      <c r="S4" s="32"/>
    </row>
    <row r="5" spans="1:23" ht="16.899999999999999" customHeight="1" x14ac:dyDescent="0.25">
      <c r="G5" s="17"/>
      <c r="H5" s="17"/>
      <c r="I5" s="17"/>
      <c r="J5" s="125"/>
      <c r="K5" s="125"/>
      <c r="M5" s="2"/>
      <c r="N5" s="2"/>
    </row>
    <row r="6" spans="1:23" ht="15.75" x14ac:dyDescent="0.25">
      <c r="A6" s="18" t="s">
        <v>2</v>
      </c>
      <c r="B6" s="19" t="s">
        <v>0</v>
      </c>
      <c r="D6" s="126" t="s">
        <v>3</v>
      </c>
      <c r="E6" s="127"/>
      <c r="F6" s="127"/>
      <c r="G6" s="127"/>
      <c r="H6" s="127"/>
      <c r="I6" s="127"/>
      <c r="J6" s="127"/>
      <c r="K6" s="128"/>
      <c r="M6" s="2"/>
      <c r="N6" s="2"/>
    </row>
    <row r="7" spans="1:23" ht="16.5" x14ac:dyDescent="0.3">
      <c r="A7" s="23" t="s">
        <v>1</v>
      </c>
      <c r="B7" s="118">
        <v>500000</v>
      </c>
      <c r="D7" s="121" t="s">
        <v>4</v>
      </c>
      <c r="E7" s="122"/>
      <c r="F7" s="122"/>
      <c r="G7" s="53"/>
      <c r="H7" s="122" t="s">
        <v>5</v>
      </c>
      <c r="I7" s="122"/>
      <c r="J7" s="122"/>
      <c r="K7" s="123"/>
      <c r="L7" s="16"/>
      <c r="M7" s="2"/>
      <c r="N7" s="2"/>
    </row>
    <row r="8" spans="1:23" ht="16.5" x14ac:dyDescent="0.3">
      <c r="A8" s="23" t="s">
        <v>6</v>
      </c>
      <c r="B8" s="25">
        <v>11</v>
      </c>
      <c r="D8" s="70" t="s">
        <v>7</v>
      </c>
      <c r="E8" s="82"/>
      <c r="F8" s="42" t="str">
        <f>B11</f>
        <v>Jerry</v>
      </c>
      <c r="G8" s="83"/>
      <c r="H8" s="78" t="s">
        <v>1</v>
      </c>
      <c r="I8" s="84"/>
      <c r="J8" s="84"/>
      <c r="K8" s="72">
        <f>Investment_Amount</f>
        <v>500000</v>
      </c>
      <c r="L8" s="2"/>
      <c r="M8" s="2"/>
      <c r="N8" s="2"/>
    </row>
    <row r="9" spans="1:23" ht="16.5" x14ac:dyDescent="0.3">
      <c r="A9" s="20" t="s">
        <v>8</v>
      </c>
      <c r="B9" s="39">
        <f>IF(Years=1,9%,IF(Years=3,10%,IF(Years=5,11%,IF(Years=7,12%,IF(Years=9,12.5%,IF(Years=11,13%,"error"))))))</f>
        <v>0.13</v>
      </c>
      <c r="D9" s="51" t="s">
        <v>39</v>
      </c>
      <c r="E9" s="82"/>
      <c r="F9" s="86"/>
      <c r="G9" s="85"/>
      <c r="H9" s="71" t="s">
        <v>8</v>
      </c>
      <c r="I9" s="84"/>
      <c r="J9" s="84"/>
      <c r="K9" s="73">
        <f>Rate</f>
        <v>0.13</v>
      </c>
      <c r="L9" s="11"/>
      <c r="M9" s="2"/>
      <c r="N9" s="2"/>
    </row>
    <row r="10" spans="1:23" ht="16.5" x14ac:dyDescent="0.3">
      <c r="A10" s="20" t="s">
        <v>10</v>
      </c>
      <c r="B10" s="26" t="s">
        <v>32</v>
      </c>
      <c r="D10" s="71" t="s">
        <v>40</v>
      </c>
      <c r="E10" s="84"/>
      <c r="F10" s="43">
        <f>'Payment Schedule'!A5</f>
        <v>0</v>
      </c>
      <c r="G10" s="83"/>
      <c r="H10" s="71" t="str">
        <f>A8</f>
        <v>Term (Years)</v>
      </c>
      <c r="I10" s="84"/>
      <c r="J10" s="84"/>
      <c r="K10" s="74">
        <f>Years</f>
        <v>11</v>
      </c>
      <c r="L10" s="2"/>
    </row>
    <row r="11" spans="1:23" ht="16.5" x14ac:dyDescent="0.3">
      <c r="A11" s="20" t="s">
        <v>7</v>
      </c>
      <c r="B11" s="27" t="s">
        <v>33</v>
      </c>
      <c r="D11" s="71" t="s">
        <v>41</v>
      </c>
      <c r="E11" s="84"/>
      <c r="F11" s="43"/>
      <c r="G11" s="84"/>
      <c r="H11" s="71" t="s">
        <v>12</v>
      </c>
      <c r="I11" s="84"/>
      <c r="J11" s="84"/>
      <c r="K11" s="74">
        <f>Years*12</f>
        <v>132</v>
      </c>
      <c r="L11" s="2"/>
    </row>
    <row r="12" spans="1:23" ht="16.5" x14ac:dyDescent="0.3">
      <c r="A12" s="20" t="s">
        <v>9</v>
      </c>
      <c r="B12" s="35" t="s">
        <v>34</v>
      </c>
      <c r="D12" s="52"/>
      <c r="E12"/>
      <c r="F12" s="105"/>
      <c r="G12" s="87"/>
      <c r="H12" s="115" t="s">
        <v>37</v>
      </c>
      <c r="I12" s="113"/>
      <c r="J12" s="113"/>
      <c r="K12" s="114">
        <f>ROUNDUP(Investment_Amount/1000,0)</f>
        <v>500</v>
      </c>
      <c r="L12" s="2"/>
    </row>
    <row r="13" spans="1:23" ht="16.5" x14ac:dyDescent="0.3">
      <c r="A13" s="23" t="s">
        <v>11</v>
      </c>
      <c r="B13" s="27" t="s">
        <v>14</v>
      </c>
      <c r="D13" s="80"/>
      <c r="G13" s="87"/>
      <c r="H13" s="111" t="s">
        <v>13</v>
      </c>
      <c r="I13" s="112"/>
      <c r="J13" s="112"/>
      <c r="K13" s="110">
        <f>IF(B10="Simple",IF(K10=1,F21,IF(K10=3,G21,IF(K10=5,H21,IF(K10=7,I21,IF(K10=9,J21,IF(K10=11,K21,"error")))))),IF(K10=1,F22,IF(K10=3,G22,IF(K10=5,H22,IF(K10=7,I22,IF(K10=9,J22,IF(K10=11,K22,"error")))))))</f>
        <v>2073343.4087783408</v>
      </c>
      <c r="L13" s="2"/>
    </row>
    <row r="14" spans="1:23" ht="16.5" x14ac:dyDescent="0.3">
      <c r="B14" s="29" t="str">
        <f>IF(Years=1,"Regulation D Series U  (Simple Interest)",IF(AND(Years=3, Rate=10%),"Regulation D Series V (Simple Interest)",IF(Years=5,"Regulation D Series W (Simple Interest)",IF(Years=7,"Regulation D Series X (Simple Interest)",IF(Years=9,"Regulation D Series Y (Simple Interest)",IF(Years=11,"Regulation D Series Z (Simple Interest)",IF(AND(Years=3, Rate=9%), "Regulation A Series A (Simple Interest)", "Error")))))))</f>
        <v>Regulation D Series Z (Simple Interest)</v>
      </c>
      <c r="D14" s="80"/>
      <c r="G14" s="105"/>
      <c r="H14" s="54"/>
      <c r="I14" s="105"/>
      <c r="J14" s="105"/>
      <c r="K14" s="77"/>
      <c r="L14"/>
      <c r="M14"/>
      <c r="O14" s="3"/>
      <c r="P14" s="3"/>
      <c r="Q14" s="3"/>
      <c r="R14" s="3"/>
      <c r="S14" s="3"/>
    </row>
    <row r="15" spans="1:23" ht="15" customHeight="1" x14ac:dyDescent="0.25">
      <c r="A15" s="21" t="s">
        <v>15</v>
      </c>
      <c r="B15" s="30">
        <f>(Investment_Amount)*(Rate/12)*(Years*12)</f>
        <v>715000</v>
      </c>
      <c r="D15" s="96" t="s">
        <v>16</v>
      </c>
      <c r="E15" s="88"/>
      <c r="F15" s="89"/>
      <c r="G15" s="89"/>
      <c r="H15" s="89"/>
      <c r="I15" s="89"/>
      <c r="J15" s="90"/>
      <c r="K15" s="104"/>
    </row>
    <row r="16" spans="1:23" ht="17.25" x14ac:dyDescent="0.3">
      <c r="B16" s="28" t="str">
        <f>IF(Years=1,"Regulation D Series U-1 (Compounding Interest)",IF(Years=3,"Regulation D Series V-1 (Compounding Interest)",IF(Years=5,"Regulation D Series W-1 (Compounding Interest)",IF(Years=7,"Regulation D Series X-1 (Compounding Interest)",IF(Years=9,"Regulation D Series Y-1 (Compounding Interest)",IF(Years=11,"Regulation D Series Z-1","Error"))))))</f>
        <v>Regulation D Series Z-1</v>
      </c>
      <c r="D16" s="97" t="s">
        <v>17</v>
      </c>
      <c r="E16" s="91"/>
      <c r="F16" s="56" t="s">
        <v>36</v>
      </c>
      <c r="G16" s="56" t="s">
        <v>18</v>
      </c>
      <c r="H16" s="56" t="s">
        <v>19</v>
      </c>
      <c r="I16" s="56" t="s">
        <v>20</v>
      </c>
      <c r="J16" s="56" t="s">
        <v>21</v>
      </c>
      <c r="K16" s="56" t="s">
        <v>22</v>
      </c>
      <c r="U16" s="120"/>
      <c r="V16" s="120"/>
      <c r="W16" s="2"/>
    </row>
    <row r="17" spans="1:23" ht="17.25" x14ac:dyDescent="0.3">
      <c r="A17" s="21" t="s">
        <v>23</v>
      </c>
      <c r="B17" s="22">
        <f>((Investment_Amount)*((1+(Rate/12))^(12*Years)))-(Investment_Amount)</f>
        <v>1573343.4087783408</v>
      </c>
      <c r="D17" s="98" t="s">
        <v>24</v>
      </c>
      <c r="E17" s="41"/>
      <c r="F17" s="57">
        <f t="shared" ref="F15:K17" si="0">Investment_Amount</f>
        <v>500000</v>
      </c>
      <c r="G17" s="57">
        <f t="shared" si="0"/>
        <v>500000</v>
      </c>
      <c r="H17" s="57">
        <f t="shared" si="0"/>
        <v>500000</v>
      </c>
      <c r="I17" s="57">
        <f t="shared" si="0"/>
        <v>500000</v>
      </c>
      <c r="J17" s="57">
        <f t="shared" si="0"/>
        <v>500000</v>
      </c>
      <c r="K17" s="57">
        <f t="shared" si="0"/>
        <v>500000</v>
      </c>
      <c r="U17" s="120"/>
      <c r="V17" s="120"/>
      <c r="W17" s="2"/>
    </row>
    <row r="18" spans="1:23" ht="17.25" x14ac:dyDescent="0.3">
      <c r="D18" s="99" t="s">
        <v>25</v>
      </c>
      <c r="E18" s="55"/>
      <c r="F18" s="58">
        <f>(F17*((9%/12)*(1*12)))</f>
        <v>45000</v>
      </c>
      <c r="G18" s="58">
        <f>(G17*((10%)/12)*(3*12))</f>
        <v>150000</v>
      </c>
      <c r="H18" s="58">
        <f>(H17*((11%/12)*(5*12)))</f>
        <v>275000</v>
      </c>
      <c r="I18" s="58">
        <f>(I17*(12%/12)*(7*12))</f>
        <v>420000</v>
      </c>
      <c r="J18" s="58">
        <f>(J17*((12.5%)/12)*(9*12))</f>
        <v>562500</v>
      </c>
      <c r="K18" s="58">
        <f>(K17*((13%)/12)*(11*12))</f>
        <v>715000</v>
      </c>
    </row>
    <row r="19" spans="1:23" ht="17.25" x14ac:dyDescent="0.3">
      <c r="C19" s="15"/>
      <c r="D19" s="98" t="s">
        <v>26</v>
      </c>
      <c r="E19" s="41"/>
      <c r="F19" s="57">
        <f>((F17)*((1+(9%/12))^(12*1)))-(F17)</f>
        <v>46903.448835492134</v>
      </c>
      <c r="G19" s="57">
        <f>((G17)*((1+(10%/12))^(12*3)))-(G17)</f>
        <v>174090.92120941344</v>
      </c>
      <c r="H19" s="57">
        <f>((H17)*((1+(11%/12))^(12*5)))-(H17)</f>
        <v>364457.86522671196</v>
      </c>
      <c r="I19" s="57">
        <f>((I17)*((1+(12%/12))^(12*7)))-(I17)</f>
        <v>653361.37202018336</v>
      </c>
      <c r="J19" s="57">
        <f>((J17)*((1+(12.5%/12))^(12*9)))-(J17)</f>
        <v>1031172.5574096767</v>
      </c>
      <c r="K19" s="57">
        <f>((K17)*((1+(13%/12))^(12*11)))-(K17)</f>
        <v>1573343.4087783408</v>
      </c>
    </row>
    <row r="20" spans="1:23" ht="7.35" customHeight="1" x14ac:dyDescent="0.3">
      <c r="C20" s="12"/>
      <c r="D20" s="71"/>
      <c r="F20" s="59"/>
      <c r="G20" s="59"/>
      <c r="H20" s="59"/>
      <c r="I20" s="59"/>
      <c r="J20" s="59"/>
      <c r="K20" s="59"/>
    </row>
    <row r="21" spans="1:23" ht="17.25" x14ac:dyDescent="0.3">
      <c r="B21"/>
      <c r="C21" s="12"/>
      <c r="D21" s="102" t="s">
        <v>27</v>
      </c>
      <c r="E21" s="106"/>
      <c r="F21" s="60">
        <f>SUM(F18,F17)</f>
        <v>545000</v>
      </c>
      <c r="G21" s="60">
        <f t="shared" ref="F19:K21" si="1">SUM(G18,G17)</f>
        <v>650000</v>
      </c>
      <c r="H21" s="60">
        <f t="shared" si="1"/>
        <v>775000</v>
      </c>
      <c r="I21" s="60">
        <f t="shared" si="1"/>
        <v>920000</v>
      </c>
      <c r="J21" s="60">
        <f t="shared" si="1"/>
        <v>1062500</v>
      </c>
      <c r="K21" s="60">
        <f t="shared" si="1"/>
        <v>1215000</v>
      </c>
    </row>
    <row r="22" spans="1:23" ht="17.25" x14ac:dyDescent="0.3">
      <c r="B22"/>
      <c r="C22" s="12"/>
      <c r="D22" s="109" t="s">
        <v>28</v>
      </c>
      <c r="E22" s="107"/>
      <c r="F22" s="108">
        <f>F17+F19</f>
        <v>546903.44883549213</v>
      </c>
      <c r="G22" s="108">
        <f t="shared" ref="F20:K22" si="2">G17+G19</f>
        <v>674090.92120941344</v>
      </c>
      <c r="H22" s="108">
        <f t="shared" si="2"/>
        <v>864457.86522671196</v>
      </c>
      <c r="I22" s="108">
        <f t="shared" si="2"/>
        <v>1153361.3720201834</v>
      </c>
      <c r="J22" s="108">
        <f t="shared" si="2"/>
        <v>1531172.5574096767</v>
      </c>
      <c r="K22" s="108">
        <f t="shared" si="2"/>
        <v>2073343.4087783408</v>
      </c>
    </row>
    <row r="23" spans="1:23" x14ac:dyDescent="0.25">
      <c r="B23"/>
      <c r="C23" s="12"/>
      <c r="G23" s="31"/>
      <c r="H23" s="31"/>
      <c r="I23" s="31"/>
      <c r="J23" s="31"/>
      <c r="K23" s="31"/>
    </row>
    <row r="24" spans="1:23" ht="18" customHeight="1" x14ac:dyDescent="0.25">
      <c r="B24"/>
      <c r="C24" s="12"/>
      <c r="F24" s="4"/>
      <c r="P24"/>
      <c r="Q24"/>
      <c r="R24"/>
      <c r="S24"/>
    </row>
    <row r="25" spans="1:23" ht="15" customHeight="1" x14ac:dyDescent="0.25">
      <c r="B25"/>
      <c r="C25" s="12"/>
      <c r="F25" s="4"/>
      <c r="P25" s="14"/>
      <c r="Q25" s="14"/>
      <c r="R25" s="14"/>
      <c r="S25" s="14"/>
    </row>
    <row r="26" spans="1:23" x14ac:dyDescent="0.25">
      <c r="B26"/>
      <c r="C26" s="12"/>
      <c r="F26" s="4"/>
      <c r="G26" s="4"/>
      <c r="H26" s="4"/>
      <c r="I26" s="4"/>
      <c r="J26" s="4"/>
      <c r="K26" s="4"/>
    </row>
    <row r="27" spans="1:23" x14ac:dyDescent="0.25">
      <c r="B27"/>
      <c r="C27" s="12"/>
      <c r="F27" s="4"/>
      <c r="G27" s="4"/>
      <c r="H27" s="4"/>
      <c r="I27" s="4"/>
      <c r="J27" s="4"/>
      <c r="K27" s="4"/>
      <c r="N27" s="4"/>
      <c r="O27" s="4"/>
    </row>
    <row r="28" spans="1:23" x14ac:dyDescent="0.25">
      <c r="B28"/>
      <c r="C28" s="12"/>
      <c r="F28" s="4"/>
      <c r="G28" s="4"/>
      <c r="H28" s="4"/>
      <c r="I28" s="4"/>
      <c r="J28" s="4"/>
      <c r="K28" s="4"/>
      <c r="O28" s="14"/>
    </row>
    <row r="29" spans="1:23" x14ac:dyDescent="0.25">
      <c r="B29"/>
      <c r="F29" s="4"/>
      <c r="G29" s="4"/>
      <c r="H29" s="4"/>
      <c r="I29" s="4"/>
      <c r="J29" s="4"/>
      <c r="K29" s="4"/>
      <c r="O29" s="8"/>
    </row>
    <row r="30" spans="1:23" x14ac:dyDescent="0.25">
      <c r="F30" s="4"/>
      <c r="G30" s="4"/>
      <c r="H30" s="4"/>
      <c r="I30" s="4"/>
      <c r="J30" s="4"/>
      <c r="K30" s="4"/>
      <c r="O30" s="8"/>
    </row>
    <row r="31" spans="1:23" x14ac:dyDescent="0.25">
      <c r="F31" s="4"/>
      <c r="G31" s="4"/>
      <c r="H31" s="4"/>
      <c r="I31" s="4"/>
      <c r="J31" s="4"/>
      <c r="K31" s="4"/>
      <c r="O31" s="8"/>
    </row>
    <row r="32" spans="1:23" x14ac:dyDescent="0.25">
      <c r="F32" s="4"/>
      <c r="G32" s="4"/>
      <c r="H32" s="4"/>
      <c r="I32" s="4"/>
      <c r="J32" s="4"/>
      <c r="K32" s="4"/>
      <c r="O32" s="8"/>
    </row>
    <row r="33" spans="4:15" x14ac:dyDescent="0.25">
      <c r="F33" s="4"/>
      <c r="G33" s="4"/>
      <c r="H33" s="4"/>
      <c r="I33" s="4"/>
      <c r="J33" s="4"/>
      <c r="K33" s="4"/>
      <c r="O33" s="8"/>
    </row>
    <row r="34" spans="4:15" x14ac:dyDescent="0.25">
      <c r="F34" s="4"/>
      <c r="G34" s="4"/>
      <c r="H34" s="4"/>
      <c r="I34" s="4"/>
      <c r="J34" s="4"/>
      <c r="K34" s="4"/>
      <c r="O34" s="8"/>
    </row>
    <row r="35" spans="4:15" x14ac:dyDescent="0.25">
      <c r="F35" s="4"/>
      <c r="G35" s="4"/>
      <c r="H35" s="4"/>
      <c r="I35" s="4"/>
      <c r="J35" s="4"/>
      <c r="K35" s="4"/>
      <c r="L35" s="10"/>
      <c r="M35" s="10"/>
      <c r="N35" s="10"/>
      <c r="O35" s="8"/>
    </row>
    <row r="36" spans="4:15" x14ac:dyDescent="0.25">
      <c r="D36" s="9"/>
      <c r="E36" s="9"/>
      <c r="F36" s="9"/>
      <c r="G36" s="4"/>
      <c r="H36" s="4"/>
      <c r="I36" s="4"/>
      <c r="J36" s="4"/>
      <c r="K36" s="4"/>
      <c r="L36" s="9"/>
      <c r="M36" s="9"/>
      <c r="N36" s="8"/>
      <c r="O36" s="8"/>
    </row>
    <row r="37" spans="4:15" x14ac:dyDescent="0.25">
      <c r="D37" s="9"/>
      <c r="E37" s="9"/>
      <c r="F37" s="9"/>
      <c r="G37" s="4"/>
      <c r="H37" s="4"/>
      <c r="I37" s="4"/>
      <c r="J37" s="4"/>
      <c r="K37" s="4"/>
      <c r="L37" s="9"/>
      <c r="M37" s="9"/>
      <c r="N37" s="8"/>
      <c r="O37" s="8"/>
    </row>
    <row r="38" spans="4:15" x14ac:dyDescent="0.25">
      <c r="D38" s="9"/>
      <c r="E38" s="9"/>
      <c r="F38" s="9"/>
      <c r="G38" s="9"/>
      <c r="H38" s="9"/>
      <c r="I38" s="9"/>
      <c r="J38" s="9"/>
      <c r="K38" s="9"/>
      <c r="L38" s="9"/>
      <c r="M38" s="9"/>
      <c r="N38" s="8"/>
      <c r="O38" s="8"/>
    </row>
    <row r="39" spans="4:15" x14ac:dyDescent="0.25">
      <c r="D39" s="9"/>
      <c r="E39" s="9"/>
      <c r="F39" s="9"/>
      <c r="G39" s="9"/>
      <c r="H39" s="9"/>
      <c r="I39" s="9"/>
      <c r="J39" s="9"/>
      <c r="K39" s="9"/>
      <c r="L39" s="9"/>
      <c r="M39" s="9"/>
      <c r="N39" s="8"/>
      <c r="O39" s="8"/>
    </row>
    <row r="40" spans="4:15" x14ac:dyDescent="0.25">
      <c r="D40" s="9"/>
      <c r="E40" s="9"/>
      <c r="F40" s="9"/>
      <c r="G40" s="9"/>
      <c r="H40" s="9"/>
      <c r="I40" s="9"/>
      <c r="J40" s="9"/>
      <c r="K40" s="9"/>
      <c r="L40" s="9"/>
      <c r="M40" s="9"/>
      <c r="N40" s="8"/>
      <c r="O40" s="8"/>
    </row>
    <row r="41" spans="4:15" x14ac:dyDescent="0.25">
      <c r="D41" s="9"/>
      <c r="E41" s="9"/>
      <c r="F41" s="9"/>
      <c r="G41" s="9"/>
      <c r="H41" s="9"/>
      <c r="I41" s="9"/>
      <c r="J41" s="9"/>
      <c r="K41" s="9"/>
      <c r="L41" s="9"/>
      <c r="M41" s="9"/>
      <c r="N41" s="8"/>
      <c r="O41" s="8"/>
    </row>
    <row r="42" spans="4:15" x14ac:dyDescent="0.25">
      <c r="D42" s="9"/>
      <c r="E42" s="9"/>
      <c r="F42" s="9"/>
      <c r="G42" s="9"/>
      <c r="H42" s="9"/>
      <c r="I42" s="9"/>
      <c r="J42" s="9"/>
      <c r="K42" s="9"/>
      <c r="L42" s="9"/>
      <c r="M42" s="9"/>
      <c r="N42" s="8"/>
      <c r="O42" s="8"/>
    </row>
    <row r="43" spans="4:15" x14ac:dyDescent="0.25">
      <c r="D43" s="9"/>
      <c r="E43" s="9"/>
      <c r="F43" s="9"/>
      <c r="G43" s="9"/>
      <c r="H43" s="9"/>
      <c r="I43" s="9"/>
      <c r="J43" s="9"/>
      <c r="K43" s="9"/>
      <c r="L43" s="9"/>
      <c r="M43" s="9"/>
      <c r="N43" s="8"/>
      <c r="O43" s="8"/>
    </row>
    <row r="44" spans="4:15" x14ac:dyDescent="0.25">
      <c r="D44" s="9"/>
      <c r="E44" s="9"/>
      <c r="F44" s="9"/>
      <c r="G44" s="9"/>
      <c r="H44" s="9"/>
      <c r="I44" s="9"/>
      <c r="J44" s="9"/>
      <c r="K44" s="9"/>
      <c r="L44" s="9"/>
      <c r="M44" s="9"/>
      <c r="N44" s="8"/>
      <c r="O44" s="8"/>
    </row>
    <row r="45" spans="4:15" x14ac:dyDescent="0.25">
      <c r="D45"/>
      <c r="E45"/>
      <c r="F45" s="9"/>
      <c r="G45" s="9"/>
      <c r="H45" s="9"/>
      <c r="I45" s="9"/>
      <c r="J45" s="9"/>
      <c r="K45" s="9"/>
      <c r="L45" s="9"/>
      <c r="M45" s="9"/>
      <c r="N45" s="8"/>
      <c r="O45" s="8"/>
    </row>
    <row r="46" spans="4:15" x14ac:dyDescent="0.25">
      <c r="D46" s="6"/>
      <c r="E46" s="6"/>
      <c r="F46" s="9"/>
      <c r="G46" s="9"/>
      <c r="H46" s="9"/>
      <c r="I46" s="9"/>
      <c r="J46" s="9"/>
      <c r="K46" s="9"/>
      <c r="L46" s="9"/>
      <c r="M46" s="9"/>
      <c r="N46" s="8"/>
      <c r="O46" s="8"/>
    </row>
    <row r="47" spans="4:15" x14ac:dyDescent="0.25">
      <c r="F47" s="9"/>
      <c r="H47" s="9"/>
      <c r="I47" s="9"/>
      <c r="J47" s="9"/>
      <c r="K47" s="9"/>
      <c r="L47" s="9"/>
      <c r="M47"/>
      <c r="O47" s="8"/>
    </row>
    <row r="48" spans="4:15" x14ac:dyDescent="0.25">
      <c r="F48" s="9"/>
      <c r="G48" s="9"/>
      <c r="H48" s="9"/>
      <c r="I48" s="9"/>
      <c r="J48" s="9"/>
      <c r="K48" s="9"/>
      <c r="L48" s="9"/>
      <c r="M48" s="6"/>
      <c r="N48" s="6"/>
      <c r="O48" s="8"/>
    </row>
    <row r="49" spans="6:15" x14ac:dyDescent="0.25">
      <c r="F49" s="9"/>
      <c r="G49" s="9"/>
      <c r="H49" s="9"/>
      <c r="I49" s="9"/>
      <c r="J49" s="9"/>
      <c r="K49" s="9"/>
      <c r="L49" s="9"/>
      <c r="O49" s="8"/>
    </row>
    <row r="50" spans="6:15" x14ac:dyDescent="0.25">
      <c r="F50" s="9"/>
      <c r="G50" s="9"/>
      <c r="H50" s="9"/>
      <c r="I50" s="9"/>
      <c r="J50" s="9"/>
      <c r="K50" s="9"/>
      <c r="L50" s="9"/>
      <c r="O50" s="8"/>
    </row>
    <row r="51" spans="6:15" x14ac:dyDescent="0.25">
      <c r="F51" s="9"/>
      <c r="G51" s="9"/>
      <c r="H51" s="9"/>
      <c r="I51" s="9"/>
      <c r="J51" s="9"/>
      <c r="K51" s="9"/>
      <c r="L51" s="9"/>
      <c r="O51" s="8"/>
    </row>
    <row r="52" spans="6:15" x14ac:dyDescent="0.25">
      <c r="F52" s="9"/>
      <c r="G52" s="9"/>
      <c r="H52" s="9"/>
      <c r="I52" s="9"/>
      <c r="J52" s="9"/>
      <c r="K52" s="9"/>
      <c r="L52" s="9"/>
      <c r="O52" s="8"/>
    </row>
    <row r="53" spans="6:15" x14ac:dyDescent="0.25">
      <c r="F53" s="9"/>
      <c r="G53" s="9"/>
      <c r="H53" s="9"/>
      <c r="I53" s="9"/>
      <c r="J53" s="9"/>
      <c r="K53" s="9"/>
      <c r="L53" s="9"/>
      <c r="O53" s="8"/>
    </row>
    <row r="54" spans="6:15" x14ac:dyDescent="0.25">
      <c r="F54" s="9"/>
      <c r="G54" s="9"/>
      <c r="H54" s="9"/>
      <c r="I54" s="9"/>
      <c r="J54" s="9"/>
      <c r="K54" s="9"/>
      <c r="L54" s="9"/>
      <c r="O54" s="8"/>
    </row>
    <row r="55" spans="6:15" x14ac:dyDescent="0.25">
      <c r="F55" s="9"/>
      <c r="G55" s="9"/>
      <c r="H55" s="9"/>
      <c r="I55" s="9"/>
      <c r="J55" s="9"/>
      <c r="K55" s="9"/>
      <c r="L55" s="9"/>
      <c r="O55" s="8"/>
    </row>
    <row r="56" spans="6:15" x14ac:dyDescent="0.25">
      <c r="F56" s="9"/>
      <c r="G56" s="9"/>
      <c r="H56" s="9"/>
      <c r="I56" s="9"/>
      <c r="J56" s="9"/>
      <c r="K56" s="9"/>
      <c r="L56" s="9"/>
      <c r="O56" s="8"/>
    </row>
    <row r="57" spans="6:15" x14ac:dyDescent="0.25">
      <c r="F57" s="9"/>
      <c r="G57" s="9"/>
      <c r="H57" s="9"/>
      <c r="I57" s="9"/>
      <c r="J57" s="9"/>
      <c r="K57" s="9"/>
      <c r="L57" s="9"/>
      <c r="O57" s="8"/>
    </row>
    <row r="58" spans="6:15" x14ac:dyDescent="0.25">
      <c r="F58" s="9"/>
      <c r="G58" s="9"/>
      <c r="H58" s="9"/>
      <c r="I58" s="9"/>
      <c r="J58" s="9"/>
      <c r="K58" s="9"/>
      <c r="L58" s="9"/>
      <c r="O58" s="8"/>
    </row>
    <row r="59" spans="6:15" x14ac:dyDescent="0.25">
      <c r="F59" s="9"/>
      <c r="G59" s="9"/>
      <c r="H59" s="9"/>
      <c r="I59" s="9"/>
      <c r="J59" s="9"/>
      <c r="K59" s="9"/>
      <c r="L59" s="9"/>
      <c r="O59" s="8"/>
    </row>
    <row r="60" spans="6:15" x14ac:dyDescent="0.25">
      <c r="F60" s="9"/>
      <c r="G60" s="9"/>
      <c r="H60" s="9"/>
      <c r="I60" s="9"/>
      <c r="J60" s="9"/>
      <c r="K60" s="9"/>
      <c r="L60" s="9"/>
      <c r="O60" s="8"/>
    </row>
    <row r="61" spans="6:15" x14ac:dyDescent="0.25">
      <c r="F61" s="9"/>
      <c r="G61" s="9"/>
      <c r="H61" s="9"/>
      <c r="I61" s="9"/>
      <c r="J61" s="9"/>
      <c r="K61" s="9"/>
      <c r="L61" s="9"/>
      <c r="O61" s="8"/>
    </row>
    <row r="62" spans="6:15" x14ac:dyDescent="0.25">
      <c r="F62" s="9"/>
      <c r="G62" s="9"/>
      <c r="H62" s="9"/>
      <c r="I62" s="9"/>
      <c r="J62" s="9"/>
      <c r="K62" s="9"/>
      <c r="L62" s="9"/>
      <c r="O62" s="8"/>
    </row>
    <row r="63" spans="6:15" x14ac:dyDescent="0.25">
      <c r="F63" s="9"/>
      <c r="G63" s="9"/>
      <c r="H63" s="9"/>
      <c r="I63" s="9"/>
      <c r="J63" s="9"/>
      <c r="K63" s="9"/>
      <c r="L63" s="9"/>
      <c r="O63" s="8"/>
    </row>
    <row r="64" spans="6:15" x14ac:dyDescent="0.25">
      <c r="F64" s="9"/>
      <c r="G64" s="9"/>
      <c r="H64" s="9"/>
      <c r="I64" s="9"/>
      <c r="J64" s="9"/>
      <c r="K64" s="9"/>
      <c r="L64" s="9"/>
      <c r="O64" s="8"/>
    </row>
    <row r="65" spans="6:15" x14ac:dyDescent="0.25">
      <c r="F65" s="9"/>
      <c r="G65" s="9"/>
      <c r="H65" s="9"/>
      <c r="I65" s="9"/>
      <c r="J65" s="9"/>
      <c r="K65" s="9"/>
      <c r="L65" s="9"/>
      <c r="O65" s="8"/>
    </row>
    <row r="66" spans="6:15" x14ac:dyDescent="0.25">
      <c r="F66" s="9"/>
      <c r="G66" s="9"/>
      <c r="H66" s="9"/>
      <c r="I66" s="9"/>
      <c r="J66" s="9"/>
      <c r="K66" s="9"/>
      <c r="L66" s="9"/>
      <c r="O66" s="8"/>
    </row>
    <row r="67" spans="6:15" x14ac:dyDescent="0.25">
      <c r="F67" s="9"/>
      <c r="G67" s="9"/>
      <c r="H67" s="9"/>
      <c r="I67" s="9"/>
      <c r="J67" s="9"/>
      <c r="K67" s="9"/>
      <c r="L67" s="9"/>
      <c r="O67" s="8"/>
    </row>
    <row r="68" spans="6:15" x14ac:dyDescent="0.25">
      <c r="F68" s="9"/>
      <c r="G68" s="9"/>
      <c r="H68" s="9"/>
      <c r="I68" s="9"/>
      <c r="J68" s="9"/>
      <c r="K68" s="9"/>
      <c r="L68" s="9"/>
      <c r="O68" s="8"/>
    </row>
    <row r="69" spans="6:15" x14ac:dyDescent="0.25">
      <c r="F69" s="9"/>
      <c r="G69" s="9"/>
      <c r="H69" s="9"/>
      <c r="I69" s="9"/>
      <c r="J69" s="9"/>
      <c r="K69" s="9"/>
      <c r="L69" s="9"/>
      <c r="O69" s="8"/>
    </row>
    <row r="70" spans="6:15" x14ac:dyDescent="0.25">
      <c r="F70" s="9"/>
      <c r="G70" s="9"/>
      <c r="H70" s="9"/>
      <c r="I70" s="9"/>
      <c r="J70" s="9"/>
      <c r="K70" s="9"/>
      <c r="L70" s="9"/>
      <c r="O70" s="8"/>
    </row>
    <row r="71" spans="6:15" x14ac:dyDescent="0.25">
      <c r="F71" s="9"/>
      <c r="G71" s="9"/>
      <c r="H71" s="9"/>
      <c r="I71" s="9"/>
      <c r="J71" s="9"/>
      <c r="K71" s="9"/>
      <c r="L71" s="9"/>
      <c r="O71" s="8"/>
    </row>
    <row r="72" spans="6:15" x14ac:dyDescent="0.25">
      <c r="F72" s="9"/>
      <c r="G72" s="9"/>
      <c r="H72" s="9"/>
      <c r="I72" s="9"/>
      <c r="J72" s="9"/>
      <c r="K72" s="9"/>
      <c r="L72" s="9"/>
      <c r="O72" s="8"/>
    </row>
    <row r="73" spans="6:15" x14ac:dyDescent="0.25">
      <c r="F73" s="9"/>
      <c r="G73" s="9"/>
      <c r="H73" s="9"/>
      <c r="I73" s="9"/>
      <c r="J73" s="9"/>
      <c r="K73" s="9"/>
      <c r="L73" s="9"/>
      <c r="O73" s="8"/>
    </row>
    <row r="74" spans="6:15" x14ac:dyDescent="0.25">
      <c r="F74" s="9"/>
      <c r="G74" s="9"/>
      <c r="H74" s="9"/>
      <c r="I74" s="9"/>
      <c r="J74" s="9"/>
      <c r="K74" s="9"/>
      <c r="L74" s="9"/>
      <c r="O74" s="8"/>
    </row>
    <row r="75" spans="6:15" x14ac:dyDescent="0.25">
      <c r="F75" s="9"/>
      <c r="G75" s="9"/>
      <c r="H75" s="9"/>
      <c r="I75" s="9"/>
      <c r="J75" s="9"/>
      <c r="K75" s="9"/>
      <c r="L75" s="9"/>
      <c r="O75" s="8"/>
    </row>
    <row r="76" spans="6:15" x14ac:dyDescent="0.25">
      <c r="F76" s="9"/>
      <c r="G76" s="9"/>
      <c r="H76" s="9"/>
      <c r="I76" s="9"/>
      <c r="J76" s="9"/>
      <c r="K76" s="9"/>
      <c r="L76" s="9"/>
      <c r="O76" s="8"/>
    </row>
    <row r="77" spans="6:15" x14ac:dyDescent="0.25">
      <c r="F77" s="9"/>
      <c r="G77" s="9"/>
      <c r="H77" s="9"/>
      <c r="I77" s="9"/>
      <c r="J77" s="9"/>
      <c r="K77" s="9"/>
      <c r="L77" s="9"/>
      <c r="O77" s="8"/>
    </row>
    <row r="78" spans="6:15" x14ac:dyDescent="0.25">
      <c r="F78" s="9"/>
      <c r="G78" s="9"/>
      <c r="H78" s="9"/>
      <c r="I78" s="9"/>
      <c r="J78" s="9"/>
      <c r="K78" s="9"/>
      <c r="L78" s="9"/>
      <c r="O78" s="8"/>
    </row>
    <row r="79" spans="6:15" x14ac:dyDescent="0.25">
      <c r="F79" s="9"/>
      <c r="G79" s="9"/>
      <c r="H79" s="9"/>
      <c r="I79" s="9"/>
      <c r="J79" s="9"/>
      <c r="K79" s="9"/>
      <c r="L79" s="9"/>
      <c r="O79" s="8"/>
    </row>
    <row r="80" spans="6:15" x14ac:dyDescent="0.25">
      <c r="F80" s="9"/>
      <c r="G80" s="9"/>
      <c r="H80" s="9"/>
      <c r="I80" s="9"/>
      <c r="J80" s="9"/>
      <c r="K80" s="9"/>
      <c r="L80" s="9"/>
      <c r="O80" s="8"/>
    </row>
    <row r="81" spans="6:15" x14ac:dyDescent="0.25">
      <c r="F81" s="9"/>
      <c r="G81" s="9"/>
      <c r="H81" s="9"/>
      <c r="I81" s="9"/>
      <c r="J81" s="9"/>
      <c r="K81" s="9"/>
      <c r="L81" s="9"/>
      <c r="O81" s="8"/>
    </row>
    <row r="82" spans="6:15" x14ac:dyDescent="0.25">
      <c r="F82" s="9"/>
      <c r="G82" s="9"/>
      <c r="H82" s="9"/>
      <c r="I82" s="9"/>
      <c r="J82" s="9"/>
      <c r="K82" s="9"/>
      <c r="L82" s="9"/>
      <c r="O82" s="8"/>
    </row>
    <row r="83" spans="6:15" x14ac:dyDescent="0.25">
      <c r="F83" s="9"/>
      <c r="G83" s="9"/>
      <c r="H83" s="9"/>
      <c r="I83" s="9"/>
      <c r="J83" s="9"/>
      <c r="K83" s="9"/>
      <c r="L83" s="9"/>
      <c r="O83" s="8"/>
    </row>
    <row r="84" spans="6:15" x14ac:dyDescent="0.25">
      <c r="F84" s="9"/>
      <c r="G84" s="9"/>
      <c r="H84" s="9"/>
      <c r="I84" s="9"/>
      <c r="J84" s="9"/>
      <c r="K84" s="9"/>
      <c r="L84" s="9"/>
      <c r="O84" s="8"/>
    </row>
    <row r="85" spans="6:15" x14ac:dyDescent="0.25">
      <c r="F85" s="9"/>
      <c r="G85" s="9"/>
      <c r="H85" s="9"/>
      <c r="I85" s="9"/>
      <c r="J85" s="9"/>
      <c r="K85" s="9"/>
      <c r="L85" s="9"/>
      <c r="O85" s="8"/>
    </row>
    <row r="86" spans="6:15" x14ac:dyDescent="0.25">
      <c r="F86" s="9"/>
      <c r="G86" s="9"/>
      <c r="H86" s="9"/>
      <c r="I86" s="9"/>
      <c r="J86" s="9"/>
      <c r="K86" s="9"/>
      <c r="L86" s="9"/>
      <c r="O86" s="8"/>
    </row>
    <row r="87" spans="6:15" x14ac:dyDescent="0.25">
      <c r="F87" s="9"/>
      <c r="G87" s="9"/>
      <c r="H87" s="9"/>
      <c r="I87" s="9"/>
      <c r="J87" s="9"/>
      <c r="K87" s="9"/>
      <c r="L87" s="9"/>
      <c r="O87" s="8"/>
    </row>
    <row r="88" spans="6:15" x14ac:dyDescent="0.25">
      <c r="F88" s="9"/>
      <c r="G88" s="9"/>
      <c r="H88" s="9"/>
      <c r="I88" s="9"/>
      <c r="J88" s="9"/>
      <c r="K88" s="9"/>
      <c r="L88" s="9"/>
      <c r="O88" s="8"/>
    </row>
    <row r="89" spans="6:15" x14ac:dyDescent="0.25">
      <c r="F89" s="9"/>
      <c r="G89" s="9"/>
      <c r="H89" s="9"/>
      <c r="I89" s="9"/>
      <c r="J89" s="9"/>
      <c r="K89" s="9"/>
      <c r="L89" s="9"/>
      <c r="O89" s="8"/>
    </row>
    <row r="90" spans="6:15" x14ac:dyDescent="0.25">
      <c r="F90" s="9"/>
      <c r="G90" s="9"/>
      <c r="H90" s="9"/>
      <c r="I90" s="9"/>
      <c r="J90" s="9"/>
      <c r="K90" s="9"/>
      <c r="L90" s="9"/>
      <c r="O90" s="8"/>
    </row>
    <row r="91" spans="6:15" x14ac:dyDescent="0.25">
      <c r="F91" s="9"/>
      <c r="G91" s="9"/>
      <c r="H91" s="9"/>
      <c r="I91" s="9"/>
      <c r="J91" s="9"/>
      <c r="K91" s="9"/>
      <c r="L91" s="9"/>
      <c r="O91" s="8"/>
    </row>
    <row r="92" spans="6:15" x14ac:dyDescent="0.25">
      <c r="F92" s="9"/>
      <c r="G92" s="9"/>
      <c r="H92" s="9"/>
      <c r="I92" s="9"/>
      <c r="J92" s="9"/>
      <c r="K92" s="9"/>
      <c r="L92" s="9"/>
      <c r="O92" s="8"/>
    </row>
    <row r="93" spans="6:15" x14ac:dyDescent="0.25">
      <c r="F93" s="9"/>
      <c r="G93" s="9"/>
      <c r="H93" s="9"/>
      <c r="I93" s="9"/>
      <c r="J93" s="9"/>
      <c r="K93" s="9"/>
      <c r="L93" s="9"/>
      <c r="O93" s="8"/>
    </row>
    <row r="94" spans="6:15" x14ac:dyDescent="0.25">
      <c r="F94" s="9"/>
      <c r="G94" s="9"/>
      <c r="H94" s="9"/>
      <c r="I94" s="9"/>
      <c r="J94" s="9"/>
      <c r="K94" s="9"/>
      <c r="L94" s="9"/>
      <c r="O94" s="8"/>
    </row>
    <row r="95" spans="6:15" x14ac:dyDescent="0.25">
      <c r="F95" s="9"/>
      <c r="G95" s="9"/>
      <c r="H95" s="9"/>
      <c r="I95" s="9"/>
      <c r="J95" s="9"/>
      <c r="K95" s="9"/>
      <c r="L95" s="9"/>
      <c r="O95" s="8"/>
    </row>
    <row r="96" spans="6:15" x14ac:dyDescent="0.25">
      <c r="F96" s="9"/>
      <c r="G96" s="9"/>
      <c r="H96" s="9"/>
      <c r="I96" s="9"/>
      <c r="J96" s="9"/>
      <c r="K96" s="9"/>
      <c r="L96" s="9"/>
      <c r="O96" s="8"/>
    </row>
    <row r="97" spans="6:19" x14ac:dyDescent="0.25">
      <c r="F97" s="9"/>
      <c r="G97" s="9"/>
      <c r="H97" s="9"/>
      <c r="I97" s="9"/>
      <c r="J97" s="9"/>
      <c r="K97" s="9"/>
      <c r="L97" s="9"/>
      <c r="O97" s="8"/>
    </row>
    <row r="98" spans="6:19" x14ac:dyDescent="0.25">
      <c r="F98" s="9"/>
      <c r="G98" s="9"/>
      <c r="H98" s="9"/>
      <c r="I98" s="9"/>
      <c r="J98" s="9"/>
      <c r="K98" s="9"/>
      <c r="L98" s="9"/>
      <c r="O98" s="8"/>
    </row>
    <row r="99" spans="6:19" x14ac:dyDescent="0.25">
      <c r="F99" s="9"/>
      <c r="G99" s="9"/>
      <c r="H99" s="9"/>
      <c r="I99" s="9"/>
      <c r="J99" s="9"/>
      <c r="K99" s="9"/>
      <c r="L99" s="9"/>
      <c r="O99" s="8"/>
    </row>
    <row r="100" spans="6:19" x14ac:dyDescent="0.25">
      <c r="F100" s="9"/>
      <c r="G100" s="9"/>
      <c r="H100" s="9"/>
      <c r="I100" s="9"/>
      <c r="J100" s="9"/>
      <c r="K100" s="9"/>
      <c r="L100" s="9"/>
      <c r="O100" s="8"/>
    </row>
    <row r="101" spans="6:19" x14ac:dyDescent="0.25">
      <c r="F101" s="9"/>
      <c r="G101" s="9"/>
      <c r="H101" s="9"/>
      <c r="I101" s="9"/>
      <c r="J101" s="9"/>
      <c r="K101" s="9"/>
      <c r="L101" s="9"/>
      <c r="O101" s="8"/>
    </row>
    <row r="102" spans="6:19" x14ac:dyDescent="0.25">
      <c r="F102" s="9"/>
      <c r="G102" s="9"/>
      <c r="H102" s="9"/>
      <c r="I102" s="9"/>
      <c r="J102" s="9"/>
      <c r="K102" s="9"/>
      <c r="L102" s="9"/>
      <c r="O102" s="8"/>
    </row>
    <row r="103" spans="6:19" x14ac:dyDescent="0.25">
      <c r="F103" s="9"/>
      <c r="G103" s="9" t="str">
        <f>IF(Investment_Amount&lt;100000,"",IF(ISBLANK(D101),"",IF(D101=0,-Investment_Amount+Discount,IF(D101=Years*12,Investment_Amount-Discount,""))))</f>
        <v/>
      </c>
      <c r="H103" s="9" t="str">
        <f>IF(Investment_Amount&lt;100000,"",IF(ISBLANK(D101),"",IF(D101=0,Discount,"")))</f>
        <v/>
      </c>
      <c r="I103" s="9" t="str">
        <f>IF(Investment_Amount&lt;100000,"",IF(ISBLANK(D101),"",IF(D101&lt;=Years*12,((Investment_Amount-Discount)*Rate/12)*D101,"")))</f>
        <v/>
      </c>
      <c r="J103" s="9" t="str">
        <f>IF(Investment_Amount&lt;100000,"",IF(ISBLANK(D101),"",IF(AND(D101&lt;Years*12,D101&gt;0),I103-I102,IF(D101=0,Discount,IF(D101=Years*12,(Investment_Amount-Discount)+I103-I102,"")))))</f>
        <v/>
      </c>
      <c r="K103" s="9" t="str">
        <f>IF(Investment_Amount&lt;100000,"",IF(ISBLANK(D101),"",IF(D101&lt;=Years*12,SUM(J$50:J103),"")))</f>
        <v/>
      </c>
      <c r="L103" s="9"/>
      <c r="O103" s="8" t="str">
        <f t="shared" ref="O103:O113" si="3">IF(Investment_Amount&lt;100000,"",IF(ISBLANK(M103),"",IF(M103=0,-Investment_Amount+Discount,IF(M103=Years*12,Investment_Amount-Discount,""))))</f>
        <v/>
      </c>
      <c r="P103" s="2" t="str">
        <f t="shared" ref="P103:P113" si="4">IF(Investment_Amount&lt;100000,"",IF(ISBLANK(M103),"",IF(M103=0,Discount,"")))</f>
        <v/>
      </c>
      <c r="Q103" s="2" t="str">
        <f t="shared" ref="Q103:Q113" si="5">IF(Investment_Amount&lt;100000,"",IF(ISBLANK(M103),"",IF(M103&lt;=Years*12,((Investment_Amount-Discount)*(1+Rate/12)^M103)-(Investment_Amount-Discount),"")))</f>
        <v/>
      </c>
      <c r="R103" s="2" t="str">
        <f t="shared" ref="R103:R113" si="6">IF(Investment_Amount&lt;100000,"",IF(ISBLANK(M103),"",IF(AND(M103&lt;Years*12,M103&gt;0),Q103-Q102,IF(M103=0,Discount,IF(M103=Years*12,(Investment_Amount-Discount)+Q103-Q102,"")))))</f>
        <v/>
      </c>
      <c r="S103" s="2" t="str">
        <f>IF(Investment_Amount&lt;100000,"",IF(ISBLANK(M103),"",IF(M103&lt;=Years*12,SUM(R$50:R103),"")))</f>
        <v/>
      </c>
    </row>
    <row r="104" spans="6:19" x14ac:dyDescent="0.25">
      <c r="F104" s="9"/>
      <c r="G104" s="9" t="str">
        <f>IF(Investment_Amount&lt;100000,"",IF(ISBLANK(D102),"",IF(D102=0,-Investment_Amount+Discount,IF(D102=Years*12,Investment_Amount-Discount,""))))</f>
        <v/>
      </c>
      <c r="H104" s="9" t="str">
        <f>IF(Investment_Amount&lt;100000,"",IF(ISBLANK(D102),"",IF(D102=0,Discount,"")))</f>
        <v/>
      </c>
      <c r="I104" s="9" t="str">
        <f>IF(Investment_Amount&lt;100000,"",IF(ISBLANK(D102),"",IF(D102&lt;=Years*12,((Investment_Amount-Discount)*Rate/12)*D102,"")))</f>
        <v/>
      </c>
      <c r="J104" s="9" t="str">
        <f>IF(Investment_Amount&lt;100000,"",IF(ISBLANK(D102),"",IF(AND(D102&lt;Years*12,D102&gt;0),I104-I103,IF(D102=0,Discount,IF(D102=Years*12,(Investment_Amount-Discount)+I104-I103,"")))))</f>
        <v/>
      </c>
      <c r="K104" s="9" t="str">
        <f>IF(Investment_Amount&lt;100000,"",IF(ISBLANK(D102),"",IF(D102&lt;=Years*12,SUM(J$50:J104),"")))</f>
        <v/>
      </c>
      <c r="L104" s="9"/>
      <c r="O104" s="8" t="str">
        <f t="shared" si="3"/>
        <v/>
      </c>
      <c r="P104" s="2" t="str">
        <f t="shared" si="4"/>
        <v/>
      </c>
      <c r="Q104" s="2" t="str">
        <f t="shared" si="5"/>
        <v/>
      </c>
      <c r="R104" s="2" t="str">
        <f t="shared" si="6"/>
        <v/>
      </c>
      <c r="S104" s="2" t="str">
        <f>IF(Investment_Amount&lt;100000,"",IF(ISBLANK(M104),"",IF(M104&lt;=Years*12,SUM(R$50:R104),"")))</f>
        <v/>
      </c>
    </row>
    <row r="105" spans="6:19" x14ac:dyDescent="0.25">
      <c r="F105" s="9"/>
      <c r="G105" s="9" t="str">
        <f>IF(Investment_Amount&lt;100000,"",IF(ISBLANK(D103),"",IF(D103=0,-Investment_Amount+Discount,IF(D103=Years*12,Investment_Amount-Discount,""))))</f>
        <v/>
      </c>
      <c r="H105" s="9" t="str">
        <f>IF(Investment_Amount&lt;100000,"",IF(ISBLANK(D103),"",IF(D103=0,Discount,"")))</f>
        <v/>
      </c>
      <c r="I105" s="9" t="str">
        <f>IF(Investment_Amount&lt;100000,"",IF(ISBLANK(D103),"",IF(D103&lt;=Years*12,((Investment_Amount-Discount)*Rate/12)*D103,"")))</f>
        <v/>
      </c>
      <c r="J105" s="9" t="str">
        <f>IF(Investment_Amount&lt;100000,"",IF(ISBLANK(D103),"",IF(AND(D103&lt;Years*12,D103&gt;0),I105-I104,IF(D103=0,Discount,IF(D103=Years*12,(Investment_Amount-Discount)+I105-I104,"")))))</f>
        <v/>
      </c>
      <c r="K105" s="9" t="str">
        <f>IF(Investment_Amount&lt;100000,"",IF(ISBLANK(D103),"",IF(D103&lt;=Years*12,SUM(J$50:J105),"")))</f>
        <v/>
      </c>
      <c r="L105" s="9"/>
      <c r="O105" s="8" t="str">
        <f t="shared" si="3"/>
        <v/>
      </c>
      <c r="P105" s="2" t="str">
        <f t="shared" si="4"/>
        <v/>
      </c>
      <c r="Q105" s="2" t="str">
        <f t="shared" si="5"/>
        <v/>
      </c>
      <c r="R105" s="2" t="str">
        <f t="shared" si="6"/>
        <v/>
      </c>
      <c r="S105" s="2" t="str">
        <f>IF(Investment_Amount&lt;100000,"",IF(ISBLANK(M105),"",IF(M105&lt;=Years*12,SUM(R$50:R105),"")))</f>
        <v/>
      </c>
    </row>
    <row r="106" spans="6:19" x14ac:dyDescent="0.25">
      <c r="F106" s="9"/>
      <c r="G106" s="9" t="str">
        <f>IF(Investment_Amount&lt;100000,"",IF(ISBLANK(D104),"",IF(D104=0,-Investment_Amount+Discount,IF(D104=Years*12,Investment_Amount-Discount,""))))</f>
        <v/>
      </c>
      <c r="H106" s="9" t="str">
        <f>IF(Investment_Amount&lt;100000,"",IF(ISBLANK(D104),"",IF(D104=0,Discount,"")))</f>
        <v/>
      </c>
      <c r="I106" s="9" t="str">
        <f>IF(Investment_Amount&lt;100000,"",IF(ISBLANK(D104),"",IF(D104&lt;=Years*12,((Investment_Amount-Discount)*Rate/12)*D104,"")))</f>
        <v/>
      </c>
      <c r="J106" s="9" t="str">
        <f>IF(Investment_Amount&lt;100000,"",IF(ISBLANK(D104),"",IF(AND(D104&lt;Years*12,D104&gt;0),I106-I105,IF(D104=0,Discount,IF(D104=Years*12,(Investment_Amount-Discount)+I106-I105,"")))))</f>
        <v/>
      </c>
      <c r="K106" s="9" t="str">
        <f>IF(Investment_Amount&lt;100000,"",IF(ISBLANK(D104),"",IF(D104&lt;=Years*12,SUM(J$50:J106),"")))</f>
        <v/>
      </c>
      <c r="L106" s="9"/>
      <c r="O106" s="8" t="str">
        <f t="shared" si="3"/>
        <v/>
      </c>
      <c r="P106" s="2" t="str">
        <f t="shared" si="4"/>
        <v/>
      </c>
      <c r="Q106" s="2" t="str">
        <f t="shared" si="5"/>
        <v/>
      </c>
      <c r="R106" s="2" t="str">
        <f t="shared" si="6"/>
        <v/>
      </c>
      <c r="S106" s="2" t="str">
        <f>IF(Investment_Amount&lt;100000,"",IF(ISBLANK(M106),"",IF(M106&lt;=Years*12,SUM(R$50:R106),"")))</f>
        <v/>
      </c>
    </row>
    <row r="107" spans="6:19" x14ac:dyDescent="0.25">
      <c r="F107" s="9"/>
      <c r="G107" s="9" t="str">
        <f>IF(Investment_Amount&lt;100000,"",IF(ISBLANK(D105),"",IF(D105=0,-Investment_Amount+Discount,IF(D105=Years*12,Investment_Amount-Discount,""))))</f>
        <v/>
      </c>
      <c r="H107" s="9" t="str">
        <f>IF(Investment_Amount&lt;100000,"",IF(ISBLANK(D105),"",IF(D105=0,Discount,"")))</f>
        <v/>
      </c>
      <c r="I107" s="9" t="str">
        <f>IF(Investment_Amount&lt;100000,"",IF(ISBLANK(D105),"",IF(D105&lt;=Years*12,((Investment_Amount-Discount)*Rate/12)*D105,"")))</f>
        <v/>
      </c>
      <c r="J107" s="9" t="str">
        <f>IF(Investment_Amount&lt;100000,"",IF(ISBLANK(D105),"",IF(AND(D105&lt;Years*12,D105&gt;0),I107-I106,IF(D105=0,Discount,IF(D105=Years*12,(Investment_Amount-Discount)+I107-I106,"")))))</f>
        <v/>
      </c>
      <c r="K107" s="9" t="str">
        <f>IF(Investment_Amount&lt;100000,"",IF(ISBLANK(D105),"",IF(D105&lt;=Years*12,SUM(J$50:J107),"")))</f>
        <v/>
      </c>
      <c r="L107" s="9"/>
      <c r="O107" s="8" t="str">
        <f t="shared" si="3"/>
        <v/>
      </c>
      <c r="P107" s="2" t="str">
        <f t="shared" si="4"/>
        <v/>
      </c>
      <c r="Q107" s="2" t="str">
        <f t="shared" si="5"/>
        <v/>
      </c>
      <c r="R107" s="2" t="str">
        <f t="shared" si="6"/>
        <v/>
      </c>
      <c r="S107" s="2" t="str">
        <f>IF(Investment_Amount&lt;100000,"",IF(ISBLANK(M107),"",IF(M107&lt;=Years*12,SUM(R$50:R107),"")))</f>
        <v/>
      </c>
    </row>
    <row r="108" spans="6:19" x14ac:dyDescent="0.25">
      <c r="F108" s="9"/>
      <c r="G108" s="9" t="str">
        <f>IF(Investment_Amount&lt;100000,"",IF(ISBLANK(D106),"",IF(D106=0,-Investment_Amount+Discount,IF(D106=Years*12,Investment_Amount-Discount,""))))</f>
        <v/>
      </c>
      <c r="H108" s="9" t="str">
        <f>IF(Investment_Amount&lt;100000,"",IF(ISBLANK(D106),"",IF(D106=0,Discount,"")))</f>
        <v/>
      </c>
      <c r="I108" s="9" t="str">
        <f>IF(Investment_Amount&lt;100000,"",IF(ISBLANK(D106),"",IF(D106&lt;=Years*12,((Investment_Amount-Discount)*Rate/12)*D106,"")))</f>
        <v/>
      </c>
      <c r="J108" s="9" t="str">
        <f>IF(Investment_Amount&lt;100000,"",IF(ISBLANK(D106),"",IF(AND(D106&lt;Years*12,D106&gt;0),I108-I107,IF(D106=0,Discount,IF(D106=Years*12,(Investment_Amount-Discount)+I108-I107,"")))))</f>
        <v/>
      </c>
      <c r="K108" s="9" t="str">
        <f>IF(Investment_Amount&lt;100000,"",IF(ISBLANK(D106),"",IF(D106&lt;=Years*12,SUM(J$50:J108),"")))</f>
        <v/>
      </c>
      <c r="L108" s="9"/>
      <c r="O108" s="8" t="str">
        <f t="shared" si="3"/>
        <v/>
      </c>
      <c r="P108" s="2" t="str">
        <f t="shared" si="4"/>
        <v/>
      </c>
      <c r="Q108" s="2" t="str">
        <f t="shared" si="5"/>
        <v/>
      </c>
      <c r="R108" s="2" t="str">
        <f t="shared" si="6"/>
        <v/>
      </c>
      <c r="S108" s="2" t="str">
        <f>IF(Investment_Amount&lt;100000,"",IF(ISBLANK(M108),"",IF(M108&lt;=Years*12,SUM(R$50:R108),"")))</f>
        <v/>
      </c>
    </row>
    <row r="109" spans="6:19" x14ac:dyDescent="0.25">
      <c r="F109" s="9"/>
      <c r="G109" s="9" t="str">
        <f>IF(Investment_Amount&lt;100000,"",IF(ISBLANK(D107),"",IF(D107=0,-Investment_Amount+Discount,IF(D107=Years*12,Investment_Amount-Discount,""))))</f>
        <v/>
      </c>
      <c r="H109" s="9" t="str">
        <f>IF(Investment_Amount&lt;100000,"",IF(ISBLANK(D107),"",IF(D107=0,Discount,"")))</f>
        <v/>
      </c>
      <c r="I109" s="9" t="str">
        <f>IF(Investment_Amount&lt;100000,"",IF(ISBLANK(D107),"",IF(D107&lt;=Years*12,((Investment_Amount-Discount)*Rate/12)*D107,"")))</f>
        <v/>
      </c>
      <c r="J109" s="9" t="str">
        <f>IF(Investment_Amount&lt;100000,"",IF(ISBLANK(D107),"",IF(AND(D107&lt;Years*12,D107&gt;0),I109-I108,IF(D107=0,Discount,IF(D107=Years*12,(Investment_Amount-Discount)+I109-I108,"")))))</f>
        <v/>
      </c>
      <c r="K109" s="9" t="str">
        <f>IF(Investment_Amount&lt;100000,"",IF(ISBLANK(D107),"",IF(D107&lt;=Years*12,SUM(J$50:J109),"")))</f>
        <v/>
      </c>
      <c r="L109" s="9"/>
      <c r="O109" s="8" t="str">
        <f t="shared" si="3"/>
        <v/>
      </c>
      <c r="P109" s="2" t="str">
        <f t="shared" si="4"/>
        <v/>
      </c>
      <c r="Q109" s="2" t="str">
        <f t="shared" si="5"/>
        <v/>
      </c>
      <c r="R109" s="2" t="str">
        <f t="shared" si="6"/>
        <v/>
      </c>
      <c r="S109" s="2" t="str">
        <f>IF(Investment_Amount&lt;100000,"",IF(ISBLANK(M109),"",IF(M109&lt;=Years*12,SUM(R$50:R109),"")))</f>
        <v/>
      </c>
    </row>
    <row r="110" spans="6:19" x14ac:dyDescent="0.25">
      <c r="F110" s="9"/>
      <c r="G110" s="9" t="str">
        <f>IF(Investment_Amount&lt;100000,"",IF(ISBLANK(D108),"",IF(D108=0,-Investment_Amount+Discount,IF(D108=Years*12,Investment_Amount-Discount,""))))</f>
        <v/>
      </c>
      <c r="H110" s="9" t="str">
        <f>IF(Investment_Amount&lt;100000,"",IF(ISBLANK(D108),"",IF(D108=0,Discount,"")))</f>
        <v/>
      </c>
      <c r="I110" s="9" t="str">
        <f>IF(Investment_Amount&lt;100000,"",IF(ISBLANK(D108),"",IF(D108&lt;=Years*12,((Investment_Amount-Discount)*Rate/12)*D108,"")))</f>
        <v/>
      </c>
      <c r="J110" s="9" t="str">
        <f>IF(Investment_Amount&lt;100000,"",IF(ISBLANK(D108),"",IF(AND(D108&lt;Years*12,D108&gt;0),I110-I109,IF(D108=0,Discount,IF(D108=Years*12,(Investment_Amount-Discount)+I110-I109,"")))))</f>
        <v/>
      </c>
      <c r="K110" s="9" t="str">
        <f>IF(Investment_Amount&lt;100000,"",IF(ISBLANK(D108),"",IF(D108&lt;=Years*12,SUM(J$50:J110),"")))</f>
        <v/>
      </c>
      <c r="L110" s="9"/>
      <c r="O110" s="8" t="str">
        <f t="shared" si="3"/>
        <v/>
      </c>
      <c r="P110" s="2" t="str">
        <f t="shared" si="4"/>
        <v/>
      </c>
      <c r="Q110" s="2" t="str">
        <f t="shared" si="5"/>
        <v/>
      </c>
      <c r="R110" s="2" t="str">
        <f t="shared" si="6"/>
        <v/>
      </c>
      <c r="S110" s="2" t="str">
        <f>IF(Investment_Amount&lt;100000,"",IF(ISBLANK(M110),"",IF(M110&lt;=Years*12,SUM(R$50:R110),"")))</f>
        <v/>
      </c>
    </row>
    <row r="111" spans="6:19" x14ac:dyDescent="0.25">
      <c r="F111" s="9"/>
      <c r="G111" s="9" t="str">
        <f>IF(Investment_Amount&lt;100000,"",IF(ISBLANK(D109),"",IF(D109=0,-Investment_Amount+Discount,IF(D109=Years*12,Investment_Amount-Discount,""))))</f>
        <v/>
      </c>
      <c r="H111" s="9" t="str">
        <f>IF(Investment_Amount&lt;100000,"",IF(ISBLANK(D109),"",IF(D109=0,Discount,"")))</f>
        <v/>
      </c>
      <c r="I111" s="9" t="str">
        <f>IF(Investment_Amount&lt;100000,"",IF(ISBLANK(D109),"",IF(D109&lt;=Years*12,((Investment_Amount-Discount)*Rate/12)*D109,"")))</f>
        <v/>
      </c>
      <c r="J111" s="9" t="str">
        <f>IF(Investment_Amount&lt;100000,"",IF(ISBLANK(D109),"",IF(AND(D109&lt;Years*12,D109&gt;0),I111-I110,IF(D109=0,Discount,IF(D109=Years*12,(Investment_Amount-Discount)+I111-I110,"")))))</f>
        <v/>
      </c>
      <c r="K111" s="9" t="str">
        <f>IF(Investment_Amount&lt;100000,"",IF(ISBLANK(D109),"",IF(D109&lt;=Years*12,SUM(J$50:J111),"")))</f>
        <v/>
      </c>
      <c r="L111" s="9"/>
      <c r="O111" s="8" t="str">
        <f t="shared" si="3"/>
        <v/>
      </c>
      <c r="P111" s="2" t="str">
        <f t="shared" si="4"/>
        <v/>
      </c>
      <c r="Q111" s="2" t="str">
        <f t="shared" si="5"/>
        <v/>
      </c>
      <c r="R111" s="2" t="str">
        <f t="shared" si="6"/>
        <v/>
      </c>
      <c r="S111" s="2" t="str">
        <f>IF(Investment_Amount&lt;100000,"",IF(ISBLANK(M111),"",IF(M111&lt;=Years*12,SUM(R$50:R111),"")))</f>
        <v/>
      </c>
    </row>
    <row r="112" spans="6:19" x14ac:dyDescent="0.25">
      <c r="F112" s="9"/>
      <c r="G112" s="9" t="str">
        <f>IF(Investment_Amount&lt;100000,"",IF(ISBLANK(D110),"",IF(D110=0,-Investment_Amount+Discount,IF(D110=Years*12,Investment_Amount-Discount,""))))</f>
        <v/>
      </c>
      <c r="H112" s="9" t="str">
        <f>IF(Investment_Amount&lt;100000,"",IF(ISBLANK(D110),"",IF(D110=0,Discount,"")))</f>
        <v/>
      </c>
      <c r="I112" s="9" t="str">
        <f>IF(Investment_Amount&lt;100000,"",IF(ISBLANK(D110),"",IF(D110&lt;=Years*12,((Investment_Amount-Discount)*Rate/12)*D110,"")))</f>
        <v/>
      </c>
      <c r="J112" s="9" t="str">
        <f>IF(Investment_Amount&lt;100000,"",IF(ISBLANK(D110),"",IF(AND(D110&lt;Years*12,D110&gt;0),I112-I111,IF(D110=0,Discount,IF(D110=Years*12,(Investment_Amount-Discount)+I112-I111,"")))))</f>
        <v/>
      </c>
      <c r="K112" s="9" t="str">
        <f>IF(Investment_Amount&lt;100000,"",IF(ISBLANK(D110),"",IF(D110&lt;=Years*12,SUM(J$50:J112),"")))</f>
        <v/>
      </c>
      <c r="L112" s="9"/>
      <c r="O112" s="8" t="str">
        <f t="shared" si="3"/>
        <v/>
      </c>
      <c r="P112" s="2" t="str">
        <f t="shared" si="4"/>
        <v/>
      </c>
      <c r="Q112" s="2" t="str">
        <f t="shared" si="5"/>
        <v/>
      </c>
      <c r="R112" s="2" t="str">
        <f t="shared" si="6"/>
        <v/>
      </c>
      <c r="S112" s="2" t="str">
        <f>IF(Investment_Amount&lt;100000,"",IF(ISBLANK(M112),"",IF(M112&lt;=Years*12,SUM(R$50:R112),"")))</f>
        <v/>
      </c>
    </row>
    <row r="113" spans="6:19" x14ac:dyDescent="0.25">
      <c r="F113" s="9"/>
      <c r="G113" s="9" t="str">
        <f>IF(Investment_Amount&lt;100000,"",IF(ISBLANK(D111),"",IF(D111=0,-Investment_Amount+Discount,IF(D111=Years*12,Investment_Amount-Discount,""))))</f>
        <v/>
      </c>
      <c r="H113" s="9" t="str">
        <f>IF(Investment_Amount&lt;100000,"",IF(ISBLANK(D111),"",IF(D111=0,Discount,"")))</f>
        <v/>
      </c>
      <c r="I113" s="9" t="str">
        <f>IF(Investment_Amount&lt;100000,"",IF(ISBLANK(D111),"",IF(D111&lt;=Years*12,((Investment_Amount-Discount)*Rate/12)*D111,"")))</f>
        <v/>
      </c>
      <c r="J113" s="9" t="str">
        <f>IF(Investment_Amount&lt;100000,"",IF(ISBLANK(D111),"",IF(AND(D111&lt;Years*12,D111&gt;0),I113-I112,IF(D111=0,Discount,IF(D111=Years*12,(Investment_Amount-Discount)+I113-I112,"")))))</f>
        <v/>
      </c>
      <c r="K113" s="9" t="str">
        <f>IF(Investment_Amount&lt;100000,"",IF(ISBLANK(D111),"",IF(D111&lt;=Years*12,SUM(J$50:J113),"")))</f>
        <v/>
      </c>
      <c r="L113" s="9"/>
      <c r="O113" s="8" t="str">
        <f t="shared" si="3"/>
        <v/>
      </c>
      <c r="P113" s="2" t="str">
        <f t="shared" si="4"/>
        <v/>
      </c>
      <c r="Q113" s="2" t="str">
        <f t="shared" si="5"/>
        <v/>
      </c>
      <c r="R113" s="2" t="str">
        <f t="shared" si="6"/>
        <v/>
      </c>
      <c r="S113" s="2" t="str">
        <f>IF(Investment_Amount&lt;100000,"",IF(ISBLANK(M113),"",IF(M113&lt;=Years*12,SUM(R$50:R113),"")))</f>
        <v/>
      </c>
    </row>
    <row r="114" spans="6:19" x14ac:dyDescent="0.25">
      <c r="F114" s="9"/>
      <c r="G114" s="9" t="str">
        <f>IF(Investment_Amount&lt;100000,"",IF(ISBLANK(D112),"",IF(D112=0,-Investment_Amount+Discount,IF(D112=Years*12,Investment_Amount-Discount,""))))</f>
        <v/>
      </c>
      <c r="H114" s="9" t="str">
        <f>IF(Investment_Amount&lt;100000,"",IF(ISBLANK(D112),"",IF(D112=0,Discount,"")))</f>
        <v/>
      </c>
      <c r="I114" s="9" t="str">
        <f>IF(Investment_Amount&lt;100000,"",IF(ISBLANK(D112),"",IF(D112&lt;=Years*12,((Investment_Amount-Discount)*Rate/12)*D112,"")))</f>
        <v/>
      </c>
      <c r="J114" s="9" t="str">
        <f>IF(Investment_Amount&lt;100000,"",IF(ISBLANK(D112),"",IF(AND(D112&lt;Years*12,D112&gt;0),I114-I113,IF(D112=0,Discount,IF(D112=Years*12,(Investment_Amount-Discount)+I114-I113,"")))))</f>
        <v/>
      </c>
      <c r="K114" s="9" t="str">
        <f>IF(Investment_Amount&lt;100000,"",IF(ISBLANK(D112),"",IF(D112&lt;=Years*12,SUM(J$50:J114),"")))</f>
        <v/>
      </c>
      <c r="L114" s="9"/>
      <c r="O114" s="8" t="str">
        <f t="shared" ref="O114:O134" si="7">IF(Investment_Amount&lt;100000,"",IF(ISBLANK(M114),"",IF(M114=0,-Investment_Amount+Discount,IF(M114=Years*12,Investment_Amount-Discount,""))))</f>
        <v/>
      </c>
      <c r="P114" s="2" t="str">
        <f t="shared" ref="P114:P134" si="8">IF(Investment_Amount&lt;100000,"",IF(ISBLANK(M114),"",IF(M114=0,Discount,"")))</f>
        <v/>
      </c>
      <c r="Q114" s="2" t="str">
        <f t="shared" ref="Q114:Q134" si="9">IF(Investment_Amount&lt;100000,"",IF(ISBLANK(M114),"",IF(M114&lt;=Years*12,((Investment_Amount-Discount)*(1+Rate/12)^M114)-(Investment_Amount-Discount),"")))</f>
        <v/>
      </c>
      <c r="R114" s="2" t="str">
        <f t="shared" ref="R114:R134" si="10">IF(Investment_Amount&lt;100000,"",IF(ISBLANK(M114),"",IF(AND(M114&lt;Years*12,M114&gt;0),Q114-Q113,IF(M114=0,Discount,IF(M114=Years*12,(Investment_Amount-Discount)+Q114-Q113,"")))))</f>
        <v/>
      </c>
      <c r="S114" s="2" t="str">
        <f>IF(Investment_Amount&lt;100000,"",IF(ISBLANK(M114),"",IF(M114&lt;=Years*12,SUM(R$50:R114),"")))</f>
        <v/>
      </c>
    </row>
    <row r="115" spans="6:19" x14ac:dyDescent="0.25">
      <c r="F115" s="9"/>
      <c r="G115" s="9" t="str">
        <f>IF(Investment_Amount&lt;100000,"",IF(ISBLANK(D113),"",IF(D113=0,-Investment_Amount+Discount,IF(D113=Years*12,Investment_Amount-Discount,""))))</f>
        <v/>
      </c>
      <c r="H115" s="9" t="str">
        <f>IF(Investment_Amount&lt;100000,"",IF(ISBLANK(D113),"",IF(D113=0,Discount,"")))</f>
        <v/>
      </c>
      <c r="I115" s="9" t="str">
        <f>IF(Investment_Amount&lt;100000,"",IF(ISBLANK(D113),"",IF(D113&lt;=Years*12,((Investment_Amount-Discount)*Rate/12)*D113,"")))</f>
        <v/>
      </c>
      <c r="J115" s="9" t="str">
        <f>IF(Investment_Amount&lt;100000,"",IF(ISBLANK(D113),"",IF(AND(D113&lt;Years*12,D113&gt;0),I115-I114,IF(D113=0,Discount,IF(D113=Years*12,(Investment_Amount-Discount)+I115-I114,"")))))</f>
        <v/>
      </c>
      <c r="K115" s="9" t="str">
        <f>IF(Investment_Amount&lt;100000,"",IF(ISBLANK(D113),"",IF(D113&lt;=Years*12,SUM(J$50:J115),"")))</f>
        <v/>
      </c>
      <c r="L115" s="9"/>
      <c r="O115" s="8" t="str">
        <f t="shared" si="7"/>
        <v/>
      </c>
      <c r="P115" s="2" t="str">
        <f t="shared" si="8"/>
        <v/>
      </c>
      <c r="Q115" s="2" t="str">
        <f t="shared" si="9"/>
        <v/>
      </c>
      <c r="R115" s="2" t="str">
        <f t="shared" si="10"/>
        <v/>
      </c>
      <c r="S115" s="2" t="str">
        <f>IF(Investment_Amount&lt;100000,"",IF(ISBLANK(M115),"",IF(M115&lt;=Years*12,SUM(R$50:R115),"")))</f>
        <v/>
      </c>
    </row>
    <row r="116" spans="6:19" x14ac:dyDescent="0.25">
      <c r="F116" s="9"/>
      <c r="G116" s="9" t="str">
        <f>IF(Investment_Amount&lt;100000,"",IF(ISBLANK(D114),"",IF(D114=0,-Investment_Amount+Discount,IF(D114=Years*12,Investment_Amount-Discount,""))))</f>
        <v/>
      </c>
      <c r="H116" s="9" t="str">
        <f>IF(Investment_Amount&lt;100000,"",IF(ISBLANK(D114),"",IF(D114=0,Discount,"")))</f>
        <v/>
      </c>
      <c r="I116" s="9" t="str">
        <f>IF(Investment_Amount&lt;100000,"",IF(ISBLANK(D114),"",IF(D114&lt;=Years*12,((Investment_Amount-Discount)*Rate/12)*D114,"")))</f>
        <v/>
      </c>
      <c r="J116" s="9" t="str">
        <f>IF(Investment_Amount&lt;100000,"",IF(ISBLANK(D114),"",IF(AND(D114&lt;Years*12,D114&gt;0),I116-I115,IF(D114=0,Discount,IF(D114=Years*12,(Investment_Amount-Discount)+I116-I115,"")))))</f>
        <v/>
      </c>
      <c r="K116" s="9" t="str">
        <f>IF(Investment_Amount&lt;100000,"",IF(ISBLANK(D114),"",IF(D114&lt;=Years*12,SUM(J$50:J116),"")))</f>
        <v/>
      </c>
      <c r="L116" s="9"/>
      <c r="O116" s="8" t="str">
        <f t="shared" si="7"/>
        <v/>
      </c>
      <c r="P116" s="2" t="str">
        <f t="shared" si="8"/>
        <v/>
      </c>
      <c r="Q116" s="2" t="str">
        <f t="shared" si="9"/>
        <v/>
      </c>
      <c r="R116" s="2" t="str">
        <f t="shared" si="10"/>
        <v/>
      </c>
      <c r="S116" s="2" t="str">
        <f>IF(Investment_Amount&lt;100000,"",IF(ISBLANK(M116),"",IF(M116&lt;=Years*12,SUM(R$50:R116),"")))</f>
        <v/>
      </c>
    </row>
    <row r="117" spans="6:19" x14ac:dyDescent="0.25">
      <c r="F117" s="9"/>
      <c r="G117" s="9" t="str">
        <f>IF(Investment_Amount&lt;100000,"",IF(ISBLANK(D115),"",IF(D115=0,-Investment_Amount+Discount,IF(D115=Years*12,Investment_Amount-Discount,""))))</f>
        <v/>
      </c>
      <c r="H117" s="9" t="str">
        <f>IF(Investment_Amount&lt;100000,"",IF(ISBLANK(D115),"",IF(D115=0,Discount,"")))</f>
        <v/>
      </c>
      <c r="I117" s="9" t="str">
        <f>IF(Investment_Amount&lt;100000,"",IF(ISBLANK(D115),"",IF(D115&lt;=Years*12,((Investment_Amount-Discount)*Rate/12)*D115,"")))</f>
        <v/>
      </c>
      <c r="J117" s="9" t="str">
        <f>IF(Investment_Amount&lt;100000,"",IF(ISBLANK(D115),"",IF(AND(D115&lt;Years*12,D115&gt;0),I117-I116,IF(D115=0,Discount,IF(D115=Years*12,(Investment_Amount-Discount)+I117-I116,"")))))</f>
        <v/>
      </c>
      <c r="K117" s="9" t="str">
        <f>IF(Investment_Amount&lt;100000,"",IF(ISBLANK(D115),"",IF(D115&lt;=Years*12,SUM(J$50:J117),"")))</f>
        <v/>
      </c>
      <c r="L117" s="9"/>
      <c r="O117" s="8" t="str">
        <f t="shared" si="7"/>
        <v/>
      </c>
      <c r="P117" s="2" t="str">
        <f t="shared" si="8"/>
        <v/>
      </c>
      <c r="Q117" s="2" t="str">
        <f t="shared" si="9"/>
        <v/>
      </c>
      <c r="R117" s="2" t="str">
        <f t="shared" si="10"/>
        <v/>
      </c>
      <c r="S117" s="2" t="str">
        <f>IF(Investment_Amount&lt;100000,"",IF(ISBLANK(M117),"",IF(M117&lt;=Years*12,SUM(R$50:R117),"")))</f>
        <v/>
      </c>
    </row>
    <row r="118" spans="6:19" x14ac:dyDescent="0.25">
      <c r="F118" s="9"/>
      <c r="G118" s="9" t="str">
        <f>IF(Investment_Amount&lt;100000,"",IF(ISBLANK(D116),"",IF(D116=0,-Investment_Amount+Discount,IF(D116=Years*12,Investment_Amount-Discount,""))))</f>
        <v/>
      </c>
      <c r="H118" s="9" t="str">
        <f>IF(Investment_Amount&lt;100000,"",IF(ISBLANK(D116),"",IF(D116=0,Discount,"")))</f>
        <v/>
      </c>
      <c r="I118" s="9" t="str">
        <f>IF(Investment_Amount&lt;100000,"",IF(ISBLANK(D116),"",IF(D116&lt;=Years*12,((Investment_Amount-Discount)*Rate/12)*D116,"")))</f>
        <v/>
      </c>
      <c r="J118" s="9" t="str">
        <f>IF(Investment_Amount&lt;100000,"",IF(ISBLANK(D116),"",IF(AND(D116&lt;Years*12,D116&gt;0),I118-I117,IF(D116=0,Discount,IF(D116=Years*12,(Investment_Amount-Discount)+I118-I117,"")))))</f>
        <v/>
      </c>
      <c r="K118" s="9" t="str">
        <f>IF(Investment_Amount&lt;100000,"",IF(ISBLANK(D116),"",IF(D116&lt;=Years*12,SUM(J$50:J118),"")))</f>
        <v/>
      </c>
      <c r="L118" s="9"/>
      <c r="O118" s="8" t="str">
        <f t="shared" si="7"/>
        <v/>
      </c>
      <c r="P118" s="2" t="str">
        <f t="shared" si="8"/>
        <v/>
      </c>
      <c r="Q118" s="2" t="str">
        <f t="shared" si="9"/>
        <v/>
      </c>
      <c r="R118" s="2" t="str">
        <f t="shared" si="10"/>
        <v/>
      </c>
      <c r="S118" s="2" t="str">
        <f>IF(Investment_Amount&lt;100000,"",IF(ISBLANK(M118),"",IF(M118&lt;=Years*12,SUM(R$50:R118),"")))</f>
        <v/>
      </c>
    </row>
    <row r="119" spans="6:19" x14ac:dyDescent="0.25">
      <c r="F119" s="9"/>
      <c r="G119" s="9" t="str">
        <f>IF(Investment_Amount&lt;100000,"",IF(ISBLANK(D117),"",IF(D117=0,-Investment_Amount+Discount,IF(D117=Years*12,Investment_Amount-Discount,""))))</f>
        <v/>
      </c>
      <c r="H119" s="9" t="str">
        <f>IF(Investment_Amount&lt;100000,"",IF(ISBLANK(D117),"",IF(D117=0,Discount,"")))</f>
        <v/>
      </c>
      <c r="I119" s="9" t="str">
        <f>IF(Investment_Amount&lt;100000,"",IF(ISBLANK(D117),"",IF(D117&lt;=Years*12,((Investment_Amount-Discount)*Rate/12)*D117,"")))</f>
        <v/>
      </c>
      <c r="J119" s="9" t="str">
        <f>IF(Investment_Amount&lt;100000,"",IF(ISBLANK(D117),"",IF(AND(D117&lt;Years*12,D117&gt;0),I119-I118,IF(D117=0,Discount,IF(D117=Years*12,(Investment_Amount-Discount)+I119-I118,"")))))</f>
        <v/>
      </c>
      <c r="K119" s="9" t="str">
        <f>IF(Investment_Amount&lt;100000,"",IF(ISBLANK(D117),"",IF(D117&lt;=Years*12,SUM(J$50:J119),"")))</f>
        <v/>
      </c>
      <c r="L119" s="9"/>
      <c r="O119" s="8" t="str">
        <f t="shared" si="7"/>
        <v/>
      </c>
      <c r="P119" s="2" t="str">
        <f t="shared" si="8"/>
        <v/>
      </c>
      <c r="Q119" s="2" t="str">
        <f t="shared" si="9"/>
        <v/>
      </c>
      <c r="R119" s="2" t="str">
        <f t="shared" si="10"/>
        <v/>
      </c>
      <c r="S119" s="2" t="str">
        <f>IF(Investment_Amount&lt;100000,"",IF(ISBLANK(M119),"",IF(M119&lt;=Years*12,SUM(R$50:R119),"")))</f>
        <v/>
      </c>
    </row>
    <row r="120" spans="6:19" x14ac:dyDescent="0.25">
      <c r="F120" s="9"/>
      <c r="G120" s="9" t="str">
        <f>IF(Investment_Amount&lt;100000,"",IF(ISBLANK(D118),"",IF(D118=0,-Investment_Amount+Discount,IF(D118=Years*12,Investment_Amount-Discount,""))))</f>
        <v/>
      </c>
      <c r="H120" s="9" t="str">
        <f>IF(Investment_Amount&lt;100000,"",IF(ISBLANK(D118),"",IF(D118=0,Discount,"")))</f>
        <v/>
      </c>
      <c r="I120" s="9" t="str">
        <f>IF(Investment_Amount&lt;100000,"",IF(ISBLANK(D118),"",IF(D118&lt;=Years*12,((Investment_Amount-Discount)*Rate/12)*D118,"")))</f>
        <v/>
      </c>
      <c r="J120" s="9" t="str">
        <f>IF(Investment_Amount&lt;100000,"",IF(ISBLANK(D118),"",IF(AND(D118&lt;Years*12,D118&gt;0),I120-I119,IF(D118=0,Discount,IF(D118=Years*12,(Investment_Amount-Discount)+I120-I119,"")))))</f>
        <v/>
      </c>
      <c r="K120" s="9" t="str">
        <f>IF(Investment_Amount&lt;100000,"",IF(ISBLANK(D118),"",IF(D118&lt;=Years*12,SUM(J$50:J120),"")))</f>
        <v/>
      </c>
      <c r="L120" s="9"/>
      <c r="O120" s="8" t="str">
        <f t="shared" si="7"/>
        <v/>
      </c>
      <c r="P120" s="2" t="str">
        <f t="shared" si="8"/>
        <v/>
      </c>
      <c r="Q120" s="2" t="str">
        <f t="shared" si="9"/>
        <v/>
      </c>
      <c r="R120" s="2" t="str">
        <f t="shared" si="10"/>
        <v/>
      </c>
      <c r="S120" s="2" t="str">
        <f>IF(Investment_Amount&lt;100000,"",IF(ISBLANK(M120),"",IF(M120&lt;=Years*12,SUM(R$50:R120),"")))</f>
        <v/>
      </c>
    </row>
    <row r="121" spans="6:19" x14ac:dyDescent="0.25">
      <c r="F121" s="9"/>
      <c r="G121" s="9" t="str">
        <f>IF(Investment_Amount&lt;100000,"",IF(ISBLANK(D119),"",IF(D119=0,-Investment_Amount+Discount,IF(D119=Years*12,Investment_Amount-Discount,""))))</f>
        <v/>
      </c>
      <c r="H121" s="9" t="str">
        <f>IF(Investment_Amount&lt;100000,"",IF(ISBLANK(D119),"",IF(D119=0,Discount,"")))</f>
        <v/>
      </c>
      <c r="I121" s="9" t="str">
        <f>IF(Investment_Amount&lt;100000,"",IF(ISBLANK(D119),"",IF(D119&lt;=Years*12,((Investment_Amount-Discount)*Rate/12)*D119,"")))</f>
        <v/>
      </c>
      <c r="J121" s="9" t="str">
        <f>IF(Investment_Amount&lt;100000,"",IF(ISBLANK(D119),"",IF(AND(D119&lt;Years*12,D119&gt;0),I121-I120,IF(D119=0,Discount,IF(D119=Years*12,(Investment_Amount-Discount)+I121-I120,"")))))</f>
        <v/>
      </c>
      <c r="K121" s="9" t="str">
        <f>IF(Investment_Amount&lt;100000,"",IF(ISBLANK(D119),"",IF(D119&lt;=Years*12,SUM(J$50:J121),"")))</f>
        <v/>
      </c>
      <c r="L121" s="9"/>
      <c r="O121" s="8" t="str">
        <f t="shared" si="7"/>
        <v/>
      </c>
      <c r="P121" s="2" t="str">
        <f t="shared" si="8"/>
        <v/>
      </c>
      <c r="Q121" s="2" t="str">
        <f t="shared" si="9"/>
        <v/>
      </c>
      <c r="R121" s="2" t="str">
        <f t="shared" si="10"/>
        <v/>
      </c>
      <c r="S121" s="2" t="str">
        <f>IF(Investment_Amount&lt;100000,"",IF(ISBLANK(M121),"",IF(M121&lt;=Years*12,SUM(R$50:R121),"")))</f>
        <v/>
      </c>
    </row>
    <row r="122" spans="6:19" x14ac:dyDescent="0.25">
      <c r="F122" s="9"/>
      <c r="G122" s="9" t="str">
        <f>IF(Investment_Amount&lt;100000,"",IF(ISBLANK(D120),"",IF(D120=0,-Investment_Amount+Discount,IF(D120=Years*12,Investment_Amount-Discount,""))))</f>
        <v/>
      </c>
      <c r="H122" s="9" t="str">
        <f>IF(Investment_Amount&lt;100000,"",IF(ISBLANK(D120),"",IF(D120=0,Discount,"")))</f>
        <v/>
      </c>
      <c r="I122" s="9" t="str">
        <f>IF(Investment_Amount&lt;100000,"",IF(ISBLANK(D120),"",IF(D120&lt;=Years*12,((Investment_Amount-Discount)*Rate/12)*D120,"")))</f>
        <v/>
      </c>
      <c r="J122" s="9" t="str">
        <f>IF(Investment_Amount&lt;100000,"",IF(ISBLANK(D120),"",IF(AND(D120&lt;Years*12,D120&gt;0),I122-I121,IF(D120=0,Discount,IF(D120=Years*12,(Investment_Amount-Discount)+I122-I121,"")))))</f>
        <v/>
      </c>
      <c r="K122" s="9" t="str">
        <f>IF(Investment_Amount&lt;100000,"",IF(ISBLANK(D120),"",IF(D120&lt;=Years*12,SUM(J$50:J122),"")))</f>
        <v/>
      </c>
      <c r="L122" s="9"/>
      <c r="O122" s="8" t="str">
        <f t="shared" si="7"/>
        <v/>
      </c>
      <c r="P122" s="2" t="str">
        <f t="shared" si="8"/>
        <v/>
      </c>
      <c r="Q122" s="2" t="str">
        <f t="shared" si="9"/>
        <v/>
      </c>
      <c r="R122" s="2" t="str">
        <f t="shared" si="10"/>
        <v/>
      </c>
      <c r="S122" s="2" t="str">
        <f>IF(Investment_Amount&lt;100000,"",IF(ISBLANK(M122),"",IF(M122&lt;=Years*12,SUM(R$50:R122),"")))</f>
        <v/>
      </c>
    </row>
    <row r="123" spans="6:19" x14ac:dyDescent="0.25">
      <c r="F123" s="9"/>
      <c r="G123" s="9" t="str">
        <f>IF(Investment_Amount&lt;100000,"",IF(ISBLANK(D121),"",IF(D121=0,-Investment_Amount+Discount,IF(D121=Years*12,Investment_Amount-Discount,""))))</f>
        <v/>
      </c>
      <c r="H123" s="9" t="str">
        <f>IF(Investment_Amount&lt;100000,"",IF(ISBLANK(D121),"",IF(D121=0,Discount,"")))</f>
        <v/>
      </c>
      <c r="I123" s="9" t="str">
        <f>IF(Investment_Amount&lt;100000,"",IF(ISBLANK(D121),"",IF(D121&lt;=Years*12,((Investment_Amount-Discount)*Rate/12)*D121,"")))</f>
        <v/>
      </c>
      <c r="J123" s="9" t="str">
        <f>IF(Investment_Amount&lt;100000,"",IF(ISBLANK(D121),"",IF(AND(D121&lt;Years*12,D121&gt;0),I123-I122,IF(D121=0,Discount,IF(D121=Years*12,(Investment_Amount-Discount)+I123-I122,"")))))</f>
        <v/>
      </c>
      <c r="K123" s="9" t="str">
        <f>IF(Investment_Amount&lt;100000,"",IF(ISBLANK(D121),"",IF(D121&lt;=Years*12,SUM(J$50:J123),"")))</f>
        <v/>
      </c>
      <c r="L123" s="9"/>
      <c r="O123" s="8" t="str">
        <f t="shared" si="7"/>
        <v/>
      </c>
      <c r="P123" s="2" t="str">
        <f t="shared" si="8"/>
        <v/>
      </c>
      <c r="Q123" s="2" t="str">
        <f t="shared" si="9"/>
        <v/>
      </c>
      <c r="R123" s="2" t="str">
        <f t="shared" si="10"/>
        <v/>
      </c>
      <c r="S123" s="2" t="str">
        <f>IF(Investment_Amount&lt;100000,"",IF(ISBLANK(M123),"",IF(M123&lt;=Years*12,SUM(R$50:R123),"")))</f>
        <v/>
      </c>
    </row>
    <row r="124" spans="6:19" x14ac:dyDescent="0.25">
      <c r="F124" s="9"/>
      <c r="G124" s="9" t="str">
        <f>IF(Investment_Amount&lt;100000,"",IF(ISBLANK(D122),"",IF(D122=0,-Investment_Amount+Discount,IF(D122=Years*12,Investment_Amount-Discount,""))))</f>
        <v/>
      </c>
      <c r="H124" s="9" t="str">
        <f>IF(Investment_Amount&lt;100000,"",IF(ISBLANK(D122),"",IF(D122=0,Discount,"")))</f>
        <v/>
      </c>
      <c r="I124" s="9" t="str">
        <f>IF(Investment_Amount&lt;100000,"",IF(ISBLANK(D122),"",IF(D122&lt;=Years*12,((Investment_Amount-Discount)*Rate/12)*D122,"")))</f>
        <v/>
      </c>
      <c r="J124" s="9" t="str">
        <f>IF(Investment_Amount&lt;100000,"",IF(ISBLANK(D122),"",IF(AND(D122&lt;Years*12,D122&gt;0),I124-I123,IF(D122=0,Discount,IF(D122=Years*12,(Investment_Amount-Discount)+I124-I123,"")))))</f>
        <v/>
      </c>
      <c r="K124" s="9" t="str">
        <f>IF(Investment_Amount&lt;100000,"",IF(ISBLANK(D122),"",IF(D122&lt;=Years*12,SUM(J$50:J124),"")))</f>
        <v/>
      </c>
      <c r="L124" s="9"/>
      <c r="O124" s="8" t="str">
        <f t="shared" si="7"/>
        <v/>
      </c>
      <c r="P124" s="2" t="str">
        <f t="shared" si="8"/>
        <v/>
      </c>
      <c r="Q124" s="2" t="str">
        <f t="shared" si="9"/>
        <v/>
      </c>
      <c r="R124" s="2" t="str">
        <f t="shared" si="10"/>
        <v/>
      </c>
      <c r="S124" s="2" t="str">
        <f>IF(Investment_Amount&lt;100000,"",IF(ISBLANK(M124),"",IF(M124&lt;=Years*12,SUM(R$50:R124),"")))</f>
        <v/>
      </c>
    </row>
    <row r="125" spans="6:19" x14ac:dyDescent="0.25">
      <c r="F125" s="9"/>
      <c r="G125" s="9" t="str">
        <f>IF(Investment_Amount&lt;100000,"",IF(ISBLANK(D123),"",IF(D123=0,-Investment_Amount+Discount,IF(D123=Years*12,Investment_Amount-Discount,""))))</f>
        <v/>
      </c>
      <c r="H125" s="9" t="str">
        <f>IF(Investment_Amount&lt;100000,"",IF(ISBLANK(D123),"",IF(D123=0,Discount,"")))</f>
        <v/>
      </c>
      <c r="I125" s="9" t="str">
        <f>IF(Investment_Amount&lt;100000,"",IF(ISBLANK(D123),"",IF(D123&lt;=Years*12,((Investment_Amount-Discount)*Rate/12)*D123,"")))</f>
        <v/>
      </c>
      <c r="J125" s="9" t="str">
        <f>IF(Investment_Amount&lt;100000,"",IF(ISBLANK(D123),"",IF(AND(D123&lt;Years*12,D123&gt;0),I125-I124,IF(D123=0,Discount,IF(D123=Years*12,(Investment_Amount-Discount)+I125-I124,"")))))</f>
        <v/>
      </c>
      <c r="K125" s="9" t="str">
        <f>IF(Investment_Amount&lt;100000,"",IF(ISBLANK(D123),"",IF(D123&lt;=Years*12,SUM(J$50:J125),"")))</f>
        <v/>
      </c>
      <c r="L125" s="9"/>
      <c r="O125" s="8" t="str">
        <f t="shared" si="7"/>
        <v/>
      </c>
      <c r="P125" s="2" t="str">
        <f t="shared" si="8"/>
        <v/>
      </c>
      <c r="Q125" s="2" t="str">
        <f t="shared" si="9"/>
        <v/>
      </c>
      <c r="R125" s="2" t="str">
        <f t="shared" si="10"/>
        <v/>
      </c>
      <c r="S125" s="2" t="str">
        <f>IF(Investment_Amount&lt;100000,"",IF(ISBLANK(M125),"",IF(M125&lt;=Years*12,SUM(R$50:R125),"")))</f>
        <v/>
      </c>
    </row>
    <row r="126" spans="6:19" x14ac:dyDescent="0.25">
      <c r="F126" s="9"/>
      <c r="G126" s="9" t="str">
        <f>IF(Investment_Amount&lt;100000,"",IF(ISBLANK(D124),"",IF(D124=0,-Investment_Amount+Discount,IF(D124=Years*12,Investment_Amount-Discount,""))))</f>
        <v/>
      </c>
      <c r="H126" s="9" t="str">
        <f>IF(Investment_Amount&lt;100000,"",IF(ISBLANK(D124),"",IF(D124=0,Discount,"")))</f>
        <v/>
      </c>
      <c r="I126" s="9" t="str">
        <f>IF(Investment_Amount&lt;100000,"",IF(ISBLANK(D124),"",IF(D124&lt;=Years*12,((Investment_Amount-Discount)*Rate/12)*D124,"")))</f>
        <v/>
      </c>
      <c r="J126" s="9" t="str">
        <f>IF(Investment_Amount&lt;100000,"",IF(ISBLANK(D124),"",IF(AND(D124&lt;Years*12,D124&gt;0),I126-I125,IF(D124=0,Discount,IF(D124=Years*12,(Investment_Amount-Discount)+I126-I125,"")))))</f>
        <v/>
      </c>
      <c r="K126" s="9" t="str">
        <f>IF(Investment_Amount&lt;100000,"",IF(ISBLANK(D124),"",IF(D124&lt;=Years*12,SUM(J$50:J126),"")))</f>
        <v/>
      </c>
      <c r="L126" s="9"/>
      <c r="O126" s="8" t="str">
        <f t="shared" si="7"/>
        <v/>
      </c>
      <c r="P126" s="2" t="str">
        <f t="shared" si="8"/>
        <v/>
      </c>
      <c r="Q126" s="2" t="str">
        <f t="shared" si="9"/>
        <v/>
      </c>
      <c r="R126" s="2" t="str">
        <f t="shared" si="10"/>
        <v/>
      </c>
      <c r="S126" s="2" t="str">
        <f>IF(Investment_Amount&lt;100000,"",IF(ISBLANK(M126),"",IF(M126&lt;=Years*12,SUM(R$50:R126),"")))</f>
        <v/>
      </c>
    </row>
    <row r="127" spans="6:19" x14ac:dyDescent="0.25">
      <c r="F127" s="9"/>
      <c r="G127" s="9" t="str">
        <f>IF(Investment_Amount&lt;100000,"",IF(ISBLANK(D125),"",IF(D125=0,-Investment_Amount+Discount,IF(D125=Years*12,Investment_Amount-Discount,""))))</f>
        <v/>
      </c>
      <c r="H127" s="9" t="str">
        <f>IF(Investment_Amount&lt;100000,"",IF(ISBLANK(D125),"",IF(D125=0,Discount,"")))</f>
        <v/>
      </c>
      <c r="I127" s="9" t="str">
        <f>IF(Investment_Amount&lt;100000,"",IF(ISBLANK(D125),"",IF(D125&lt;=Years*12,((Investment_Amount-Discount)*Rate/12)*D125,"")))</f>
        <v/>
      </c>
      <c r="J127" s="9" t="str">
        <f>IF(Investment_Amount&lt;100000,"",IF(ISBLANK(D125),"",IF(AND(D125&lt;Years*12,D125&gt;0),I127-I126,IF(D125=0,Discount,IF(D125=Years*12,(Investment_Amount-Discount)+I127-I126,"")))))</f>
        <v/>
      </c>
      <c r="K127" s="9" t="str">
        <f>IF(Investment_Amount&lt;100000,"",IF(ISBLANK(D125),"",IF(D125&lt;=Years*12,SUM(J$50:J127),"")))</f>
        <v/>
      </c>
      <c r="L127" s="9"/>
      <c r="O127" s="8" t="str">
        <f t="shared" si="7"/>
        <v/>
      </c>
      <c r="P127" s="2" t="str">
        <f t="shared" si="8"/>
        <v/>
      </c>
      <c r="Q127" s="2" t="str">
        <f t="shared" si="9"/>
        <v/>
      </c>
      <c r="R127" s="2" t="str">
        <f t="shared" si="10"/>
        <v/>
      </c>
      <c r="S127" s="2" t="str">
        <f>IF(Investment_Amount&lt;100000,"",IF(ISBLANK(M127),"",IF(M127&lt;=Years*12,SUM(R$50:R127),"")))</f>
        <v/>
      </c>
    </row>
    <row r="128" spans="6:19" x14ac:dyDescent="0.25">
      <c r="F128" s="9"/>
      <c r="G128" s="9" t="str">
        <f>IF(Investment_Amount&lt;100000,"",IF(ISBLANK(D126),"",IF(D126=0,-Investment_Amount+Discount,IF(D126=Years*12,Investment_Amount-Discount,""))))</f>
        <v/>
      </c>
      <c r="H128" s="9" t="str">
        <f>IF(Investment_Amount&lt;100000,"",IF(ISBLANK(D126),"",IF(D126=0,Discount,"")))</f>
        <v/>
      </c>
      <c r="I128" s="9" t="str">
        <f>IF(Investment_Amount&lt;100000,"",IF(ISBLANK(D126),"",IF(D126&lt;=Years*12,((Investment_Amount-Discount)*Rate/12)*D126,"")))</f>
        <v/>
      </c>
      <c r="J128" s="9" t="str">
        <f>IF(Investment_Amount&lt;100000,"",IF(ISBLANK(D126),"",IF(AND(D126&lt;Years*12,D126&gt;0),I128-I127,IF(D126=0,Discount,IF(D126=Years*12,(Investment_Amount-Discount)+I128-I127,"")))))</f>
        <v/>
      </c>
      <c r="K128" s="9" t="str">
        <f>IF(Investment_Amount&lt;100000,"",IF(ISBLANK(D126),"",IF(D126&lt;=Years*12,SUM(J$50:J128),"")))</f>
        <v/>
      </c>
      <c r="L128" s="9"/>
      <c r="O128" s="8" t="str">
        <f t="shared" si="7"/>
        <v/>
      </c>
      <c r="P128" s="2" t="str">
        <f t="shared" si="8"/>
        <v/>
      </c>
      <c r="Q128" s="2" t="str">
        <f t="shared" si="9"/>
        <v/>
      </c>
      <c r="R128" s="2" t="str">
        <f t="shared" si="10"/>
        <v/>
      </c>
      <c r="S128" s="2" t="str">
        <f>IF(Investment_Amount&lt;100000,"",IF(ISBLANK(M128),"",IF(M128&lt;=Years*12,SUM(R$50:R128),"")))</f>
        <v/>
      </c>
    </row>
    <row r="129" spans="6:19" x14ac:dyDescent="0.25">
      <c r="F129" s="9"/>
      <c r="G129" s="9" t="str">
        <f>IF(Investment_Amount&lt;100000,"",IF(ISBLANK(D127),"",IF(D127=0,-Investment_Amount+Discount,IF(D127=Years*12,Investment_Amount-Discount,""))))</f>
        <v/>
      </c>
      <c r="H129" s="9" t="str">
        <f>IF(Investment_Amount&lt;100000,"",IF(ISBLANK(D127),"",IF(D127=0,Discount,"")))</f>
        <v/>
      </c>
      <c r="I129" s="9" t="str">
        <f>IF(Investment_Amount&lt;100000,"",IF(ISBLANK(D127),"",IF(D127&lt;=Years*12,((Investment_Amount-Discount)*Rate/12)*D127,"")))</f>
        <v/>
      </c>
      <c r="J129" s="9" t="str">
        <f>IF(Investment_Amount&lt;100000,"",IF(ISBLANK(D127),"",IF(AND(D127&lt;Years*12,D127&gt;0),I129-I128,IF(D127=0,Discount,IF(D127=Years*12,(Investment_Amount-Discount)+I129-I128,"")))))</f>
        <v/>
      </c>
      <c r="K129" s="9" t="str">
        <f>IF(Investment_Amount&lt;100000,"",IF(ISBLANK(D127),"",IF(D127&lt;=Years*12,SUM(J$50:J129),"")))</f>
        <v/>
      </c>
      <c r="L129" s="9"/>
      <c r="O129" s="8" t="str">
        <f t="shared" si="7"/>
        <v/>
      </c>
      <c r="P129" s="2" t="str">
        <f t="shared" si="8"/>
        <v/>
      </c>
      <c r="Q129" s="2" t="str">
        <f t="shared" si="9"/>
        <v/>
      </c>
      <c r="R129" s="2" t="str">
        <f t="shared" si="10"/>
        <v/>
      </c>
      <c r="S129" s="2" t="str">
        <f>IF(Investment_Amount&lt;100000,"",IF(ISBLANK(M129),"",IF(M129&lt;=Years*12,SUM(R$50:R129),"")))</f>
        <v/>
      </c>
    </row>
    <row r="130" spans="6:19" x14ac:dyDescent="0.25">
      <c r="F130" s="9"/>
      <c r="G130" s="9" t="str">
        <f>IF(Investment_Amount&lt;100000,"",IF(ISBLANK(D128),"",IF(D128=0,-Investment_Amount+Discount,IF(D128=Years*12,Investment_Amount-Discount,""))))</f>
        <v/>
      </c>
      <c r="H130" s="9" t="str">
        <f>IF(Investment_Amount&lt;100000,"",IF(ISBLANK(D128),"",IF(D128=0,Discount,"")))</f>
        <v/>
      </c>
      <c r="I130" s="9" t="str">
        <f>IF(Investment_Amount&lt;100000,"",IF(ISBLANK(D128),"",IF(D128&lt;=Years*12,((Investment_Amount-Discount)*Rate/12)*D128,"")))</f>
        <v/>
      </c>
      <c r="J130" s="9" t="str">
        <f>IF(Investment_Amount&lt;100000,"",IF(ISBLANK(D128),"",IF(AND(D128&lt;Years*12,D128&gt;0),I130-I129,IF(D128=0,Discount,IF(D128=Years*12,(Investment_Amount-Discount)+I130-I129,"")))))</f>
        <v/>
      </c>
      <c r="K130" s="9" t="str">
        <f>IF(Investment_Amount&lt;100000,"",IF(ISBLANK(D128),"",IF(D128&lt;=Years*12,SUM(J$50:J130),"")))</f>
        <v/>
      </c>
      <c r="L130" s="9"/>
      <c r="O130" s="8" t="str">
        <f t="shared" si="7"/>
        <v/>
      </c>
      <c r="P130" s="2" t="str">
        <f t="shared" si="8"/>
        <v/>
      </c>
      <c r="Q130" s="2" t="str">
        <f t="shared" si="9"/>
        <v/>
      </c>
      <c r="R130" s="2" t="str">
        <f t="shared" si="10"/>
        <v/>
      </c>
      <c r="S130" s="2" t="str">
        <f>IF(Investment_Amount&lt;100000,"",IF(ISBLANK(M130),"",IF(M130&lt;=Years*12,SUM(R$50:R130),"")))</f>
        <v/>
      </c>
    </row>
    <row r="131" spans="6:19" x14ac:dyDescent="0.25">
      <c r="F131" s="9"/>
      <c r="G131" s="9" t="str">
        <f>IF(Investment_Amount&lt;100000,"",IF(ISBLANK(D129),"",IF(D129=0,-Investment_Amount+Discount,IF(D129=Years*12,Investment_Amount-Discount,""))))</f>
        <v/>
      </c>
      <c r="H131" s="9" t="str">
        <f>IF(Investment_Amount&lt;100000,"",IF(ISBLANK(D129),"",IF(D129=0,Discount,"")))</f>
        <v/>
      </c>
      <c r="I131" s="9" t="str">
        <f>IF(Investment_Amount&lt;100000,"",IF(ISBLANK(D129),"",IF(D129&lt;=Years*12,((Investment_Amount-Discount)*Rate/12)*D129,"")))</f>
        <v/>
      </c>
      <c r="J131" s="9" t="str">
        <f>IF(Investment_Amount&lt;100000,"",IF(ISBLANK(D129),"",IF(AND(D129&lt;Years*12,D129&gt;0),I131-I130,IF(D129=0,Discount,IF(D129=Years*12,(Investment_Amount-Discount)+I131-I130,"")))))</f>
        <v/>
      </c>
      <c r="K131" s="9" t="str">
        <f>IF(Investment_Amount&lt;100000,"",IF(ISBLANK(D129),"",IF(D129&lt;=Years*12,SUM(J$50:J131),"")))</f>
        <v/>
      </c>
      <c r="L131" s="9"/>
      <c r="O131" s="8" t="str">
        <f t="shared" si="7"/>
        <v/>
      </c>
      <c r="P131" s="2" t="str">
        <f t="shared" si="8"/>
        <v/>
      </c>
      <c r="Q131" s="2" t="str">
        <f t="shared" si="9"/>
        <v/>
      </c>
      <c r="R131" s="2" t="str">
        <f t="shared" si="10"/>
        <v/>
      </c>
      <c r="S131" s="2" t="str">
        <f>IF(Investment_Amount&lt;100000,"",IF(ISBLANK(M131),"",IF(M131&lt;=Years*12,SUM(R$50:R131),"")))</f>
        <v/>
      </c>
    </row>
    <row r="132" spans="6:19" x14ac:dyDescent="0.25">
      <c r="F132" s="9"/>
      <c r="G132" s="9" t="str">
        <f>IF(Investment_Amount&lt;100000,"",IF(ISBLANK(D130),"",IF(D130=0,-Investment_Amount+Discount,IF(D130=Years*12,Investment_Amount-Discount,""))))</f>
        <v/>
      </c>
      <c r="H132" s="9" t="str">
        <f>IF(Investment_Amount&lt;100000,"",IF(ISBLANK(D130),"",IF(D130=0,Discount,"")))</f>
        <v/>
      </c>
      <c r="I132" s="9" t="str">
        <f>IF(Investment_Amount&lt;100000,"",IF(ISBLANK(D130),"",IF(D130&lt;=Years*12,((Investment_Amount-Discount)*Rate/12)*D130,"")))</f>
        <v/>
      </c>
      <c r="J132" s="9" t="str">
        <f>IF(Investment_Amount&lt;100000,"",IF(ISBLANK(D130),"",IF(AND(D130&lt;Years*12,D130&gt;0),I132-I131,IF(D130=0,Discount,IF(D130=Years*12,(Investment_Amount-Discount)+I132-I131,"")))))</f>
        <v/>
      </c>
      <c r="K132" s="9" t="str">
        <f>IF(Investment_Amount&lt;100000,"",IF(ISBLANK(D130),"",IF(D130&lt;=Years*12,SUM(J$50:J132),"")))</f>
        <v/>
      </c>
      <c r="L132" s="9"/>
      <c r="O132" s="8" t="str">
        <f t="shared" si="7"/>
        <v/>
      </c>
      <c r="P132" s="2" t="str">
        <f t="shared" si="8"/>
        <v/>
      </c>
      <c r="Q132" s="2" t="str">
        <f t="shared" si="9"/>
        <v/>
      </c>
      <c r="R132" s="2" t="str">
        <f t="shared" si="10"/>
        <v/>
      </c>
      <c r="S132" s="2" t="str">
        <f>IF(Investment_Amount&lt;100000,"",IF(ISBLANK(M132),"",IF(M132&lt;=Years*12,SUM(R$50:R132),"")))</f>
        <v/>
      </c>
    </row>
    <row r="133" spans="6:19" x14ac:dyDescent="0.25">
      <c r="F133" s="9"/>
      <c r="G133" s="9" t="str">
        <f>IF(Investment_Amount&lt;100000,"",IF(ISBLANK(D131),"",IF(D131=0,-Investment_Amount+Discount,IF(D131=Years*12,Investment_Amount-Discount,""))))</f>
        <v/>
      </c>
      <c r="H133" s="9" t="str">
        <f>IF(Investment_Amount&lt;100000,"",IF(ISBLANK(D131),"",IF(D131=0,Discount,"")))</f>
        <v/>
      </c>
      <c r="I133" s="9" t="str">
        <f>IF(Investment_Amount&lt;100000,"",IF(ISBLANK(D131),"",IF(D131&lt;=Years*12,((Investment_Amount-Discount)*Rate/12)*D131,"")))</f>
        <v/>
      </c>
      <c r="J133" s="9" t="str">
        <f>IF(Investment_Amount&lt;100000,"",IF(ISBLANK(D131),"",IF(AND(D131&lt;Years*12,D131&gt;0),I133-I132,IF(D131=0,Discount,IF(D131=Years*12,(Investment_Amount-Discount)+I133-I132,"")))))</f>
        <v/>
      </c>
      <c r="K133" s="9" t="str">
        <f>IF(Investment_Amount&lt;100000,"",IF(ISBLANK(D131),"",IF(D131&lt;=Years*12,SUM(J$50:J133),"")))</f>
        <v/>
      </c>
      <c r="L133" s="9"/>
      <c r="O133" s="8" t="str">
        <f t="shared" si="7"/>
        <v/>
      </c>
      <c r="P133" s="2" t="str">
        <f t="shared" si="8"/>
        <v/>
      </c>
      <c r="Q133" s="2" t="str">
        <f t="shared" si="9"/>
        <v/>
      </c>
      <c r="R133" s="2" t="str">
        <f t="shared" si="10"/>
        <v/>
      </c>
      <c r="S133" s="2" t="str">
        <f>IF(Investment_Amount&lt;100000,"",IF(ISBLANK(M133),"",IF(M133&lt;=Years*12,SUM(R$50:R133),"")))</f>
        <v/>
      </c>
    </row>
    <row r="134" spans="6:19" x14ac:dyDescent="0.25">
      <c r="F134" s="9"/>
      <c r="G134" s="9" t="str">
        <f>IF(Investment_Amount&lt;100000,"",IF(ISBLANK(D132),"",IF(D132=0,-Investment_Amount+Discount,IF(D132=Years*12,Investment_Amount-Discount,""))))</f>
        <v/>
      </c>
      <c r="H134" s="9" t="str">
        <f>IF(Investment_Amount&lt;100000,"",IF(ISBLANK(D132),"",IF(D132=0,Discount,"")))</f>
        <v/>
      </c>
      <c r="I134" s="9" t="str">
        <f>IF(Investment_Amount&lt;100000,"",IF(ISBLANK(D132),"",IF(D132&lt;=Years*12,((Investment_Amount-Discount)*Rate/12)*D132,"")))</f>
        <v/>
      </c>
      <c r="J134" s="9" t="str">
        <f>IF(Investment_Amount&lt;100000,"",IF(ISBLANK(D132),"",IF(AND(D132&lt;Years*12,D132&gt;0),I134-I133,IF(D132=0,Discount,IF(D132=Years*12,(Investment_Amount-Discount)+I134-I133,"")))))</f>
        <v/>
      </c>
      <c r="K134" s="9" t="str">
        <f>IF(Investment_Amount&lt;100000,"",IF(ISBLANK(D132),"",IF(D132&lt;=Years*12,SUM(J$50:J134),"")))</f>
        <v/>
      </c>
      <c r="L134" s="9"/>
      <c r="O134" s="8" t="str">
        <f t="shared" si="7"/>
        <v/>
      </c>
      <c r="P134" s="2" t="str">
        <f t="shared" si="8"/>
        <v/>
      </c>
      <c r="Q134" s="2" t="str">
        <f t="shared" si="9"/>
        <v/>
      </c>
      <c r="R134" s="2" t="str">
        <f t="shared" si="10"/>
        <v/>
      </c>
      <c r="S134" s="2" t="str">
        <f>IF(Investment_Amount&lt;100000,"",IF(ISBLANK(M134),"",IF(M134&lt;=Years*12,SUM(R$50:R134),"")))</f>
        <v/>
      </c>
    </row>
    <row r="135" spans="6:19" x14ac:dyDescent="0.25">
      <c r="F135" s="9"/>
      <c r="G135" s="9"/>
      <c r="H135" s="9"/>
      <c r="I135" s="9"/>
      <c r="J135" s="9"/>
      <c r="K135" s="9"/>
      <c r="L135" s="9"/>
      <c r="O135" s="8"/>
    </row>
    <row r="136" spans="6:19" x14ac:dyDescent="0.25">
      <c r="F136" s="9"/>
      <c r="G136" s="9"/>
      <c r="H136" s="9"/>
      <c r="I136" s="9"/>
      <c r="J136" s="9"/>
      <c r="K136" s="9"/>
      <c r="L136" s="9"/>
      <c r="O136" s="8"/>
    </row>
    <row r="137" spans="6:19" x14ac:dyDescent="0.25">
      <c r="F137" s="9"/>
      <c r="G137" s="9"/>
      <c r="H137" s="9"/>
      <c r="I137" s="9"/>
      <c r="J137" s="9"/>
      <c r="K137" s="9"/>
      <c r="L137" s="9"/>
      <c r="O137" s="8"/>
    </row>
    <row r="138" spans="6:19" x14ac:dyDescent="0.25">
      <c r="F138" s="9"/>
      <c r="G138" s="9"/>
      <c r="H138" s="9"/>
      <c r="I138" s="9"/>
      <c r="J138" s="9"/>
      <c r="K138" s="9"/>
      <c r="L138" s="9"/>
      <c r="O138" s="8"/>
    </row>
    <row r="139" spans="6:19" x14ac:dyDescent="0.25">
      <c r="F139" s="9"/>
      <c r="G139" s="9"/>
      <c r="H139" s="9"/>
      <c r="I139" s="9"/>
      <c r="J139" s="9"/>
      <c r="K139" s="9"/>
      <c r="L139" s="9"/>
      <c r="O139" s="8"/>
    </row>
    <row r="140" spans="6:19" x14ac:dyDescent="0.25">
      <c r="F140" s="9"/>
      <c r="G140" s="9"/>
      <c r="H140" s="9"/>
      <c r="I140" s="9"/>
      <c r="J140" s="9"/>
      <c r="K140" s="9"/>
      <c r="L140" s="9"/>
      <c r="O140" s="8"/>
    </row>
    <row r="141" spans="6:19" x14ac:dyDescent="0.25">
      <c r="F141" s="9"/>
      <c r="G141" s="9"/>
      <c r="H141" s="9"/>
      <c r="I141" s="9"/>
      <c r="J141" s="9"/>
      <c r="K141" s="9"/>
      <c r="L141" s="9"/>
      <c r="O141" s="8"/>
    </row>
    <row r="142" spans="6:19" x14ac:dyDescent="0.25">
      <c r="F142" s="9"/>
      <c r="G142" s="9"/>
      <c r="H142" s="9"/>
      <c r="I142" s="9"/>
      <c r="J142" s="9"/>
      <c r="K142" s="9"/>
      <c r="L142" s="9"/>
      <c r="O142" s="8"/>
    </row>
    <row r="143" spans="6:19" x14ac:dyDescent="0.25">
      <c r="F143" s="9"/>
      <c r="G143" s="9"/>
      <c r="H143" s="9"/>
      <c r="I143" s="9"/>
      <c r="J143" s="9"/>
      <c r="K143" s="9"/>
      <c r="L143" s="9"/>
      <c r="O143" s="8"/>
    </row>
    <row r="144" spans="6:19" x14ac:dyDescent="0.25">
      <c r="F144" s="9"/>
      <c r="G144" s="9"/>
      <c r="H144" s="9"/>
      <c r="I144" s="9"/>
      <c r="J144" s="9"/>
      <c r="K144" s="9"/>
      <c r="L144" s="9"/>
      <c r="O144" s="8"/>
    </row>
    <row r="145" spans="6:15" x14ac:dyDescent="0.25">
      <c r="F145" s="9"/>
      <c r="G145" s="9"/>
      <c r="H145" s="9"/>
      <c r="I145" s="9"/>
      <c r="J145" s="9"/>
      <c r="K145" s="9"/>
      <c r="L145" s="9"/>
      <c r="O145" s="8"/>
    </row>
    <row r="146" spans="6:15" x14ac:dyDescent="0.25">
      <c r="F146" s="9"/>
      <c r="G146" s="9"/>
      <c r="H146" s="9"/>
      <c r="I146" s="9"/>
      <c r="J146" s="9"/>
      <c r="K146" s="9"/>
      <c r="L146" s="9"/>
      <c r="O146" s="8"/>
    </row>
    <row r="147" spans="6:15" x14ac:dyDescent="0.25">
      <c r="F147" s="9"/>
      <c r="G147" s="9"/>
      <c r="H147" s="9"/>
      <c r="I147" s="9"/>
      <c r="J147" s="9"/>
      <c r="K147" s="9"/>
      <c r="L147" s="9"/>
      <c r="O147" s="8"/>
    </row>
    <row r="148" spans="6:15" x14ac:dyDescent="0.25">
      <c r="F148" s="9"/>
      <c r="G148" s="9"/>
      <c r="H148" s="9"/>
      <c r="I148" s="9"/>
      <c r="J148" s="9"/>
      <c r="K148" s="9"/>
      <c r="L148" s="9"/>
      <c r="O148" s="8"/>
    </row>
    <row r="149" spans="6:15" x14ac:dyDescent="0.25">
      <c r="F149" s="9"/>
      <c r="G149" s="9"/>
      <c r="H149" s="9"/>
      <c r="I149" s="9"/>
      <c r="J149" s="9"/>
      <c r="K149" s="9"/>
      <c r="L149" s="9"/>
      <c r="O149" s="8"/>
    </row>
    <row r="150" spans="6:15" x14ac:dyDescent="0.25">
      <c r="F150" s="9"/>
      <c r="G150" s="9"/>
      <c r="H150" s="9"/>
      <c r="I150" s="9"/>
      <c r="J150" s="9"/>
      <c r="K150" s="9"/>
      <c r="L150" s="9"/>
      <c r="O150" s="8"/>
    </row>
    <row r="151" spans="6:15" x14ac:dyDescent="0.25">
      <c r="F151" s="9"/>
      <c r="G151" s="9"/>
      <c r="H151" s="9"/>
      <c r="I151" s="9"/>
      <c r="J151" s="9"/>
      <c r="K151" s="9"/>
      <c r="L151" s="9"/>
      <c r="O151" s="8"/>
    </row>
    <row r="152" spans="6:15" x14ac:dyDescent="0.25">
      <c r="F152" s="9"/>
      <c r="G152" s="9"/>
      <c r="H152" s="9"/>
      <c r="I152" s="9"/>
      <c r="J152" s="9"/>
      <c r="K152" s="9"/>
      <c r="L152" s="9"/>
      <c r="O152" s="8"/>
    </row>
    <row r="153" spans="6:15" x14ac:dyDescent="0.25">
      <c r="F153" s="9"/>
      <c r="G153" s="9"/>
      <c r="H153" s="9"/>
      <c r="I153" s="9"/>
      <c r="J153" s="9"/>
      <c r="K153" s="9"/>
      <c r="L153" s="9"/>
      <c r="O153" s="8"/>
    </row>
    <row r="154" spans="6:15" x14ac:dyDescent="0.25">
      <c r="F154" s="9"/>
      <c r="G154" s="9"/>
      <c r="H154" s="9"/>
      <c r="I154" s="9"/>
      <c r="J154" s="9"/>
      <c r="K154" s="9"/>
      <c r="L154" s="9"/>
      <c r="O154" s="8"/>
    </row>
    <row r="155" spans="6:15" x14ac:dyDescent="0.25">
      <c r="F155" s="9"/>
      <c r="G155" s="9"/>
      <c r="H155" s="9"/>
      <c r="I155" s="9"/>
      <c r="J155" s="9"/>
      <c r="K155" s="9"/>
      <c r="L155" s="9"/>
      <c r="O155" s="8"/>
    </row>
    <row r="156" spans="6:15" x14ac:dyDescent="0.25">
      <c r="F156" s="9"/>
      <c r="G156" s="9"/>
      <c r="H156" s="9"/>
      <c r="I156" s="9"/>
      <c r="J156" s="9"/>
      <c r="K156" s="9"/>
      <c r="L156" s="9"/>
    </row>
    <row r="157" spans="6:15" x14ac:dyDescent="0.25">
      <c r="F157" s="9"/>
      <c r="G157" s="9"/>
      <c r="H157" s="9"/>
      <c r="I157" s="9"/>
      <c r="J157" s="9"/>
      <c r="K157" s="9"/>
      <c r="L157" s="9"/>
    </row>
    <row r="158" spans="6:15" x14ac:dyDescent="0.25">
      <c r="F158" s="9"/>
      <c r="G158" s="9"/>
      <c r="H158" s="9"/>
      <c r="I158" s="9"/>
      <c r="J158" s="9"/>
      <c r="K158" s="9"/>
      <c r="L158" s="9"/>
    </row>
    <row r="159" spans="6:15" x14ac:dyDescent="0.25">
      <c r="F159" s="9"/>
      <c r="G159" s="9"/>
      <c r="H159" s="9"/>
      <c r="I159" s="9"/>
      <c r="J159" s="9"/>
      <c r="K159" s="9"/>
      <c r="L159" s="9"/>
    </row>
    <row r="160" spans="6:15" x14ac:dyDescent="0.25">
      <c r="F160" s="9"/>
      <c r="G160" s="9"/>
      <c r="H160" s="9"/>
      <c r="I160" s="9"/>
      <c r="J160" s="9"/>
      <c r="K160" s="9"/>
      <c r="L160" s="9"/>
    </row>
    <row r="161" spans="6:12" x14ac:dyDescent="0.25">
      <c r="F161" s="9"/>
      <c r="G161" s="9"/>
      <c r="H161" s="9"/>
      <c r="I161" s="9"/>
      <c r="J161" s="9"/>
      <c r="K161" s="9"/>
      <c r="L161" s="9"/>
    </row>
    <row r="162" spans="6:12" x14ac:dyDescent="0.25">
      <c r="F162" s="9"/>
      <c r="G162" s="9"/>
      <c r="H162" s="9"/>
      <c r="I162" s="9"/>
      <c r="J162" s="9"/>
      <c r="K162" s="9"/>
      <c r="L162" s="9"/>
    </row>
    <row r="163" spans="6:12" x14ac:dyDescent="0.25">
      <c r="G163" s="9"/>
      <c r="H163" s="9"/>
      <c r="I163" s="9"/>
      <c r="J163" s="9"/>
      <c r="K163" s="9"/>
      <c r="L163" s="9"/>
    </row>
    <row r="164" spans="6:12" x14ac:dyDescent="0.25">
      <c r="G164" s="9"/>
      <c r="H164" s="9"/>
      <c r="I164" s="9"/>
      <c r="J164" s="9"/>
      <c r="K164" s="9"/>
      <c r="L164" s="9"/>
    </row>
    <row r="223" spans="10:10" x14ac:dyDescent="0.25">
      <c r="J223" s="7"/>
    </row>
    <row r="224" spans="10:10" x14ac:dyDescent="0.25">
      <c r="J224" s="7"/>
    </row>
    <row r="225" spans="10:10" x14ac:dyDescent="0.25">
      <c r="J225" s="7"/>
    </row>
    <row r="226" spans="10:10" x14ac:dyDescent="0.25">
      <c r="J226" s="7"/>
    </row>
    <row r="227" spans="10:10" x14ac:dyDescent="0.25">
      <c r="J227" s="7"/>
    </row>
    <row r="228" spans="10:10" x14ac:dyDescent="0.25">
      <c r="J228" s="7"/>
    </row>
    <row r="229" spans="10:10" x14ac:dyDescent="0.25">
      <c r="J229" s="7"/>
    </row>
  </sheetData>
  <mergeCells count="8">
    <mergeCell ref="U16:V16"/>
    <mergeCell ref="D7:F7"/>
    <mergeCell ref="H7:K7"/>
    <mergeCell ref="U17:V17"/>
    <mergeCell ref="J3:K3"/>
    <mergeCell ref="J4:K4"/>
    <mergeCell ref="J5:K5"/>
    <mergeCell ref="D6:K6"/>
  </mergeCells>
  <dataValidations count="1">
    <dataValidation allowBlank="1" showInputMessage="1" showErrorMessage="1" sqref="B25:B26" xr:uid="{4E549481-70AF-42FB-99B5-D543F78C766F}"/>
  </dataValidations>
  <hyperlinks>
    <hyperlink ref="B12" r:id="rId1" xr:uid="{074CBC15-5589-49D6-91BD-C23A057327F6}"/>
  </hyperlinks>
  <printOptions horizontalCentered="1"/>
  <pageMargins left="0" right="0" top="0.1" bottom="0.1" header="0" footer="0"/>
  <pageSetup scale="30" fitToWidth="0" orientation="landscape" cellComments="atEnd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print_compareofferings">
                <anchor moveWithCells="1">
                  <from>
                    <xdr:col>0</xdr:col>
                    <xdr:colOff>962025</xdr:colOff>
                    <xdr:row>19</xdr:row>
                    <xdr:rowOff>0</xdr:rowOff>
                  </from>
                  <to>
                    <xdr:col>1</xdr:col>
                    <xdr:colOff>0</xdr:colOff>
                    <xdr:row>22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147B261-D34C-4C00-9EF4-362F2C170265}">
          <x14:formula1>
            <xm:f>#REF!</xm:f>
          </x14:formula1>
          <xm:sqref>B10</xm:sqref>
        </x14:dataValidation>
        <x14:dataValidation type="list" allowBlank="1" showInputMessage="1" showErrorMessage="1" xr:uid="{1BBABDF8-AB98-441F-86B7-41FAE6E73E82}">
          <x14:formula1>
            <xm:f>#REF!</xm:f>
          </x14:formula1>
          <xm:sqref>B13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14113-4868-4D8A-8634-D71FA3B8C049}">
  <sheetPr codeName="Sheet2">
    <tabColor rgb="FF92D050"/>
    <pageSetUpPr fitToPage="1"/>
  </sheetPr>
  <dimension ref="A1:W231"/>
  <sheetViews>
    <sheetView showGridLines="0" tabSelected="1" topLeftCell="A13" zoomScale="80" zoomScaleNormal="80" zoomScaleSheetLayoutView="90" workbookViewId="0">
      <selection activeCell="B36" sqref="B36"/>
    </sheetView>
  </sheetViews>
  <sheetFormatPr defaultRowHeight="15" x14ac:dyDescent="0.25"/>
  <cols>
    <col min="1" max="1" width="52.5703125" customWidth="1"/>
    <col min="2" max="2" width="42" style="6" customWidth="1"/>
    <col min="3" max="3" width="4.85546875" customWidth="1"/>
    <col min="4" max="4" width="23.5703125" style="4" customWidth="1"/>
    <col min="5" max="5" width="21.7109375" style="4" customWidth="1"/>
    <col min="6" max="6" width="18.7109375" style="3" customWidth="1"/>
    <col min="7" max="11" width="18.7109375" style="5" customWidth="1"/>
    <col min="12" max="12" width="3.85546875" style="4" customWidth="1"/>
    <col min="13" max="13" width="18.7109375" style="4" customWidth="1"/>
    <col min="14" max="14" width="32.85546875" style="3" customWidth="1"/>
    <col min="15" max="15" width="14" style="2" bestFit="1" customWidth="1"/>
    <col min="16" max="18" width="16.28515625" style="2" bestFit="1" customWidth="1"/>
    <col min="19" max="19" width="18.28515625" style="2" bestFit="1" customWidth="1"/>
    <col min="20" max="20" width="17.7109375" bestFit="1" customWidth="1"/>
  </cols>
  <sheetData>
    <row r="1" spans="1:19" ht="15" customHeight="1" x14ac:dyDescent="0.35">
      <c r="J1" s="32"/>
      <c r="K1" s="32"/>
      <c r="L1" s="32"/>
      <c r="M1" s="32"/>
      <c r="N1" s="32"/>
      <c r="O1" s="32"/>
      <c r="P1" s="32"/>
      <c r="Q1" s="32"/>
      <c r="R1" s="32"/>
      <c r="S1" s="32"/>
    </row>
    <row r="2" spans="1:19" ht="15" customHeight="1" x14ac:dyDescent="0.35">
      <c r="G2" s="17"/>
      <c r="H2" s="17"/>
      <c r="I2" s="17"/>
      <c r="J2" s="32"/>
      <c r="K2" s="32"/>
      <c r="L2" s="32"/>
      <c r="M2" s="32"/>
      <c r="N2" s="32"/>
      <c r="O2" s="32"/>
      <c r="P2" s="32"/>
      <c r="Q2" s="32"/>
      <c r="R2" s="32"/>
      <c r="S2" s="32"/>
    </row>
    <row r="3" spans="1:19" ht="15" customHeight="1" x14ac:dyDescent="0.35">
      <c r="G3" s="17"/>
      <c r="H3" s="17"/>
      <c r="I3" s="34"/>
      <c r="J3" s="124"/>
      <c r="K3" s="124"/>
      <c r="L3" s="32"/>
      <c r="M3" s="32"/>
      <c r="N3" s="32"/>
      <c r="O3" s="32"/>
      <c r="P3" s="32"/>
      <c r="Q3" s="32"/>
      <c r="R3" s="32"/>
      <c r="S3" s="32"/>
    </row>
    <row r="4" spans="1:19" ht="16.149999999999999" customHeight="1" x14ac:dyDescent="0.35">
      <c r="G4" s="17"/>
      <c r="H4" s="17"/>
      <c r="J4" s="124"/>
      <c r="K4" s="124"/>
      <c r="L4" s="33"/>
      <c r="M4" s="33"/>
      <c r="N4" s="32"/>
      <c r="O4" s="32"/>
      <c r="P4" s="32"/>
      <c r="Q4" s="32"/>
      <c r="R4" s="32"/>
      <c r="S4" s="32"/>
    </row>
    <row r="5" spans="1:19" ht="16.899999999999999" customHeight="1" x14ac:dyDescent="0.25">
      <c r="G5" s="17"/>
      <c r="H5" s="17"/>
      <c r="I5" s="17"/>
      <c r="J5" s="125"/>
      <c r="K5" s="125"/>
      <c r="M5" s="2"/>
      <c r="N5" s="2"/>
    </row>
    <row r="6" spans="1:19" ht="15.75" x14ac:dyDescent="0.25">
      <c r="A6" s="18" t="s">
        <v>2</v>
      </c>
      <c r="B6" s="19" t="s">
        <v>0</v>
      </c>
      <c r="D6" s="126" t="s">
        <v>3</v>
      </c>
      <c r="E6" s="127"/>
      <c r="F6" s="127"/>
      <c r="G6" s="127"/>
      <c r="H6" s="127"/>
      <c r="I6" s="127"/>
      <c r="J6" s="127"/>
      <c r="K6" s="128"/>
      <c r="M6" s="2"/>
      <c r="N6" s="2"/>
    </row>
    <row r="7" spans="1:19" ht="16.5" x14ac:dyDescent="0.3">
      <c r="A7" s="23" t="s">
        <v>1</v>
      </c>
      <c r="B7" s="24">
        <f>'Compare Offerings'!Investment_Amount</f>
        <v>500000</v>
      </c>
      <c r="D7" s="121" t="s">
        <v>4</v>
      </c>
      <c r="E7" s="122"/>
      <c r="F7" s="122"/>
      <c r="G7" s="122"/>
      <c r="H7" s="122" t="s">
        <v>5</v>
      </c>
      <c r="I7" s="122"/>
      <c r="J7" s="122"/>
      <c r="K7" s="123"/>
      <c r="L7" s="16"/>
      <c r="M7" s="2"/>
      <c r="N7" s="2"/>
    </row>
    <row r="8" spans="1:19" ht="16.5" x14ac:dyDescent="0.3">
      <c r="A8" s="23" t="s">
        <v>6</v>
      </c>
      <c r="B8" s="25">
        <v>7</v>
      </c>
      <c r="D8" s="70" t="s">
        <v>7</v>
      </c>
      <c r="E8" s="82"/>
      <c r="F8" s="42" t="str">
        <f>B11</f>
        <v>Jerry</v>
      </c>
      <c r="G8" s="83"/>
      <c r="H8" s="129" t="s">
        <v>1</v>
      </c>
      <c r="I8" s="130"/>
      <c r="J8" s="84"/>
      <c r="K8" s="72">
        <f>Investment_Amount</f>
        <v>500000</v>
      </c>
      <c r="L8" s="2"/>
      <c r="M8" s="2"/>
      <c r="N8" s="2"/>
    </row>
    <row r="9" spans="1:19" ht="16.5" x14ac:dyDescent="0.3">
      <c r="A9" s="20" t="s">
        <v>8</v>
      </c>
      <c r="B9" s="39">
        <f>'Compare Offerings'!Rate</f>
        <v>0.13</v>
      </c>
      <c r="D9" s="51" t="s">
        <v>39</v>
      </c>
      <c r="E9" s="82"/>
      <c r="F9" s="86"/>
      <c r="G9" s="85"/>
      <c r="H9" s="131" t="s">
        <v>8</v>
      </c>
      <c r="I9" s="132"/>
      <c r="J9" s="84"/>
      <c r="K9" s="73">
        <f>Rate</f>
        <v>0.13</v>
      </c>
      <c r="L9" s="11"/>
      <c r="M9" s="2"/>
      <c r="N9" s="2"/>
    </row>
    <row r="10" spans="1:19" ht="16.5" x14ac:dyDescent="0.3">
      <c r="A10" s="20" t="s">
        <v>10</v>
      </c>
      <c r="B10" s="26" t="s">
        <v>32</v>
      </c>
      <c r="D10" s="71" t="s">
        <v>40</v>
      </c>
      <c r="E10" s="84"/>
      <c r="F10" s="43">
        <f>'Payment Schedule'!A5</f>
        <v>0</v>
      </c>
      <c r="G10" s="83"/>
      <c r="H10" s="131" t="str">
        <f>A8</f>
        <v>Term (Years)</v>
      </c>
      <c r="I10" s="132"/>
      <c r="J10" s="84"/>
      <c r="K10" s="74">
        <f>Years</f>
        <v>7</v>
      </c>
      <c r="L10" s="2"/>
    </row>
    <row r="11" spans="1:19" ht="16.5" x14ac:dyDescent="0.3">
      <c r="A11" s="119" t="s">
        <v>7</v>
      </c>
      <c r="B11" s="27" t="s">
        <v>33</v>
      </c>
      <c r="D11" s="51" t="s">
        <v>41</v>
      </c>
      <c r="E11" s="82"/>
      <c r="F11" s="86"/>
      <c r="G11" s="84"/>
      <c r="H11" s="131" t="s">
        <v>12</v>
      </c>
      <c r="I11" s="132"/>
      <c r="J11" s="84"/>
      <c r="K11" s="74">
        <f>Years*12</f>
        <v>84</v>
      </c>
      <c r="L11" s="2"/>
    </row>
    <row r="12" spans="1:19" ht="16.5" x14ac:dyDescent="0.3">
      <c r="B12" s="29" t="str">
        <f>IF(Years=1,"Regulation D Series U  (Simple Interest)",IF(AND(Years=3, Rate=10%),"Regulation D Series V (Simple Interest)",IF(Years=5,"Regulation D Series W (Simple Interest)",IF(Years=7,"Regulation D Series X (Simple Interest)",IF(Years=9,"Regulation D Series Y (Simple Interest)",IF(Years=11,"Regulation D Series Z (Simple Interest)",IF(AND(Years=3, Rate=9%), "Regulation A Series A (Simple Interest)", "Error")))))))</f>
        <v>Regulation D Series X (Simple Interest)</v>
      </c>
      <c r="D12" s="51"/>
      <c r="E12" s="82"/>
      <c r="F12" s="86"/>
      <c r="G12" s="87"/>
      <c r="H12" s="80" t="s">
        <v>42</v>
      </c>
      <c r="I12" s="40"/>
      <c r="J12" s="40"/>
      <c r="K12" s="75">
        <f>ROUNDUP(Investment_Amount/1000,0)</f>
        <v>500</v>
      </c>
      <c r="L12" s="2"/>
    </row>
    <row r="13" spans="1:19" ht="16.5" x14ac:dyDescent="0.3">
      <c r="A13" s="21" t="s">
        <v>15</v>
      </c>
      <c r="B13" s="30">
        <f>(1000*Discount)*(Rate/12)*(Years*12)</f>
        <v>465920</v>
      </c>
      <c r="D13" s="52"/>
      <c r="E13"/>
      <c r="G13" s="87"/>
      <c r="H13" s="79" t="s">
        <v>43</v>
      </c>
      <c r="I13" s="40"/>
      <c r="J13" s="40"/>
      <c r="K13" s="75">
        <f>Discount-K12</f>
        <v>12</v>
      </c>
      <c r="L13" s="2"/>
    </row>
    <row r="14" spans="1:19" ht="16.5" x14ac:dyDescent="0.3">
      <c r="B14" s="28" t="str">
        <f>IF(Years=1,"Regulation D Series U-1 (Compounding Interest)",IF(Years=3,"Regulation D Series V-1 (Compounding Interest)",IF(Years=5,"Regulation D Series W-1 (Compounding Interest)",IF(Years=7,"Regulation D Series X-1 (Compounding Interest)",IF(Years=9,"Regulation D Series Y-1 (Compounding Interest)",IF(Years=11,"Regulation D Series Z-1","Error"))))))</f>
        <v>Regulation D Series X-1 (Compounding Interest)</v>
      </c>
      <c r="D14" s="80"/>
      <c r="G14" s="87"/>
      <c r="H14" s="115" t="s">
        <v>37</v>
      </c>
      <c r="I14" s="117"/>
      <c r="J14" s="113"/>
      <c r="K14" s="114">
        <f>K12+K13</f>
        <v>512</v>
      </c>
      <c r="L14" s="2"/>
    </row>
    <row r="15" spans="1:19" ht="16.5" x14ac:dyDescent="0.3">
      <c r="A15" s="21" t="s">
        <v>23</v>
      </c>
      <c r="B15" s="22">
        <f>((1000*Discount)*((1+(Rate/12))^(12*Years)))-(1000*Discount)</f>
        <v>753763.49334410834</v>
      </c>
      <c r="D15" s="80"/>
      <c r="G15" s="3"/>
      <c r="H15" s="111" t="s">
        <v>13</v>
      </c>
      <c r="I15" s="116"/>
      <c r="J15" s="116"/>
      <c r="K15" s="76">
        <f>IF(B10="Simple",IF(K10=1,F23,IF(K10=3,G23,IF(K10=5,H23,IF(K10=7,I23,IF(K10=9,J23,IF(K10=11,K23,"error")))))),IF(K10=1,F24,IF(K10=3,G24,IF(K10=5,H24,IF(K10=7,I24,IF(K10=9,J24,IF(K10=11,K24,"error")))))))</f>
        <v>1181043.3249486678</v>
      </c>
      <c r="L15"/>
      <c r="M15"/>
      <c r="O15" s="3"/>
      <c r="P15" s="3"/>
      <c r="Q15" s="3"/>
      <c r="R15" s="3"/>
      <c r="S15" s="3"/>
    </row>
    <row r="16" spans="1:19" ht="15" customHeight="1" x14ac:dyDescent="0.25">
      <c r="D16" s="96" t="s">
        <v>16</v>
      </c>
      <c r="E16" s="88"/>
      <c r="F16" s="89"/>
      <c r="G16" s="89"/>
      <c r="H16" s="89"/>
      <c r="I16" s="89"/>
      <c r="J16" s="90"/>
      <c r="K16" s="104"/>
    </row>
    <row r="17" spans="1:23" ht="17.25" x14ac:dyDescent="0.3">
      <c r="D17" s="97" t="s">
        <v>17</v>
      </c>
      <c r="E17" s="44"/>
      <c r="F17" s="47" t="s">
        <v>36</v>
      </c>
      <c r="G17" s="47" t="s">
        <v>18</v>
      </c>
      <c r="H17" s="47" t="s">
        <v>19</v>
      </c>
      <c r="I17" s="47" t="s">
        <v>20</v>
      </c>
      <c r="J17" s="47" t="s">
        <v>21</v>
      </c>
      <c r="K17" s="47" t="s">
        <v>22</v>
      </c>
      <c r="U17" s="120"/>
      <c r="V17" s="120"/>
      <c r="W17" s="2"/>
    </row>
    <row r="18" spans="1:23" ht="17.25" x14ac:dyDescent="0.3">
      <c r="D18" s="98" t="s">
        <v>24</v>
      </c>
      <c r="E18" s="45"/>
      <c r="F18" s="48">
        <f t="shared" ref="F18:H18" si="0">Investment_Amount</f>
        <v>500000</v>
      </c>
      <c r="G18" s="48">
        <f t="shared" si="0"/>
        <v>500000</v>
      </c>
      <c r="H18" s="48">
        <f t="shared" si="0"/>
        <v>500000</v>
      </c>
      <c r="I18" s="48">
        <f t="shared" ref="I18" si="1">Investment_Amount</f>
        <v>500000</v>
      </c>
      <c r="J18" s="48">
        <f t="shared" ref="J18:K18" si="2">Investment_Amount</f>
        <v>500000</v>
      </c>
      <c r="K18" s="48">
        <f t="shared" si="2"/>
        <v>500000</v>
      </c>
      <c r="M18" s="8"/>
      <c r="U18" s="120"/>
      <c r="V18" s="120"/>
      <c r="W18" s="2"/>
    </row>
    <row r="19" spans="1:23" ht="17.25" x14ac:dyDescent="0.3">
      <c r="D19" s="99" t="s">
        <v>25</v>
      </c>
      <c r="E19" s="46"/>
      <c r="F19" s="49">
        <f>(Discount*((9%*1000)/12)*(1*12))</f>
        <v>46080</v>
      </c>
      <c r="G19" s="49">
        <f>(Discount*((10%*1000)/12)*(3*12))</f>
        <v>153600</v>
      </c>
      <c r="H19" s="49">
        <f>(Discount*((11%*1000)/12)*(5*12))</f>
        <v>281600</v>
      </c>
      <c r="I19" s="49">
        <f>(Discount*((12%*1000)/12)*(7*12))</f>
        <v>430080</v>
      </c>
      <c r="J19" s="49">
        <f>(Discount*((12.5%*1000)/12)*(9*12))</f>
        <v>576000</v>
      </c>
      <c r="K19" s="49">
        <f>(Discount*((13%*1000)/12)*(11*12))</f>
        <v>732160</v>
      </c>
    </row>
    <row r="20" spans="1:23" ht="17.25" x14ac:dyDescent="0.3">
      <c r="A20" s="1"/>
      <c r="B20" s="63"/>
      <c r="C20" s="15"/>
      <c r="D20" s="98" t="s">
        <v>26</v>
      </c>
      <c r="E20" s="45"/>
      <c r="F20" s="48">
        <f>((1000*Discount)*((1+(9%/12))^(12*1)))-(1000*Discount)</f>
        <v>48029.13160754391</v>
      </c>
      <c r="G20" s="48">
        <f>((1000*Discount)*((1+(10%/12))^(12*3)))-(1000*Discount)</f>
        <v>178269.10331843933</v>
      </c>
      <c r="H20" s="48">
        <f>((1000*Discount)*((1+(11%/12))^(12*5)))-(1000*Discount)</f>
        <v>373204.85399215308</v>
      </c>
      <c r="I20" s="48">
        <f>((1000*Discount)*((1+(12%/12))^(12*7)))-(1000*Discount)</f>
        <v>669042.04494866775</v>
      </c>
      <c r="J20" s="48">
        <f>((1000*Discount)*((1+(12.5%/12))^(12*9)))-(1000*Discount)</f>
        <v>1055920.698787509</v>
      </c>
      <c r="K20" s="48">
        <f>((1000*Discount)*((1+(13%/12))^(12*11)))-(1000*Discount)</f>
        <v>1611103.6505890209</v>
      </c>
    </row>
    <row r="21" spans="1:23" ht="17.25" x14ac:dyDescent="0.3">
      <c r="C21" s="12"/>
      <c r="D21" s="100" t="str">
        <f>A27</f>
        <v>Rate + Lift Value</v>
      </c>
      <c r="E21" s="61"/>
      <c r="F21" s="62">
        <f>(1000-$B$26)*Discount</f>
        <v>12001.280000000028</v>
      </c>
      <c r="G21" s="62">
        <f>(1000-$B$26)*Discount</f>
        <v>12001.280000000028</v>
      </c>
      <c r="H21" s="62">
        <f>(1000-$B$26)*Discount</f>
        <v>12001.280000000028</v>
      </c>
      <c r="I21" s="62">
        <f>(1000-$B$26)*Discount</f>
        <v>12001.280000000028</v>
      </c>
      <c r="J21" s="62">
        <f>(1000-$B$26)*Discount</f>
        <v>12001.280000000028</v>
      </c>
      <c r="K21" s="62">
        <f>(1000-$B$26)*Discount</f>
        <v>12001.280000000028</v>
      </c>
    </row>
    <row r="22" spans="1:23" s="1" customFormat="1" ht="17.25" customHeight="1" x14ac:dyDescent="0.3">
      <c r="A22" s="18" t="s">
        <v>38</v>
      </c>
      <c r="B22" s="6"/>
      <c r="C22" s="64"/>
      <c r="D22" s="101"/>
      <c r="E22" s="92"/>
      <c r="F22" s="69"/>
      <c r="G22" s="69"/>
      <c r="H22" s="69"/>
      <c r="I22" s="69"/>
      <c r="J22" s="69"/>
      <c r="K22" s="69"/>
      <c r="L22" s="65"/>
      <c r="M22" s="65"/>
      <c r="N22" s="66"/>
      <c r="O22" s="67"/>
      <c r="P22" s="67"/>
      <c r="Q22" s="67"/>
      <c r="R22" s="67"/>
      <c r="S22" s="67"/>
    </row>
    <row r="23" spans="1:23" ht="17.25" x14ac:dyDescent="0.3">
      <c r="A23" s="23" t="s">
        <v>29</v>
      </c>
      <c r="B23" s="38">
        <v>0.13500000000000001</v>
      </c>
      <c r="C23" s="12"/>
      <c r="D23" s="102" t="s">
        <v>27</v>
      </c>
      <c r="E23" s="93"/>
      <c r="F23" s="50">
        <f>SUM(F19,F18)</f>
        <v>546080</v>
      </c>
      <c r="G23" s="50">
        <f t="shared" ref="G23:K23" si="3">SUM(G19,G18)</f>
        <v>653600</v>
      </c>
      <c r="H23" s="50">
        <f t="shared" si="3"/>
        <v>781600</v>
      </c>
      <c r="I23" s="68">
        <f t="shared" si="3"/>
        <v>930080</v>
      </c>
      <c r="J23" s="50">
        <f t="shared" si="3"/>
        <v>1076000</v>
      </c>
      <c r="K23" s="50">
        <f t="shared" si="3"/>
        <v>1232160</v>
      </c>
    </row>
    <row r="24" spans="1:23" ht="17.25" x14ac:dyDescent="0.3">
      <c r="A24" s="23" t="s">
        <v>35</v>
      </c>
      <c r="B24" s="36">
        <f>(B9*1000)*(1-(1+B23)^-Years)/B23+(1000/(1+B23)^Years)</f>
        <v>978.22685217325852</v>
      </c>
      <c r="C24" s="12"/>
      <c r="D24" s="103" t="s">
        <v>28</v>
      </c>
      <c r="E24" s="94"/>
      <c r="F24" s="95">
        <f>F18+F20+F21</f>
        <v>560030.41160754394</v>
      </c>
      <c r="G24" s="95">
        <f>G18+G20+G21</f>
        <v>690270.38331843936</v>
      </c>
      <c r="H24" s="95">
        <f t="shared" ref="H24:K24" si="4">H18+H20+H21</f>
        <v>885206.1339921531</v>
      </c>
      <c r="I24" s="95">
        <f t="shared" si="4"/>
        <v>1181043.3249486678</v>
      </c>
      <c r="J24" s="95">
        <f t="shared" si="4"/>
        <v>1567921.978787509</v>
      </c>
      <c r="K24" s="95">
        <f t="shared" si="4"/>
        <v>2123104.9305890212</v>
      </c>
    </row>
    <row r="25" spans="1:23" x14ac:dyDescent="0.25">
      <c r="A25" s="23" t="s">
        <v>30</v>
      </c>
      <c r="B25" s="25">
        <f>ROUNDUP((Investment_Amount/B24),0)</f>
        <v>512</v>
      </c>
      <c r="C25" s="12"/>
      <c r="G25" s="31"/>
      <c r="H25" s="31"/>
      <c r="I25" s="31"/>
      <c r="J25" s="31"/>
      <c r="K25" s="31"/>
    </row>
    <row r="26" spans="1:23" ht="18" customHeight="1" x14ac:dyDescent="0.25">
      <c r="A26" t="s">
        <v>46</v>
      </c>
      <c r="B26" s="81">
        <f>ROUND((Investment_Amount/(Discount*1000))*1000,2)</f>
        <v>976.56</v>
      </c>
      <c r="C26" s="12"/>
      <c r="F26" s="4"/>
      <c r="P26"/>
      <c r="Q26"/>
      <c r="R26"/>
      <c r="S26"/>
    </row>
    <row r="27" spans="1:23" ht="15" customHeight="1" x14ac:dyDescent="0.25">
      <c r="A27" s="23" t="s">
        <v>31</v>
      </c>
      <c r="B27" s="24">
        <f>(1000-B26)*Discount</f>
        <v>12001.280000000028</v>
      </c>
      <c r="C27" s="12"/>
      <c r="F27" s="4"/>
      <c r="O27" s="3"/>
      <c r="P27" s="3"/>
      <c r="Q27" s="3"/>
      <c r="R27" s="3"/>
      <c r="S27" s="3"/>
      <c r="T27" s="3"/>
      <c r="U27" s="3"/>
    </row>
    <row r="28" spans="1:23" x14ac:dyDescent="0.25">
      <c r="B28" s="13"/>
      <c r="C28" s="12"/>
      <c r="F28" s="4"/>
      <c r="G28" s="4"/>
      <c r="H28" s="4"/>
      <c r="I28" s="4"/>
      <c r="J28" s="4"/>
      <c r="K28" s="4"/>
      <c r="O28" s="3"/>
      <c r="P28" s="3"/>
      <c r="Q28" s="3"/>
      <c r="R28" s="3"/>
      <c r="S28" s="3"/>
      <c r="T28" s="3"/>
      <c r="U28" s="3"/>
    </row>
    <row r="29" spans="1:23" x14ac:dyDescent="0.25">
      <c r="C29" s="12"/>
      <c r="F29" s="4"/>
      <c r="G29" s="4"/>
      <c r="H29" s="4"/>
      <c r="I29" s="4"/>
      <c r="J29" s="4"/>
      <c r="K29" s="4"/>
      <c r="O29" s="3"/>
      <c r="P29" s="3"/>
      <c r="Q29" s="3"/>
      <c r="R29" s="3"/>
      <c r="S29" s="3"/>
      <c r="T29" s="3"/>
      <c r="U29" s="3"/>
    </row>
    <row r="30" spans="1:23" x14ac:dyDescent="0.25">
      <c r="C30" s="12"/>
      <c r="F30" s="4"/>
      <c r="G30" s="4"/>
      <c r="H30" s="4"/>
      <c r="I30" s="4"/>
      <c r="J30" s="4"/>
      <c r="K30" s="4"/>
      <c r="O30" s="3"/>
      <c r="P30" s="3"/>
      <c r="Q30" s="3"/>
      <c r="R30" s="3"/>
      <c r="S30" s="3"/>
      <c r="T30" s="3"/>
      <c r="U30" s="3"/>
    </row>
    <row r="31" spans="1:23" x14ac:dyDescent="0.25">
      <c r="F31" s="4"/>
      <c r="G31" s="4"/>
      <c r="H31" s="4"/>
      <c r="I31" s="4"/>
      <c r="J31" s="4"/>
      <c r="K31" s="4"/>
      <c r="O31" s="3"/>
      <c r="P31" s="3"/>
      <c r="Q31" s="3"/>
      <c r="R31" s="3"/>
      <c r="S31" s="3"/>
      <c r="T31" s="3"/>
      <c r="U31" s="3"/>
    </row>
    <row r="32" spans="1:23" x14ac:dyDescent="0.25">
      <c r="B32" s="37"/>
      <c r="F32" s="4"/>
      <c r="G32" s="4"/>
      <c r="H32" s="4"/>
      <c r="I32" s="4"/>
      <c r="J32" s="4"/>
      <c r="K32" s="4"/>
      <c r="O32" s="3"/>
      <c r="P32" s="3"/>
      <c r="Q32" s="3"/>
      <c r="R32" s="3"/>
      <c r="S32" s="3"/>
      <c r="T32" s="3"/>
      <c r="U32" s="3"/>
    </row>
    <row r="33" spans="4:21" x14ac:dyDescent="0.25">
      <c r="F33" s="4"/>
      <c r="G33" s="4"/>
      <c r="H33" s="4"/>
      <c r="I33" s="4"/>
      <c r="J33" s="4"/>
      <c r="K33" s="4"/>
      <c r="O33" s="3"/>
      <c r="P33" s="3"/>
      <c r="Q33" s="3"/>
      <c r="R33" s="3"/>
      <c r="S33" s="3"/>
      <c r="T33" s="3"/>
      <c r="U33" s="3"/>
    </row>
    <row r="34" spans="4:21" x14ac:dyDescent="0.25">
      <c r="F34" s="4"/>
      <c r="G34" s="4"/>
      <c r="H34" s="4"/>
      <c r="I34" s="4"/>
      <c r="J34" s="4"/>
      <c r="K34" s="4"/>
      <c r="O34" s="3"/>
      <c r="P34" s="3"/>
      <c r="Q34" s="3"/>
      <c r="R34" s="3"/>
      <c r="S34" s="3"/>
      <c r="T34" s="3"/>
      <c r="U34" s="3"/>
    </row>
    <row r="35" spans="4:21" x14ac:dyDescent="0.25">
      <c r="F35" s="4"/>
      <c r="G35" s="4"/>
      <c r="H35" s="4"/>
      <c r="I35" s="4"/>
      <c r="J35" s="4"/>
      <c r="K35" s="4"/>
      <c r="O35" s="3"/>
      <c r="P35" s="3"/>
      <c r="Q35" s="3"/>
      <c r="R35" s="3"/>
      <c r="S35" s="3"/>
      <c r="T35" s="3"/>
      <c r="U35" s="3"/>
    </row>
    <row r="36" spans="4:21" x14ac:dyDescent="0.25">
      <c r="F36" s="4"/>
      <c r="G36" s="4"/>
      <c r="H36" s="4"/>
      <c r="I36" s="4"/>
      <c r="J36" s="4"/>
      <c r="K36" s="4"/>
      <c r="O36" s="3"/>
      <c r="P36" s="3"/>
      <c r="Q36" s="3"/>
      <c r="R36" s="3"/>
      <c r="S36" s="3"/>
      <c r="T36" s="3"/>
      <c r="U36" s="3"/>
    </row>
    <row r="37" spans="4:21" x14ac:dyDescent="0.25">
      <c r="F37" s="4"/>
      <c r="G37" s="4"/>
      <c r="H37" s="4"/>
      <c r="I37" s="4"/>
      <c r="J37" s="4"/>
      <c r="K37" s="4"/>
      <c r="L37" s="10"/>
      <c r="M37" s="10"/>
      <c r="O37" s="3"/>
      <c r="P37" s="3"/>
      <c r="Q37" s="3"/>
      <c r="R37" s="3"/>
      <c r="S37" s="3"/>
      <c r="T37" s="3"/>
      <c r="U37" s="3"/>
    </row>
    <row r="38" spans="4:21" x14ac:dyDescent="0.25">
      <c r="D38" s="9"/>
      <c r="E38" s="9"/>
      <c r="F38" s="9"/>
      <c r="G38" s="4"/>
      <c r="H38" s="4"/>
      <c r="I38" s="4"/>
      <c r="J38" s="4"/>
      <c r="K38" s="4"/>
      <c r="L38" s="9"/>
      <c r="M38" s="9"/>
      <c r="O38" s="3"/>
      <c r="P38" s="3"/>
      <c r="Q38" s="3"/>
      <c r="R38" s="3"/>
      <c r="S38" s="3"/>
      <c r="T38" s="3"/>
      <c r="U38" s="3"/>
    </row>
    <row r="39" spans="4:21" x14ac:dyDescent="0.25">
      <c r="D39" s="9"/>
      <c r="E39" s="9"/>
      <c r="F39" s="9"/>
      <c r="G39" s="4"/>
      <c r="H39" s="4"/>
      <c r="I39" s="4"/>
      <c r="J39" s="4"/>
      <c r="K39" s="4"/>
      <c r="L39" s="9"/>
      <c r="M39" s="9"/>
      <c r="O39" s="3"/>
      <c r="P39" s="3"/>
      <c r="Q39" s="3"/>
      <c r="R39" s="3"/>
      <c r="S39" s="3"/>
      <c r="T39" s="3"/>
      <c r="U39" s="3"/>
    </row>
    <row r="40" spans="4:21" x14ac:dyDescent="0.25">
      <c r="D40" s="9"/>
      <c r="E40" s="9"/>
      <c r="F40" s="9"/>
      <c r="G40" s="9"/>
      <c r="H40" s="9"/>
      <c r="I40" s="9"/>
      <c r="J40" s="9"/>
      <c r="K40" s="9"/>
      <c r="L40" s="9"/>
      <c r="M40" s="9"/>
      <c r="N40" s="8"/>
      <c r="O40" s="8"/>
    </row>
    <row r="41" spans="4:21" x14ac:dyDescent="0.25">
      <c r="D41" s="9"/>
      <c r="E41" s="9"/>
      <c r="F41" s="9"/>
      <c r="G41" s="9"/>
      <c r="H41" s="9"/>
      <c r="I41" s="9"/>
      <c r="J41" s="9"/>
      <c r="K41" s="9"/>
      <c r="L41" s="9"/>
      <c r="M41" s="9"/>
      <c r="N41" s="8"/>
      <c r="O41" s="8"/>
    </row>
    <row r="42" spans="4:21" x14ac:dyDescent="0.25">
      <c r="D42" s="9"/>
      <c r="E42" s="9"/>
      <c r="F42" s="9"/>
      <c r="G42" s="9"/>
      <c r="H42" s="9"/>
      <c r="I42" s="9"/>
      <c r="J42" s="9"/>
      <c r="K42" s="9"/>
      <c r="L42" s="9"/>
      <c r="M42" s="9"/>
      <c r="N42" s="8"/>
      <c r="O42" s="8"/>
    </row>
    <row r="43" spans="4:21" x14ac:dyDescent="0.25">
      <c r="D43" s="9"/>
      <c r="E43" s="9"/>
      <c r="F43" s="9"/>
      <c r="G43" s="9"/>
      <c r="H43" s="9"/>
      <c r="I43" s="9"/>
      <c r="J43" s="9"/>
      <c r="K43" s="9"/>
      <c r="L43" s="9"/>
      <c r="M43" s="9"/>
      <c r="O43" s="8"/>
    </row>
    <row r="44" spans="4:21" x14ac:dyDescent="0.25">
      <c r="D44" s="9"/>
      <c r="E44" s="9"/>
      <c r="F44" s="9"/>
      <c r="G44" s="9"/>
      <c r="H44" s="9"/>
      <c r="I44" s="9"/>
      <c r="J44" s="9"/>
      <c r="K44" s="9"/>
      <c r="L44" s="9"/>
      <c r="M44" s="9"/>
      <c r="O44" s="8"/>
    </row>
    <row r="45" spans="4:21" x14ac:dyDescent="0.25">
      <c r="D45" s="9"/>
      <c r="E45" s="9"/>
      <c r="F45" s="9"/>
      <c r="G45" s="9"/>
      <c r="H45" s="9"/>
      <c r="I45" s="9"/>
      <c r="J45" s="9"/>
      <c r="K45" s="9"/>
      <c r="L45" s="9"/>
      <c r="M45" s="9"/>
      <c r="N45" s="8"/>
      <c r="O45" s="8"/>
    </row>
    <row r="46" spans="4:21" x14ac:dyDescent="0.25">
      <c r="D46" s="9"/>
      <c r="E46" s="9"/>
      <c r="F46" s="9"/>
      <c r="G46" s="9"/>
      <c r="H46" s="9"/>
      <c r="I46" s="9"/>
      <c r="J46" s="9"/>
      <c r="K46" s="9"/>
      <c r="L46" s="9"/>
      <c r="M46" s="9"/>
      <c r="N46" s="8"/>
      <c r="O46" s="8"/>
    </row>
    <row r="47" spans="4:21" x14ac:dyDescent="0.25">
      <c r="D47"/>
      <c r="E47"/>
      <c r="F47" s="9"/>
      <c r="G47" s="9"/>
      <c r="H47" s="9"/>
      <c r="I47" s="9"/>
      <c r="J47" s="9"/>
      <c r="K47" s="9"/>
      <c r="L47" s="9"/>
      <c r="M47" s="9"/>
      <c r="N47" s="8"/>
      <c r="O47" s="8"/>
    </row>
    <row r="48" spans="4:21" x14ac:dyDescent="0.25">
      <c r="D48" s="6"/>
      <c r="E48" s="6"/>
      <c r="F48" s="9"/>
      <c r="G48" s="9"/>
      <c r="H48" s="9"/>
      <c r="I48" s="9"/>
      <c r="J48" s="9"/>
      <c r="K48" s="9"/>
      <c r="L48" s="9"/>
      <c r="M48" s="9"/>
      <c r="N48" s="8"/>
      <c r="O48" s="8"/>
    </row>
    <row r="49" spans="6:15" x14ac:dyDescent="0.25">
      <c r="F49" s="9"/>
      <c r="G49" s="9"/>
      <c r="H49" s="9"/>
      <c r="I49" s="9"/>
      <c r="J49" s="9"/>
      <c r="K49" s="9"/>
      <c r="L49" s="9"/>
      <c r="M49"/>
      <c r="N49" s="8"/>
      <c r="O49" s="8"/>
    </row>
    <row r="50" spans="6:15" x14ac:dyDescent="0.25">
      <c r="F50" s="9"/>
      <c r="G50" s="9"/>
      <c r="H50" s="9"/>
      <c r="I50" s="9"/>
      <c r="J50" s="9"/>
      <c r="K50" s="9"/>
      <c r="L50" s="9"/>
      <c r="M50" s="6"/>
      <c r="O50" s="8"/>
    </row>
    <row r="51" spans="6:15" x14ac:dyDescent="0.25">
      <c r="F51" s="9"/>
      <c r="G51" s="9"/>
      <c r="H51" s="9"/>
      <c r="I51" s="9"/>
      <c r="J51" s="9"/>
      <c r="K51" s="9"/>
      <c r="L51" s="9"/>
      <c r="N51" s="6"/>
      <c r="O51" s="8"/>
    </row>
    <row r="52" spans="6:15" x14ac:dyDescent="0.25">
      <c r="F52" s="9"/>
      <c r="G52" s="9"/>
      <c r="H52" s="9"/>
      <c r="I52" s="9"/>
      <c r="J52" s="9"/>
      <c r="K52" s="9"/>
      <c r="L52" s="9"/>
      <c r="O52" s="8"/>
    </row>
    <row r="53" spans="6:15" x14ac:dyDescent="0.25">
      <c r="F53" s="9"/>
      <c r="G53" s="9"/>
      <c r="H53" s="9"/>
      <c r="I53" s="9"/>
      <c r="J53" s="9"/>
      <c r="K53" s="9"/>
      <c r="L53" s="9"/>
      <c r="O53" s="8"/>
    </row>
    <row r="54" spans="6:15" x14ac:dyDescent="0.25">
      <c r="F54" s="9"/>
      <c r="G54" s="9"/>
      <c r="H54" s="9"/>
      <c r="I54" s="9"/>
      <c r="J54" s="9"/>
      <c r="K54" s="9"/>
      <c r="L54" s="9"/>
      <c r="O54" s="8"/>
    </row>
    <row r="55" spans="6:15" x14ac:dyDescent="0.25">
      <c r="F55" s="9"/>
      <c r="G55" s="9"/>
      <c r="H55" s="9"/>
      <c r="I55" s="9"/>
      <c r="J55" s="9"/>
      <c r="K55" s="9"/>
      <c r="L55" s="9"/>
      <c r="O55" s="8"/>
    </row>
    <row r="56" spans="6:15" x14ac:dyDescent="0.25">
      <c r="F56" s="9"/>
      <c r="G56" s="9"/>
      <c r="H56" s="9"/>
      <c r="I56" s="9"/>
      <c r="J56" s="9"/>
      <c r="K56" s="9"/>
      <c r="L56" s="9"/>
      <c r="O56" s="8"/>
    </row>
    <row r="57" spans="6:15" x14ac:dyDescent="0.25">
      <c r="F57" s="9"/>
      <c r="G57" s="9"/>
      <c r="H57" s="9"/>
      <c r="I57" s="9"/>
      <c r="J57" s="9"/>
      <c r="K57" s="9"/>
      <c r="L57" s="9"/>
      <c r="O57" s="8"/>
    </row>
    <row r="58" spans="6:15" x14ac:dyDescent="0.25">
      <c r="F58" s="9"/>
      <c r="G58" s="9"/>
      <c r="H58" s="9"/>
      <c r="I58" s="9"/>
      <c r="J58" s="9"/>
      <c r="K58" s="9"/>
      <c r="L58" s="9"/>
      <c r="O58" s="8"/>
    </row>
    <row r="59" spans="6:15" x14ac:dyDescent="0.25">
      <c r="F59" s="9"/>
      <c r="G59" s="9"/>
      <c r="H59" s="9"/>
      <c r="I59" s="9"/>
      <c r="J59" s="9"/>
      <c r="K59" s="9"/>
      <c r="L59" s="9"/>
      <c r="O59" s="8"/>
    </row>
    <row r="60" spans="6:15" x14ac:dyDescent="0.25">
      <c r="F60" s="9"/>
      <c r="G60" s="9"/>
      <c r="H60" s="9"/>
      <c r="I60" s="9"/>
      <c r="J60" s="9"/>
      <c r="K60" s="9"/>
      <c r="L60" s="9"/>
      <c r="O60" s="8"/>
    </row>
    <row r="61" spans="6:15" x14ac:dyDescent="0.25">
      <c r="F61" s="9"/>
      <c r="G61" s="9"/>
      <c r="H61" s="9"/>
      <c r="I61" s="9"/>
      <c r="J61" s="9"/>
      <c r="K61" s="9"/>
      <c r="L61" s="9"/>
      <c r="O61" s="8"/>
    </row>
    <row r="62" spans="6:15" x14ac:dyDescent="0.25">
      <c r="F62" s="9"/>
      <c r="G62" s="9"/>
      <c r="H62" s="9"/>
      <c r="I62" s="9"/>
      <c r="J62" s="9"/>
      <c r="K62" s="9"/>
      <c r="L62" s="9"/>
      <c r="O62" s="8"/>
    </row>
    <row r="63" spans="6:15" x14ac:dyDescent="0.25">
      <c r="F63" s="9"/>
      <c r="G63" s="9"/>
      <c r="H63" s="9"/>
      <c r="I63" s="9"/>
      <c r="J63" s="9"/>
      <c r="K63" s="9"/>
      <c r="L63" s="9"/>
      <c r="O63" s="8"/>
    </row>
    <row r="64" spans="6:15" x14ac:dyDescent="0.25">
      <c r="F64" s="9"/>
      <c r="G64" s="9"/>
      <c r="H64" s="9"/>
      <c r="I64" s="9"/>
      <c r="J64" s="9"/>
      <c r="K64" s="9"/>
      <c r="L64" s="9"/>
      <c r="O64" s="8"/>
    </row>
    <row r="65" spans="6:15" x14ac:dyDescent="0.25">
      <c r="F65" s="9"/>
      <c r="G65" s="9"/>
      <c r="H65" s="9"/>
      <c r="I65" s="9"/>
      <c r="J65" s="9"/>
      <c r="K65" s="9"/>
      <c r="L65" s="9"/>
      <c r="O65" s="8"/>
    </row>
    <row r="66" spans="6:15" x14ac:dyDescent="0.25">
      <c r="F66" s="9"/>
      <c r="G66" s="9"/>
      <c r="H66" s="9"/>
      <c r="I66" s="9"/>
      <c r="J66" s="9"/>
      <c r="K66" s="9"/>
      <c r="L66" s="9"/>
      <c r="O66" s="8"/>
    </row>
    <row r="67" spans="6:15" x14ac:dyDescent="0.25">
      <c r="F67" s="9"/>
      <c r="G67" s="9"/>
      <c r="H67" s="9"/>
      <c r="I67" s="9"/>
      <c r="J67" s="9"/>
      <c r="K67" s="9"/>
      <c r="L67" s="9"/>
      <c r="O67" s="8"/>
    </row>
    <row r="68" spans="6:15" x14ac:dyDescent="0.25">
      <c r="F68" s="9"/>
      <c r="G68" s="9"/>
      <c r="H68" s="9"/>
      <c r="I68" s="9"/>
      <c r="J68" s="9"/>
      <c r="K68" s="9"/>
      <c r="L68" s="9"/>
      <c r="O68" s="8"/>
    </row>
    <row r="69" spans="6:15" x14ac:dyDescent="0.25">
      <c r="F69" s="9"/>
      <c r="G69" s="9"/>
      <c r="H69" s="9"/>
      <c r="I69" s="9"/>
      <c r="J69" s="9"/>
      <c r="K69" s="9"/>
      <c r="L69" s="9"/>
      <c r="O69" s="8"/>
    </row>
    <row r="70" spans="6:15" x14ac:dyDescent="0.25">
      <c r="F70" s="9"/>
      <c r="G70" s="9"/>
      <c r="H70" s="9"/>
      <c r="I70" s="9"/>
      <c r="J70" s="9"/>
      <c r="K70" s="9"/>
      <c r="L70" s="9"/>
      <c r="O70" s="8"/>
    </row>
    <row r="71" spans="6:15" x14ac:dyDescent="0.25">
      <c r="F71" s="9"/>
      <c r="G71" s="9"/>
      <c r="H71" s="9"/>
      <c r="I71" s="9"/>
      <c r="J71" s="9"/>
      <c r="K71" s="9"/>
      <c r="L71" s="9"/>
      <c r="O71" s="8"/>
    </row>
    <row r="72" spans="6:15" x14ac:dyDescent="0.25">
      <c r="F72" s="9"/>
      <c r="G72" s="9"/>
      <c r="H72" s="9"/>
      <c r="I72" s="9"/>
      <c r="J72" s="9"/>
      <c r="K72" s="9"/>
      <c r="L72" s="9"/>
      <c r="O72" s="8"/>
    </row>
    <row r="73" spans="6:15" x14ac:dyDescent="0.25">
      <c r="F73" s="9"/>
      <c r="G73" s="9"/>
      <c r="H73" s="9"/>
      <c r="I73" s="9"/>
      <c r="J73" s="9"/>
      <c r="K73" s="9"/>
      <c r="L73" s="9"/>
      <c r="O73" s="8"/>
    </row>
    <row r="74" spans="6:15" x14ac:dyDescent="0.25">
      <c r="F74" s="9"/>
      <c r="G74" s="9"/>
      <c r="H74" s="9"/>
      <c r="I74" s="9"/>
      <c r="J74" s="9"/>
      <c r="K74" s="9"/>
      <c r="L74" s="9"/>
      <c r="O74" s="8"/>
    </row>
    <row r="75" spans="6:15" x14ac:dyDescent="0.25">
      <c r="F75" s="9"/>
      <c r="G75" s="9"/>
      <c r="H75" s="9"/>
      <c r="I75" s="9"/>
      <c r="J75" s="9"/>
      <c r="K75" s="9"/>
      <c r="L75" s="9"/>
      <c r="O75" s="8"/>
    </row>
    <row r="76" spans="6:15" x14ac:dyDescent="0.25">
      <c r="F76" s="9"/>
      <c r="G76" s="9"/>
      <c r="H76" s="9"/>
      <c r="I76" s="9"/>
      <c r="J76" s="9"/>
      <c r="K76" s="9"/>
      <c r="L76" s="9"/>
      <c r="O76" s="8"/>
    </row>
    <row r="77" spans="6:15" x14ac:dyDescent="0.25">
      <c r="F77" s="9"/>
      <c r="G77" s="9"/>
      <c r="H77" s="9"/>
      <c r="I77" s="9"/>
      <c r="J77" s="9"/>
      <c r="K77" s="9"/>
      <c r="L77" s="9"/>
      <c r="O77" s="8"/>
    </row>
    <row r="78" spans="6:15" x14ac:dyDescent="0.25">
      <c r="F78" s="9"/>
      <c r="G78" s="9"/>
      <c r="H78" s="9"/>
      <c r="I78" s="9"/>
      <c r="J78" s="9"/>
      <c r="K78" s="9"/>
      <c r="L78" s="9"/>
      <c r="O78" s="8"/>
    </row>
    <row r="79" spans="6:15" x14ac:dyDescent="0.25">
      <c r="F79" s="9"/>
      <c r="G79" s="9"/>
      <c r="H79" s="9"/>
      <c r="I79" s="9"/>
      <c r="J79" s="9"/>
      <c r="K79" s="9"/>
      <c r="L79" s="9"/>
      <c r="O79" s="8"/>
    </row>
    <row r="80" spans="6:15" x14ac:dyDescent="0.25">
      <c r="F80" s="9"/>
      <c r="G80" s="9"/>
      <c r="H80" s="9"/>
      <c r="I80" s="9"/>
      <c r="J80" s="9"/>
      <c r="K80" s="9"/>
      <c r="L80" s="9"/>
      <c r="O80" s="8"/>
    </row>
    <row r="81" spans="6:15" x14ac:dyDescent="0.25">
      <c r="F81" s="9"/>
      <c r="G81" s="9"/>
      <c r="H81" s="9"/>
      <c r="I81" s="9"/>
      <c r="J81" s="9"/>
      <c r="K81" s="9"/>
      <c r="L81" s="9"/>
      <c r="O81" s="8"/>
    </row>
    <row r="82" spans="6:15" x14ac:dyDescent="0.25">
      <c r="F82" s="9"/>
      <c r="G82" s="9"/>
      <c r="H82" s="9"/>
      <c r="I82" s="9"/>
      <c r="J82" s="9"/>
      <c r="K82" s="9"/>
      <c r="L82" s="9"/>
      <c r="O82" s="8"/>
    </row>
    <row r="83" spans="6:15" x14ac:dyDescent="0.25">
      <c r="F83" s="9"/>
      <c r="G83" s="9"/>
      <c r="H83" s="9"/>
      <c r="I83" s="9"/>
      <c r="J83" s="9"/>
      <c r="K83" s="9"/>
      <c r="L83" s="9"/>
      <c r="O83" s="8"/>
    </row>
    <row r="84" spans="6:15" x14ac:dyDescent="0.25">
      <c r="F84" s="9"/>
      <c r="G84" s="9"/>
      <c r="H84" s="9"/>
      <c r="I84" s="9"/>
      <c r="J84" s="9"/>
      <c r="K84" s="9"/>
      <c r="L84" s="9"/>
      <c r="O84" s="8"/>
    </row>
    <row r="85" spans="6:15" x14ac:dyDescent="0.25">
      <c r="F85" s="9"/>
      <c r="G85" s="9"/>
      <c r="H85" s="9"/>
      <c r="I85" s="9"/>
      <c r="J85" s="9"/>
      <c r="K85" s="9"/>
      <c r="L85" s="9"/>
      <c r="O85" s="8"/>
    </row>
    <row r="86" spans="6:15" x14ac:dyDescent="0.25">
      <c r="F86" s="9"/>
      <c r="G86" s="9"/>
      <c r="H86" s="9"/>
      <c r="I86" s="9"/>
      <c r="J86" s="9"/>
      <c r="K86" s="9"/>
      <c r="L86" s="9"/>
      <c r="O86" s="8"/>
    </row>
    <row r="87" spans="6:15" x14ac:dyDescent="0.25">
      <c r="F87" s="9"/>
      <c r="G87" s="9"/>
      <c r="H87" s="9"/>
      <c r="I87" s="9"/>
      <c r="J87" s="9"/>
      <c r="K87" s="9"/>
      <c r="L87" s="9"/>
      <c r="O87" s="8"/>
    </row>
    <row r="88" spans="6:15" x14ac:dyDescent="0.25">
      <c r="F88" s="9"/>
      <c r="G88" s="9"/>
      <c r="H88" s="9"/>
      <c r="I88" s="9"/>
      <c r="J88" s="9"/>
      <c r="K88" s="9"/>
      <c r="L88" s="9"/>
      <c r="O88" s="8"/>
    </row>
    <row r="89" spans="6:15" x14ac:dyDescent="0.25">
      <c r="F89" s="9"/>
      <c r="G89" s="9"/>
      <c r="H89" s="9"/>
      <c r="I89" s="9"/>
      <c r="J89" s="9"/>
      <c r="K89" s="9"/>
      <c r="L89" s="9"/>
      <c r="O89" s="8"/>
    </row>
    <row r="90" spans="6:15" x14ac:dyDescent="0.25">
      <c r="F90" s="9"/>
      <c r="G90" s="9"/>
      <c r="H90" s="9"/>
      <c r="I90" s="9"/>
      <c r="J90" s="9"/>
      <c r="K90" s="9"/>
      <c r="L90" s="9"/>
      <c r="O90" s="8"/>
    </row>
    <row r="91" spans="6:15" x14ac:dyDescent="0.25">
      <c r="F91" s="9"/>
      <c r="G91" s="9"/>
      <c r="H91" s="9"/>
      <c r="I91" s="9"/>
      <c r="J91" s="9"/>
      <c r="K91" s="9"/>
      <c r="L91" s="9"/>
      <c r="O91" s="8"/>
    </row>
    <row r="92" spans="6:15" x14ac:dyDescent="0.25">
      <c r="F92" s="9"/>
      <c r="G92" s="9"/>
      <c r="H92" s="9"/>
      <c r="I92" s="9"/>
      <c r="J92" s="9"/>
      <c r="K92" s="9"/>
      <c r="L92" s="9"/>
      <c r="O92" s="8"/>
    </row>
    <row r="93" spans="6:15" x14ac:dyDescent="0.25">
      <c r="F93" s="9"/>
      <c r="G93" s="9"/>
      <c r="H93" s="9"/>
      <c r="I93" s="9"/>
      <c r="J93" s="9"/>
      <c r="K93" s="9"/>
      <c r="L93" s="9"/>
      <c r="O93" s="8"/>
    </row>
    <row r="94" spans="6:15" x14ac:dyDescent="0.25">
      <c r="F94" s="9"/>
      <c r="G94" s="9"/>
      <c r="H94" s="9"/>
      <c r="I94" s="9"/>
      <c r="J94" s="9"/>
      <c r="K94" s="9"/>
      <c r="L94" s="9"/>
      <c r="O94" s="8"/>
    </row>
    <row r="95" spans="6:15" x14ac:dyDescent="0.25">
      <c r="F95" s="9"/>
      <c r="G95" s="9"/>
      <c r="H95" s="9"/>
      <c r="I95" s="9"/>
      <c r="J95" s="9"/>
      <c r="K95" s="9"/>
      <c r="L95" s="9"/>
      <c r="O95" s="8"/>
    </row>
    <row r="96" spans="6:15" x14ac:dyDescent="0.25">
      <c r="F96" s="9"/>
      <c r="G96" s="9"/>
      <c r="H96" s="9"/>
      <c r="I96" s="9"/>
      <c r="J96" s="9"/>
      <c r="K96" s="9"/>
      <c r="L96" s="9"/>
      <c r="O96" s="8"/>
    </row>
    <row r="97" spans="6:19" x14ac:dyDescent="0.25">
      <c r="F97" s="9"/>
      <c r="G97" s="9"/>
      <c r="H97" s="9"/>
      <c r="I97" s="9"/>
      <c r="J97" s="9"/>
      <c r="K97" s="9"/>
      <c r="L97" s="9"/>
      <c r="O97" s="8"/>
    </row>
    <row r="98" spans="6:19" x14ac:dyDescent="0.25">
      <c r="F98" s="9"/>
      <c r="G98" s="9"/>
      <c r="H98" s="9"/>
      <c r="I98" s="9"/>
      <c r="J98" s="9"/>
      <c r="K98" s="9"/>
      <c r="L98" s="9"/>
      <c r="O98" s="8"/>
    </row>
    <row r="99" spans="6:19" x14ac:dyDescent="0.25">
      <c r="F99" s="9"/>
      <c r="G99" s="9"/>
      <c r="H99" s="9"/>
      <c r="I99" s="9"/>
      <c r="J99" s="9"/>
      <c r="K99" s="9"/>
      <c r="L99" s="9"/>
      <c r="O99" s="8"/>
    </row>
    <row r="100" spans="6:19" x14ac:dyDescent="0.25">
      <c r="F100" s="9"/>
      <c r="G100" s="9"/>
      <c r="H100" s="9"/>
      <c r="I100" s="9"/>
      <c r="J100" s="9"/>
      <c r="K100" s="9"/>
      <c r="L100" s="9"/>
      <c r="O100" s="8"/>
    </row>
    <row r="101" spans="6:19" x14ac:dyDescent="0.25">
      <c r="F101" s="9"/>
      <c r="G101" s="9"/>
      <c r="H101" s="9"/>
      <c r="I101" s="9"/>
      <c r="J101" s="9"/>
      <c r="K101" s="9"/>
      <c r="L101" s="9"/>
      <c r="O101" s="8"/>
    </row>
    <row r="102" spans="6:19" x14ac:dyDescent="0.25">
      <c r="F102" s="9"/>
      <c r="G102" s="9"/>
      <c r="H102" s="9"/>
      <c r="I102" s="9"/>
      <c r="J102" s="9"/>
      <c r="K102" s="9"/>
      <c r="L102" s="9"/>
      <c r="O102" s="8"/>
    </row>
    <row r="103" spans="6:19" x14ac:dyDescent="0.25">
      <c r="F103" s="9"/>
      <c r="G103" s="9"/>
      <c r="H103" s="9"/>
      <c r="I103" s="9"/>
      <c r="J103" s="9"/>
      <c r="K103" s="9"/>
      <c r="L103" s="9"/>
      <c r="O103" s="8"/>
    </row>
    <row r="104" spans="6:19" x14ac:dyDescent="0.25">
      <c r="F104" s="9"/>
      <c r="G104" s="9"/>
      <c r="H104" s="9"/>
      <c r="I104" s="9"/>
      <c r="J104" s="9"/>
      <c r="K104" s="9"/>
      <c r="L104" s="9"/>
      <c r="O104" s="8"/>
    </row>
    <row r="105" spans="6:19" x14ac:dyDescent="0.25">
      <c r="F105" s="9"/>
      <c r="G105" s="9" t="str">
        <f t="shared" ref="G105:G115" si="5">IF(Investment_Amount&lt;100000,"",IF(ISBLANK(D103),"",IF(D103=0,-Investment_Amount+Discount,IF(D103=Years*12,Investment_Amount-Discount,""))))</f>
        <v/>
      </c>
      <c r="H105" s="9" t="str">
        <f t="shared" ref="H105:H115" si="6">IF(Investment_Amount&lt;100000,"",IF(ISBLANK(D103),"",IF(D103=0,Discount,"")))</f>
        <v/>
      </c>
      <c r="I105" s="9" t="str">
        <f t="shared" ref="I105:I136" si="7">IF(Investment_Amount&lt;100000,"",IF(ISBLANK(D103),"",IF(D103&lt;=Years*12,((Investment_Amount-Discount)*Rate/12)*D103,"")))</f>
        <v/>
      </c>
      <c r="J105" s="9" t="str">
        <f t="shared" ref="J105:J136" si="8">IF(Investment_Amount&lt;100000,"",IF(ISBLANK(D103),"",IF(AND(D103&lt;Years*12,D103&gt;0),I105-I104,IF(D103=0,Discount,IF(D103=Years*12,(Investment_Amount-Discount)+I105-I104,"")))))</f>
        <v/>
      </c>
      <c r="K105" s="9" t="str">
        <f>IF(Investment_Amount&lt;100000,"",IF(ISBLANK(D103),"",IF(D103&lt;=Years*12,SUM(J$52:J105),"")))</f>
        <v/>
      </c>
      <c r="L105" s="9"/>
      <c r="O105" s="8"/>
    </row>
    <row r="106" spans="6:19" x14ac:dyDescent="0.25">
      <c r="F106" s="9"/>
      <c r="G106" s="9" t="str">
        <f t="shared" si="5"/>
        <v/>
      </c>
      <c r="H106" s="9" t="str">
        <f t="shared" si="6"/>
        <v/>
      </c>
      <c r="I106" s="9" t="str">
        <f t="shared" si="7"/>
        <v/>
      </c>
      <c r="J106" s="9" t="str">
        <f t="shared" si="8"/>
        <v/>
      </c>
      <c r="K106" s="9" t="str">
        <f>IF(Investment_Amount&lt;100000,"",IF(ISBLANK(D104),"",IF(D104&lt;=Years*12,SUM(J$52:J106),"")))</f>
        <v/>
      </c>
      <c r="L106" s="9"/>
      <c r="O106" s="8" t="str">
        <f t="shared" ref="O106:O137" si="9">IF(Investment_Amount&lt;100000,"",IF(ISBLANK(M105),"",IF(M105=0,-Investment_Amount+Discount,IF(M105=Years*12,Investment_Amount-Discount,""))))</f>
        <v/>
      </c>
      <c r="P106" s="2" t="str">
        <f t="shared" ref="P106:P137" si="10">IF(Investment_Amount&lt;100000,"",IF(ISBLANK(M105),"",IF(M105=0,Discount,"")))</f>
        <v/>
      </c>
      <c r="Q106" s="2" t="str">
        <f t="shared" ref="Q106:Q137" si="11">IF(Investment_Amount&lt;100000,"",IF(ISBLANK(M105),"",IF(M105&lt;=Years*12,((Investment_Amount-Discount)*(1+Rate/12)^M105)-(Investment_Amount-Discount),"")))</f>
        <v/>
      </c>
      <c r="R106" s="2" t="str">
        <f t="shared" ref="R106:R137" si="12">IF(Investment_Amount&lt;100000,"",IF(ISBLANK(M105),"",IF(AND(M105&lt;Years*12,M105&gt;0),Q106-Q105,IF(M105=0,Discount,IF(M105=Years*12,(Investment_Amount-Discount)+Q106-Q105,"")))))</f>
        <v/>
      </c>
      <c r="S106" s="2" t="str">
        <f>IF(Investment_Amount&lt;100000,"",IF(ISBLANK(M105),"",IF(M105&lt;=Years*12,SUM(R$53:R106),"")))</f>
        <v/>
      </c>
    </row>
    <row r="107" spans="6:19" x14ac:dyDescent="0.25">
      <c r="F107" s="9"/>
      <c r="G107" s="9" t="str">
        <f t="shared" si="5"/>
        <v/>
      </c>
      <c r="H107" s="9" t="str">
        <f t="shared" si="6"/>
        <v/>
      </c>
      <c r="I107" s="9" t="str">
        <f t="shared" si="7"/>
        <v/>
      </c>
      <c r="J107" s="9" t="str">
        <f t="shared" si="8"/>
        <v/>
      </c>
      <c r="K107" s="9" t="str">
        <f>IF(Investment_Amount&lt;100000,"",IF(ISBLANK(D105),"",IF(D105&lt;=Years*12,SUM(J$52:J107),"")))</f>
        <v/>
      </c>
      <c r="L107" s="9"/>
      <c r="O107" s="8" t="str">
        <f t="shared" si="9"/>
        <v/>
      </c>
      <c r="P107" s="2" t="str">
        <f t="shared" si="10"/>
        <v/>
      </c>
      <c r="Q107" s="2" t="str">
        <f t="shared" si="11"/>
        <v/>
      </c>
      <c r="R107" s="2" t="str">
        <f t="shared" si="12"/>
        <v/>
      </c>
      <c r="S107" s="2" t="str">
        <f>IF(Investment_Amount&lt;100000,"",IF(ISBLANK(M106),"",IF(M106&lt;=Years*12,SUM(R$53:R107),"")))</f>
        <v/>
      </c>
    </row>
    <row r="108" spans="6:19" x14ac:dyDescent="0.25">
      <c r="F108" s="9"/>
      <c r="G108" s="9" t="str">
        <f t="shared" si="5"/>
        <v/>
      </c>
      <c r="H108" s="9" t="str">
        <f t="shared" si="6"/>
        <v/>
      </c>
      <c r="I108" s="9" t="str">
        <f t="shared" si="7"/>
        <v/>
      </c>
      <c r="J108" s="9" t="str">
        <f t="shared" si="8"/>
        <v/>
      </c>
      <c r="K108" s="9" t="str">
        <f>IF(Investment_Amount&lt;100000,"",IF(ISBLANK(D106),"",IF(D106&lt;=Years*12,SUM(J$52:J108),"")))</f>
        <v/>
      </c>
      <c r="L108" s="9"/>
      <c r="O108" s="8" t="str">
        <f t="shared" si="9"/>
        <v/>
      </c>
      <c r="P108" s="2" t="str">
        <f t="shared" si="10"/>
        <v/>
      </c>
      <c r="Q108" s="2" t="str">
        <f t="shared" si="11"/>
        <v/>
      </c>
      <c r="R108" s="2" t="str">
        <f t="shared" si="12"/>
        <v/>
      </c>
      <c r="S108" s="2" t="str">
        <f>IF(Investment_Amount&lt;100000,"",IF(ISBLANK(M107),"",IF(M107&lt;=Years*12,SUM(R$53:R108),"")))</f>
        <v/>
      </c>
    </row>
    <row r="109" spans="6:19" x14ac:dyDescent="0.25">
      <c r="F109" s="9"/>
      <c r="G109" s="9" t="str">
        <f t="shared" si="5"/>
        <v/>
      </c>
      <c r="H109" s="9" t="str">
        <f t="shared" si="6"/>
        <v/>
      </c>
      <c r="I109" s="9" t="str">
        <f t="shared" si="7"/>
        <v/>
      </c>
      <c r="J109" s="9" t="str">
        <f t="shared" si="8"/>
        <v/>
      </c>
      <c r="K109" s="9" t="str">
        <f>IF(Investment_Amount&lt;100000,"",IF(ISBLANK(D107),"",IF(D107&lt;=Years*12,SUM(J$52:J109),"")))</f>
        <v/>
      </c>
      <c r="L109" s="9"/>
      <c r="O109" s="8" t="str">
        <f t="shared" si="9"/>
        <v/>
      </c>
      <c r="P109" s="2" t="str">
        <f t="shared" si="10"/>
        <v/>
      </c>
      <c r="Q109" s="2" t="str">
        <f t="shared" si="11"/>
        <v/>
      </c>
      <c r="R109" s="2" t="str">
        <f t="shared" si="12"/>
        <v/>
      </c>
      <c r="S109" s="2" t="str">
        <f>IF(Investment_Amount&lt;100000,"",IF(ISBLANK(M108),"",IF(M108&lt;=Years*12,SUM(R$53:R109),"")))</f>
        <v/>
      </c>
    </row>
    <row r="110" spans="6:19" x14ac:dyDescent="0.25">
      <c r="F110" s="9"/>
      <c r="G110" s="9" t="str">
        <f t="shared" si="5"/>
        <v/>
      </c>
      <c r="H110" s="9" t="str">
        <f t="shared" si="6"/>
        <v/>
      </c>
      <c r="I110" s="9" t="str">
        <f t="shared" si="7"/>
        <v/>
      </c>
      <c r="J110" s="9" t="str">
        <f t="shared" si="8"/>
        <v/>
      </c>
      <c r="K110" s="9" t="str">
        <f>IF(Investment_Amount&lt;100000,"",IF(ISBLANK(D108),"",IF(D108&lt;=Years*12,SUM(J$52:J110),"")))</f>
        <v/>
      </c>
      <c r="L110" s="9"/>
      <c r="O110" s="8" t="str">
        <f t="shared" si="9"/>
        <v/>
      </c>
      <c r="P110" s="2" t="str">
        <f t="shared" si="10"/>
        <v/>
      </c>
      <c r="Q110" s="2" t="str">
        <f t="shared" si="11"/>
        <v/>
      </c>
      <c r="R110" s="2" t="str">
        <f t="shared" si="12"/>
        <v/>
      </c>
      <c r="S110" s="2" t="str">
        <f>IF(Investment_Amount&lt;100000,"",IF(ISBLANK(M109),"",IF(M109&lt;=Years*12,SUM(R$53:R110),"")))</f>
        <v/>
      </c>
    </row>
    <row r="111" spans="6:19" x14ac:dyDescent="0.25">
      <c r="F111" s="9"/>
      <c r="G111" s="9" t="str">
        <f t="shared" si="5"/>
        <v/>
      </c>
      <c r="H111" s="9" t="str">
        <f t="shared" si="6"/>
        <v/>
      </c>
      <c r="I111" s="9" t="str">
        <f t="shared" si="7"/>
        <v/>
      </c>
      <c r="J111" s="9" t="str">
        <f t="shared" si="8"/>
        <v/>
      </c>
      <c r="K111" s="9" t="str">
        <f>IF(Investment_Amount&lt;100000,"",IF(ISBLANK(D109),"",IF(D109&lt;=Years*12,SUM(J$52:J111),"")))</f>
        <v/>
      </c>
      <c r="L111" s="9"/>
      <c r="O111" s="8" t="str">
        <f t="shared" si="9"/>
        <v/>
      </c>
      <c r="P111" s="2" t="str">
        <f t="shared" si="10"/>
        <v/>
      </c>
      <c r="Q111" s="2" t="str">
        <f t="shared" si="11"/>
        <v/>
      </c>
      <c r="R111" s="2" t="str">
        <f t="shared" si="12"/>
        <v/>
      </c>
      <c r="S111" s="2" t="str">
        <f>IF(Investment_Amount&lt;100000,"",IF(ISBLANK(M110),"",IF(M110&lt;=Years*12,SUM(R$53:R111),"")))</f>
        <v/>
      </c>
    </row>
    <row r="112" spans="6:19" x14ac:dyDescent="0.25">
      <c r="F112" s="9"/>
      <c r="G112" s="9" t="str">
        <f t="shared" si="5"/>
        <v/>
      </c>
      <c r="H112" s="9" t="str">
        <f t="shared" si="6"/>
        <v/>
      </c>
      <c r="I112" s="9" t="str">
        <f t="shared" si="7"/>
        <v/>
      </c>
      <c r="J112" s="9" t="str">
        <f t="shared" si="8"/>
        <v/>
      </c>
      <c r="K112" s="9" t="str">
        <f>IF(Investment_Amount&lt;100000,"",IF(ISBLANK(D110),"",IF(D110&lt;=Years*12,SUM(J$52:J112),"")))</f>
        <v/>
      </c>
      <c r="L112" s="9"/>
      <c r="O112" s="8" t="str">
        <f t="shared" si="9"/>
        <v/>
      </c>
      <c r="P112" s="2" t="str">
        <f t="shared" si="10"/>
        <v/>
      </c>
      <c r="Q112" s="2" t="str">
        <f t="shared" si="11"/>
        <v/>
      </c>
      <c r="R112" s="2" t="str">
        <f t="shared" si="12"/>
        <v/>
      </c>
      <c r="S112" s="2" t="str">
        <f>IF(Investment_Amount&lt;100000,"",IF(ISBLANK(M111),"",IF(M111&lt;=Years*12,SUM(R$53:R112),"")))</f>
        <v/>
      </c>
    </row>
    <row r="113" spans="6:19" x14ac:dyDescent="0.25">
      <c r="F113" s="9"/>
      <c r="G113" s="9" t="str">
        <f t="shared" si="5"/>
        <v/>
      </c>
      <c r="H113" s="9" t="str">
        <f t="shared" si="6"/>
        <v/>
      </c>
      <c r="I113" s="9" t="str">
        <f t="shared" si="7"/>
        <v/>
      </c>
      <c r="J113" s="9" t="str">
        <f t="shared" si="8"/>
        <v/>
      </c>
      <c r="K113" s="9" t="str">
        <f>IF(Investment_Amount&lt;100000,"",IF(ISBLANK(D111),"",IF(D111&lt;=Years*12,SUM(J$52:J113),"")))</f>
        <v/>
      </c>
      <c r="L113" s="9"/>
      <c r="O113" s="8" t="str">
        <f t="shared" si="9"/>
        <v/>
      </c>
      <c r="P113" s="2" t="str">
        <f t="shared" si="10"/>
        <v/>
      </c>
      <c r="Q113" s="2" t="str">
        <f t="shared" si="11"/>
        <v/>
      </c>
      <c r="R113" s="2" t="str">
        <f t="shared" si="12"/>
        <v/>
      </c>
      <c r="S113" s="2" t="str">
        <f>IF(Investment_Amount&lt;100000,"",IF(ISBLANK(M112),"",IF(M112&lt;=Years*12,SUM(R$53:R113),"")))</f>
        <v/>
      </c>
    </row>
    <row r="114" spans="6:19" x14ac:dyDescent="0.25">
      <c r="F114" s="9"/>
      <c r="G114" s="9" t="str">
        <f t="shared" si="5"/>
        <v/>
      </c>
      <c r="H114" s="9" t="str">
        <f t="shared" si="6"/>
        <v/>
      </c>
      <c r="I114" s="9" t="str">
        <f t="shared" si="7"/>
        <v/>
      </c>
      <c r="J114" s="9" t="str">
        <f t="shared" si="8"/>
        <v/>
      </c>
      <c r="K114" s="9" t="str">
        <f>IF(Investment_Amount&lt;100000,"",IF(ISBLANK(D112),"",IF(D112&lt;=Years*12,SUM(J$52:J114),"")))</f>
        <v/>
      </c>
      <c r="L114" s="9"/>
      <c r="O114" s="8" t="str">
        <f t="shared" si="9"/>
        <v/>
      </c>
      <c r="P114" s="2" t="str">
        <f t="shared" si="10"/>
        <v/>
      </c>
      <c r="Q114" s="2" t="str">
        <f t="shared" si="11"/>
        <v/>
      </c>
      <c r="R114" s="2" t="str">
        <f t="shared" si="12"/>
        <v/>
      </c>
      <c r="S114" s="2" t="str">
        <f>IF(Investment_Amount&lt;100000,"",IF(ISBLANK(M113),"",IF(M113&lt;=Years*12,SUM(R$53:R114),"")))</f>
        <v/>
      </c>
    </row>
    <row r="115" spans="6:19" x14ac:dyDescent="0.25">
      <c r="F115" s="9"/>
      <c r="G115" s="9" t="str">
        <f t="shared" si="5"/>
        <v/>
      </c>
      <c r="H115" s="9" t="str">
        <f t="shared" si="6"/>
        <v/>
      </c>
      <c r="I115" s="9" t="str">
        <f t="shared" si="7"/>
        <v/>
      </c>
      <c r="J115" s="9" t="str">
        <f t="shared" si="8"/>
        <v/>
      </c>
      <c r="K115" s="9" t="str">
        <f>IF(Investment_Amount&lt;100000,"",IF(ISBLANK(D113),"",IF(D113&lt;=Years*12,SUM(J$52:J115),"")))</f>
        <v/>
      </c>
      <c r="L115" s="9"/>
      <c r="O115" s="8" t="str">
        <f t="shared" si="9"/>
        <v/>
      </c>
      <c r="P115" s="2" t="str">
        <f t="shared" si="10"/>
        <v/>
      </c>
      <c r="Q115" s="2" t="str">
        <f t="shared" si="11"/>
        <v/>
      </c>
      <c r="R115" s="2" t="str">
        <f t="shared" si="12"/>
        <v/>
      </c>
      <c r="S115" s="2" t="str">
        <f>IF(Investment_Amount&lt;100000,"",IF(ISBLANK(M114),"",IF(M114&lt;=Years*12,SUM(R$53:R115),"")))</f>
        <v/>
      </c>
    </row>
    <row r="116" spans="6:19" x14ac:dyDescent="0.25">
      <c r="F116" s="9"/>
      <c r="G116" s="9" t="str">
        <f t="shared" ref="G116:G136" si="13">IF(Investment_Amount&lt;100000,"",IF(ISBLANK(D114),"",IF(D114=0,-Investment_Amount+Discount,IF(D114=Years*12,Investment_Amount-Discount,""))))</f>
        <v/>
      </c>
      <c r="H116" s="9" t="str">
        <f t="shared" ref="H116:H136" si="14">IF(Investment_Amount&lt;100000,"",IF(ISBLANK(D114),"",IF(D114=0,Discount,"")))</f>
        <v/>
      </c>
      <c r="I116" s="9" t="str">
        <f t="shared" si="7"/>
        <v/>
      </c>
      <c r="J116" s="9" t="str">
        <f t="shared" si="8"/>
        <v/>
      </c>
      <c r="K116" s="9" t="str">
        <f>IF(Investment_Amount&lt;100000,"",IF(ISBLANK(D114),"",IF(D114&lt;=Years*12,SUM(J$52:J116),"")))</f>
        <v/>
      </c>
      <c r="L116" s="9"/>
      <c r="O116" s="8" t="str">
        <f t="shared" si="9"/>
        <v/>
      </c>
      <c r="P116" s="2" t="str">
        <f t="shared" si="10"/>
        <v/>
      </c>
      <c r="Q116" s="2" t="str">
        <f t="shared" si="11"/>
        <v/>
      </c>
      <c r="R116" s="2" t="str">
        <f t="shared" si="12"/>
        <v/>
      </c>
      <c r="S116" s="2" t="str">
        <f>IF(Investment_Amount&lt;100000,"",IF(ISBLANK(M115),"",IF(M115&lt;=Years*12,SUM(R$53:R116),"")))</f>
        <v/>
      </c>
    </row>
    <row r="117" spans="6:19" x14ac:dyDescent="0.25">
      <c r="F117" s="9"/>
      <c r="G117" s="9" t="str">
        <f t="shared" si="13"/>
        <v/>
      </c>
      <c r="H117" s="9" t="str">
        <f t="shared" si="14"/>
        <v/>
      </c>
      <c r="I117" s="9" t="str">
        <f t="shared" si="7"/>
        <v/>
      </c>
      <c r="J117" s="9" t="str">
        <f t="shared" si="8"/>
        <v/>
      </c>
      <c r="K117" s="9" t="str">
        <f>IF(Investment_Amount&lt;100000,"",IF(ISBLANK(D115),"",IF(D115&lt;=Years*12,SUM(J$52:J117),"")))</f>
        <v/>
      </c>
      <c r="L117" s="9"/>
      <c r="O117" s="8" t="str">
        <f t="shared" si="9"/>
        <v/>
      </c>
      <c r="P117" s="2" t="str">
        <f t="shared" si="10"/>
        <v/>
      </c>
      <c r="Q117" s="2" t="str">
        <f t="shared" si="11"/>
        <v/>
      </c>
      <c r="R117" s="2" t="str">
        <f t="shared" si="12"/>
        <v/>
      </c>
      <c r="S117" s="2" t="str">
        <f>IF(Investment_Amount&lt;100000,"",IF(ISBLANK(M116),"",IF(M116&lt;=Years*12,SUM(R$53:R117),"")))</f>
        <v/>
      </c>
    </row>
    <row r="118" spans="6:19" x14ac:dyDescent="0.25">
      <c r="F118" s="9"/>
      <c r="G118" s="9" t="str">
        <f t="shared" si="13"/>
        <v/>
      </c>
      <c r="H118" s="9" t="str">
        <f t="shared" si="14"/>
        <v/>
      </c>
      <c r="I118" s="9" t="str">
        <f t="shared" si="7"/>
        <v/>
      </c>
      <c r="J118" s="9" t="str">
        <f t="shared" si="8"/>
        <v/>
      </c>
      <c r="K118" s="9" t="str">
        <f>IF(Investment_Amount&lt;100000,"",IF(ISBLANK(D116),"",IF(D116&lt;=Years*12,SUM(J$52:J118),"")))</f>
        <v/>
      </c>
      <c r="L118" s="9"/>
      <c r="O118" s="8" t="str">
        <f t="shared" si="9"/>
        <v/>
      </c>
      <c r="P118" s="2" t="str">
        <f t="shared" si="10"/>
        <v/>
      </c>
      <c r="Q118" s="2" t="str">
        <f t="shared" si="11"/>
        <v/>
      </c>
      <c r="R118" s="2" t="str">
        <f t="shared" si="12"/>
        <v/>
      </c>
      <c r="S118" s="2" t="str">
        <f>IF(Investment_Amount&lt;100000,"",IF(ISBLANK(M117),"",IF(M117&lt;=Years*12,SUM(R$53:R118),"")))</f>
        <v/>
      </c>
    </row>
    <row r="119" spans="6:19" x14ac:dyDescent="0.25">
      <c r="F119" s="9"/>
      <c r="G119" s="9" t="str">
        <f t="shared" si="13"/>
        <v/>
      </c>
      <c r="H119" s="9" t="str">
        <f t="shared" si="14"/>
        <v/>
      </c>
      <c r="I119" s="9" t="str">
        <f t="shared" si="7"/>
        <v/>
      </c>
      <c r="J119" s="9" t="str">
        <f t="shared" si="8"/>
        <v/>
      </c>
      <c r="K119" s="9" t="str">
        <f>IF(Investment_Amount&lt;100000,"",IF(ISBLANK(D117),"",IF(D117&lt;=Years*12,SUM(J$52:J119),"")))</f>
        <v/>
      </c>
      <c r="L119" s="9"/>
      <c r="O119" s="8" t="str">
        <f t="shared" si="9"/>
        <v/>
      </c>
      <c r="P119" s="2" t="str">
        <f t="shared" si="10"/>
        <v/>
      </c>
      <c r="Q119" s="2" t="str">
        <f t="shared" si="11"/>
        <v/>
      </c>
      <c r="R119" s="2" t="str">
        <f t="shared" si="12"/>
        <v/>
      </c>
      <c r="S119" s="2" t="str">
        <f>IF(Investment_Amount&lt;100000,"",IF(ISBLANK(M118),"",IF(M118&lt;=Years*12,SUM(R$53:R119),"")))</f>
        <v/>
      </c>
    </row>
    <row r="120" spans="6:19" x14ac:dyDescent="0.25">
      <c r="F120" s="9"/>
      <c r="G120" s="9" t="str">
        <f t="shared" si="13"/>
        <v/>
      </c>
      <c r="H120" s="9" t="str">
        <f t="shared" si="14"/>
        <v/>
      </c>
      <c r="I120" s="9" t="str">
        <f t="shared" si="7"/>
        <v/>
      </c>
      <c r="J120" s="9" t="str">
        <f t="shared" si="8"/>
        <v/>
      </c>
      <c r="K120" s="9" t="str">
        <f>IF(Investment_Amount&lt;100000,"",IF(ISBLANK(D118),"",IF(D118&lt;=Years*12,SUM(J$52:J120),"")))</f>
        <v/>
      </c>
      <c r="L120" s="9"/>
      <c r="O120" s="8" t="str">
        <f t="shared" si="9"/>
        <v/>
      </c>
      <c r="P120" s="2" t="str">
        <f t="shared" si="10"/>
        <v/>
      </c>
      <c r="Q120" s="2" t="str">
        <f t="shared" si="11"/>
        <v/>
      </c>
      <c r="R120" s="2" t="str">
        <f t="shared" si="12"/>
        <v/>
      </c>
      <c r="S120" s="2" t="str">
        <f>IF(Investment_Amount&lt;100000,"",IF(ISBLANK(M119),"",IF(M119&lt;=Years*12,SUM(R$53:R120),"")))</f>
        <v/>
      </c>
    </row>
    <row r="121" spans="6:19" x14ac:dyDescent="0.25">
      <c r="F121" s="9"/>
      <c r="G121" s="9" t="str">
        <f t="shared" si="13"/>
        <v/>
      </c>
      <c r="H121" s="9" t="str">
        <f t="shared" si="14"/>
        <v/>
      </c>
      <c r="I121" s="9" t="str">
        <f t="shared" si="7"/>
        <v/>
      </c>
      <c r="J121" s="9" t="str">
        <f t="shared" si="8"/>
        <v/>
      </c>
      <c r="K121" s="9" t="str">
        <f>IF(Investment_Amount&lt;100000,"",IF(ISBLANK(D119),"",IF(D119&lt;=Years*12,SUM(J$52:J121),"")))</f>
        <v/>
      </c>
      <c r="L121" s="9"/>
      <c r="O121" s="8" t="str">
        <f t="shared" si="9"/>
        <v/>
      </c>
      <c r="P121" s="2" t="str">
        <f t="shared" si="10"/>
        <v/>
      </c>
      <c r="Q121" s="2" t="str">
        <f t="shared" si="11"/>
        <v/>
      </c>
      <c r="R121" s="2" t="str">
        <f t="shared" si="12"/>
        <v/>
      </c>
      <c r="S121" s="2" t="str">
        <f>IF(Investment_Amount&lt;100000,"",IF(ISBLANK(M120),"",IF(M120&lt;=Years*12,SUM(R$53:R121),"")))</f>
        <v/>
      </c>
    </row>
    <row r="122" spans="6:19" x14ac:dyDescent="0.25">
      <c r="F122" s="9"/>
      <c r="G122" s="9" t="str">
        <f t="shared" si="13"/>
        <v/>
      </c>
      <c r="H122" s="9" t="str">
        <f t="shared" si="14"/>
        <v/>
      </c>
      <c r="I122" s="9" t="str">
        <f t="shared" si="7"/>
        <v/>
      </c>
      <c r="J122" s="9" t="str">
        <f t="shared" si="8"/>
        <v/>
      </c>
      <c r="K122" s="9" t="str">
        <f>IF(Investment_Amount&lt;100000,"",IF(ISBLANK(D120),"",IF(D120&lt;=Years*12,SUM(J$52:J122),"")))</f>
        <v/>
      </c>
      <c r="L122" s="9"/>
      <c r="O122" s="8" t="str">
        <f t="shared" si="9"/>
        <v/>
      </c>
      <c r="P122" s="2" t="str">
        <f t="shared" si="10"/>
        <v/>
      </c>
      <c r="Q122" s="2" t="str">
        <f t="shared" si="11"/>
        <v/>
      </c>
      <c r="R122" s="2" t="str">
        <f t="shared" si="12"/>
        <v/>
      </c>
      <c r="S122" s="2" t="str">
        <f>IF(Investment_Amount&lt;100000,"",IF(ISBLANK(M121),"",IF(M121&lt;=Years*12,SUM(R$53:R122),"")))</f>
        <v/>
      </c>
    </row>
    <row r="123" spans="6:19" x14ac:dyDescent="0.25">
      <c r="F123" s="9"/>
      <c r="G123" s="9" t="str">
        <f t="shared" si="13"/>
        <v/>
      </c>
      <c r="H123" s="9" t="str">
        <f t="shared" si="14"/>
        <v/>
      </c>
      <c r="I123" s="9" t="str">
        <f t="shared" si="7"/>
        <v/>
      </c>
      <c r="J123" s="9" t="str">
        <f t="shared" si="8"/>
        <v/>
      </c>
      <c r="K123" s="9" t="str">
        <f>IF(Investment_Amount&lt;100000,"",IF(ISBLANK(D121),"",IF(D121&lt;=Years*12,SUM(J$52:J123),"")))</f>
        <v/>
      </c>
      <c r="L123" s="9"/>
      <c r="O123" s="8" t="str">
        <f t="shared" si="9"/>
        <v/>
      </c>
      <c r="P123" s="2" t="str">
        <f t="shared" si="10"/>
        <v/>
      </c>
      <c r="Q123" s="2" t="str">
        <f t="shared" si="11"/>
        <v/>
      </c>
      <c r="R123" s="2" t="str">
        <f t="shared" si="12"/>
        <v/>
      </c>
      <c r="S123" s="2" t="str">
        <f>IF(Investment_Amount&lt;100000,"",IF(ISBLANK(M122),"",IF(M122&lt;=Years*12,SUM(R$53:R123),"")))</f>
        <v/>
      </c>
    </row>
    <row r="124" spans="6:19" x14ac:dyDescent="0.25">
      <c r="F124" s="9"/>
      <c r="G124" s="9" t="str">
        <f t="shared" si="13"/>
        <v/>
      </c>
      <c r="H124" s="9" t="str">
        <f t="shared" si="14"/>
        <v/>
      </c>
      <c r="I124" s="9" t="str">
        <f t="shared" si="7"/>
        <v/>
      </c>
      <c r="J124" s="9" t="str">
        <f t="shared" si="8"/>
        <v/>
      </c>
      <c r="K124" s="9" t="str">
        <f>IF(Investment_Amount&lt;100000,"",IF(ISBLANK(D122),"",IF(D122&lt;=Years*12,SUM(J$52:J124),"")))</f>
        <v/>
      </c>
      <c r="L124" s="9"/>
      <c r="O124" s="8" t="str">
        <f t="shared" si="9"/>
        <v/>
      </c>
      <c r="P124" s="2" t="str">
        <f t="shared" si="10"/>
        <v/>
      </c>
      <c r="Q124" s="2" t="str">
        <f t="shared" si="11"/>
        <v/>
      </c>
      <c r="R124" s="2" t="str">
        <f t="shared" si="12"/>
        <v/>
      </c>
      <c r="S124" s="2" t="str">
        <f>IF(Investment_Amount&lt;100000,"",IF(ISBLANK(M123),"",IF(M123&lt;=Years*12,SUM(R$53:R124),"")))</f>
        <v/>
      </c>
    </row>
    <row r="125" spans="6:19" x14ac:dyDescent="0.25">
      <c r="F125" s="9"/>
      <c r="G125" s="9" t="str">
        <f t="shared" si="13"/>
        <v/>
      </c>
      <c r="H125" s="9" t="str">
        <f t="shared" si="14"/>
        <v/>
      </c>
      <c r="I125" s="9" t="str">
        <f t="shared" si="7"/>
        <v/>
      </c>
      <c r="J125" s="9" t="str">
        <f t="shared" si="8"/>
        <v/>
      </c>
      <c r="K125" s="9" t="str">
        <f>IF(Investment_Amount&lt;100000,"",IF(ISBLANK(D123),"",IF(D123&lt;=Years*12,SUM(J$52:J125),"")))</f>
        <v/>
      </c>
      <c r="L125" s="9"/>
      <c r="O125" s="8" t="str">
        <f t="shared" si="9"/>
        <v/>
      </c>
      <c r="P125" s="2" t="str">
        <f t="shared" si="10"/>
        <v/>
      </c>
      <c r="Q125" s="2" t="str">
        <f t="shared" si="11"/>
        <v/>
      </c>
      <c r="R125" s="2" t="str">
        <f t="shared" si="12"/>
        <v/>
      </c>
      <c r="S125" s="2" t="str">
        <f>IF(Investment_Amount&lt;100000,"",IF(ISBLANK(M124),"",IF(M124&lt;=Years*12,SUM(R$53:R125),"")))</f>
        <v/>
      </c>
    </row>
    <row r="126" spans="6:19" x14ac:dyDescent="0.25">
      <c r="F126" s="9"/>
      <c r="G126" s="9" t="str">
        <f t="shared" si="13"/>
        <v/>
      </c>
      <c r="H126" s="9" t="str">
        <f t="shared" si="14"/>
        <v/>
      </c>
      <c r="I126" s="9" t="str">
        <f t="shared" si="7"/>
        <v/>
      </c>
      <c r="J126" s="9" t="str">
        <f t="shared" si="8"/>
        <v/>
      </c>
      <c r="K126" s="9" t="str">
        <f>IF(Investment_Amount&lt;100000,"",IF(ISBLANK(D124),"",IF(D124&lt;=Years*12,SUM(J$52:J126),"")))</f>
        <v/>
      </c>
      <c r="L126" s="9"/>
      <c r="O126" s="8" t="str">
        <f t="shared" si="9"/>
        <v/>
      </c>
      <c r="P126" s="2" t="str">
        <f t="shared" si="10"/>
        <v/>
      </c>
      <c r="Q126" s="2" t="str">
        <f t="shared" si="11"/>
        <v/>
      </c>
      <c r="R126" s="2" t="str">
        <f t="shared" si="12"/>
        <v/>
      </c>
      <c r="S126" s="2" t="str">
        <f>IF(Investment_Amount&lt;100000,"",IF(ISBLANK(M125),"",IF(M125&lt;=Years*12,SUM(R$53:R126),"")))</f>
        <v/>
      </c>
    </row>
    <row r="127" spans="6:19" x14ac:dyDescent="0.25">
      <c r="F127" s="9"/>
      <c r="G127" s="9" t="str">
        <f t="shared" si="13"/>
        <v/>
      </c>
      <c r="H127" s="9" t="str">
        <f t="shared" si="14"/>
        <v/>
      </c>
      <c r="I127" s="9" t="str">
        <f t="shared" si="7"/>
        <v/>
      </c>
      <c r="J127" s="9" t="str">
        <f t="shared" si="8"/>
        <v/>
      </c>
      <c r="K127" s="9" t="str">
        <f>IF(Investment_Amount&lt;100000,"",IF(ISBLANK(D125),"",IF(D125&lt;=Years*12,SUM(J$52:J127),"")))</f>
        <v/>
      </c>
      <c r="L127" s="9"/>
      <c r="O127" s="8" t="str">
        <f t="shared" si="9"/>
        <v/>
      </c>
      <c r="P127" s="2" t="str">
        <f t="shared" si="10"/>
        <v/>
      </c>
      <c r="Q127" s="2" t="str">
        <f t="shared" si="11"/>
        <v/>
      </c>
      <c r="R127" s="2" t="str">
        <f t="shared" si="12"/>
        <v/>
      </c>
      <c r="S127" s="2" t="str">
        <f>IF(Investment_Amount&lt;100000,"",IF(ISBLANK(M126),"",IF(M126&lt;=Years*12,SUM(R$53:R127),"")))</f>
        <v/>
      </c>
    </row>
    <row r="128" spans="6:19" x14ac:dyDescent="0.25">
      <c r="F128" s="9"/>
      <c r="G128" s="9" t="str">
        <f t="shared" si="13"/>
        <v/>
      </c>
      <c r="H128" s="9" t="str">
        <f t="shared" si="14"/>
        <v/>
      </c>
      <c r="I128" s="9" t="str">
        <f t="shared" si="7"/>
        <v/>
      </c>
      <c r="J128" s="9" t="str">
        <f t="shared" si="8"/>
        <v/>
      </c>
      <c r="K128" s="9" t="str">
        <f>IF(Investment_Amount&lt;100000,"",IF(ISBLANK(D126),"",IF(D126&lt;=Years*12,SUM(J$52:J128),"")))</f>
        <v/>
      </c>
      <c r="L128" s="9"/>
      <c r="O128" s="8" t="str">
        <f t="shared" si="9"/>
        <v/>
      </c>
      <c r="P128" s="2" t="str">
        <f t="shared" si="10"/>
        <v/>
      </c>
      <c r="Q128" s="2" t="str">
        <f t="shared" si="11"/>
        <v/>
      </c>
      <c r="R128" s="2" t="str">
        <f t="shared" si="12"/>
        <v/>
      </c>
      <c r="S128" s="2" t="str">
        <f>IF(Investment_Amount&lt;100000,"",IF(ISBLANK(M127),"",IF(M127&lt;=Years*12,SUM(R$53:R128),"")))</f>
        <v/>
      </c>
    </row>
    <row r="129" spans="6:19" x14ac:dyDescent="0.25">
      <c r="F129" s="9"/>
      <c r="G129" s="9" t="str">
        <f t="shared" si="13"/>
        <v/>
      </c>
      <c r="H129" s="9" t="str">
        <f t="shared" si="14"/>
        <v/>
      </c>
      <c r="I129" s="9" t="str">
        <f t="shared" si="7"/>
        <v/>
      </c>
      <c r="J129" s="9" t="str">
        <f t="shared" si="8"/>
        <v/>
      </c>
      <c r="K129" s="9" t="str">
        <f>IF(Investment_Amount&lt;100000,"",IF(ISBLANK(D127),"",IF(D127&lt;=Years*12,SUM(J$52:J129),"")))</f>
        <v/>
      </c>
      <c r="L129" s="9"/>
      <c r="O129" s="8" t="str">
        <f t="shared" si="9"/>
        <v/>
      </c>
      <c r="P129" s="2" t="str">
        <f t="shared" si="10"/>
        <v/>
      </c>
      <c r="Q129" s="2" t="str">
        <f t="shared" si="11"/>
        <v/>
      </c>
      <c r="R129" s="2" t="str">
        <f t="shared" si="12"/>
        <v/>
      </c>
      <c r="S129" s="2" t="str">
        <f>IF(Investment_Amount&lt;100000,"",IF(ISBLANK(M128),"",IF(M128&lt;=Years*12,SUM(R$53:R129),"")))</f>
        <v/>
      </c>
    </row>
    <row r="130" spans="6:19" x14ac:dyDescent="0.25">
      <c r="F130" s="9"/>
      <c r="G130" s="9" t="str">
        <f t="shared" si="13"/>
        <v/>
      </c>
      <c r="H130" s="9" t="str">
        <f t="shared" si="14"/>
        <v/>
      </c>
      <c r="I130" s="9" t="str">
        <f t="shared" si="7"/>
        <v/>
      </c>
      <c r="J130" s="9" t="str">
        <f t="shared" si="8"/>
        <v/>
      </c>
      <c r="K130" s="9" t="str">
        <f>IF(Investment_Amount&lt;100000,"",IF(ISBLANK(D128),"",IF(D128&lt;=Years*12,SUM(J$52:J130),"")))</f>
        <v/>
      </c>
      <c r="L130" s="9"/>
      <c r="O130" s="8" t="str">
        <f t="shared" si="9"/>
        <v/>
      </c>
      <c r="P130" s="2" t="str">
        <f t="shared" si="10"/>
        <v/>
      </c>
      <c r="Q130" s="2" t="str">
        <f t="shared" si="11"/>
        <v/>
      </c>
      <c r="R130" s="2" t="str">
        <f t="shared" si="12"/>
        <v/>
      </c>
      <c r="S130" s="2" t="str">
        <f>IF(Investment_Amount&lt;100000,"",IF(ISBLANK(M129),"",IF(M129&lt;=Years*12,SUM(R$53:R130),"")))</f>
        <v/>
      </c>
    </row>
    <row r="131" spans="6:19" x14ac:dyDescent="0.25">
      <c r="F131" s="9"/>
      <c r="G131" s="9" t="str">
        <f t="shared" si="13"/>
        <v/>
      </c>
      <c r="H131" s="9" t="str">
        <f t="shared" si="14"/>
        <v/>
      </c>
      <c r="I131" s="9" t="str">
        <f t="shared" si="7"/>
        <v/>
      </c>
      <c r="J131" s="9" t="str">
        <f t="shared" si="8"/>
        <v/>
      </c>
      <c r="K131" s="9" t="str">
        <f>IF(Investment_Amount&lt;100000,"",IF(ISBLANK(D129),"",IF(D129&lt;=Years*12,SUM(J$52:J131),"")))</f>
        <v/>
      </c>
      <c r="L131" s="9"/>
      <c r="O131" s="8" t="str">
        <f t="shared" si="9"/>
        <v/>
      </c>
      <c r="P131" s="2" t="str">
        <f t="shared" si="10"/>
        <v/>
      </c>
      <c r="Q131" s="2" t="str">
        <f t="shared" si="11"/>
        <v/>
      </c>
      <c r="R131" s="2" t="str">
        <f t="shared" si="12"/>
        <v/>
      </c>
      <c r="S131" s="2" t="str">
        <f>IF(Investment_Amount&lt;100000,"",IF(ISBLANK(M130),"",IF(M130&lt;=Years*12,SUM(R$53:R131),"")))</f>
        <v/>
      </c>
    </row>
    <row r="132" spans="6:19" x14ac:dyDescent="0.25">
      <c r="F132" s="9"/>
      <c r="G132" s="9" t="str">
        <f t="shared" si="13"/>
        <v/>
      </c>
      <c r="H132" s="9" t="str">
        <f t="shared" si="14"/>
        <v/>
      </c>
      <c r="I132" s="9" t="str">
        <f t="shared" si="7"/>
        <v/>
      </c>
      <c r="J132" s="9" t="str">
        <f t="shared" si="8"/>
        <v/>
      </c>
      <c r="K132" s="9" t="str">
        <f>IF(Investment_Amount&lt;100000,"",IF(ISBLANK(D130),"",IF(D130&lt;=Years*12,SUM(J$52:J132),"")))</f>
        <v/>
      </c>
      <c r="L132" s="9"/>
      <c r="O132" s="8" t="str">
        <f t="shared" si="9"/>
        <v/>
      </c>
      <c r="P132" s="2" t="str">
        <f t="shared" si="10"/>
        <v/>
      </c>
      <c r="Q132" s="2" t="str">
        <f t="shared" si="11"/>
        <v/>
      </c>
      <c r="R132" s="2" t="str">
        <f t="shared" si="12"/>
        <v/>
      </c>
      <c r="S132" s="2" t="str">
        <f>IF(Investment_Amount&lt;100000,"",IF(ISBLANK(M131),"",IF(M131&lt;=Years*12,SUM(R$53:R132),"")))</f>
        <v/>
      </c>
    </row>
    <row r="133" spans="6:19" x14ac:dyDescent="0.25">
      <c r="F133" s="9"/>
      <c r="G133" s="9" t="str">
        <f t="shared" si="13"/>
        <v/>
      </c>
      <c r="H133" s="9" t="str">
        <f t="shared" si="14"/>
        <v/>
      </c>
      <c r="I133" s="9" t="str">
        <f t="shared" si="7"/>
        <v/>
      </c>
      <c r="J133" s="9" t="str">
        <f t="shared" si="8"/>
        <v/>
      </c>
      <c r="K133" s="9" t="str">
        <f>IF(Investment_Amount&lt;100000,"",IF(ISBLANK(D131),"",IF(D131&lt;=Years*12,SUM(J$52:J133),"")))</f>
        <v/>
      </c>
      <c r="L133" s="9"/>
      <c r="O133" s="8" t="str">
        <f t="shared" si="9"/>
        <v/>
      </c>
      <c r="P133" s="2" t="str">
        <f t="shared" si="10"/>
        <v/>
      </c>
      <c r="Q133" s="2" t="str">
        <f t="shared" si="11"/>
        <v/>
      </c>
      <c r="R133" s="2" t="str">
        <f t="shared" si="12"/>
        <v/>
      </c>
      <c r="S133" s="2" t="str">
        <f>IF(Investment_Amount&lt;100000,"",IF(ISBLANK(M132),"",IF(M132&lt;=Years*12,SUM(R$53:R133),"")))</f>
        <v/>
      </c>
    </row>
    <row r="134" spans="6:19" x14ac:dyDescent="0.25">
      <c r="F134" s="9"/>
      <c r="G134" s="9" t="str">
        <f t="shared" si="13"/>
        <v/>
      </c>
      <c r="H134" s="9" t="str">
        <f t="shared" si="14"/>
        <v/>
      </c>
      <c r="I134" s="9" t="str">
        <f t="shared" si="7"/>
        <v/>
      </c>
      <c r="J134" s="9" t="str">
        <f t="shared" si="8"/>
        <v/>
      </c>
      <c r="K134" s="9" t="str">
        <f>IF(Investment_Amount&lt;100000,"",IF(ISBLANK(D132),"",IF(D132&lt;=Years*12,SUM(J$52:J134),"")))</f>
        <v/>
      </c>
      <c r="L134" s="9"/>
      <c r="O134" s="8" t="str">
        <f t="shared" si="9"/>
        <v/>
      </c>
      <c r="P134" s="2" t="str">
        <f t="shared" si="10"/>
        <v/>
      </c>
      <c r="Q134" s="2" t="str">
        <f t="shared" si="11"/>
        <v/>
      </c>
      <c r="R134" s="2" t="str">
        <f t="shared" si="12"/>
        <v/>
      </c>
      <c r="S134" s="2" t="str">
        <f>IF(Investment_Amount&lt;100000,"",IF(ISBLANK(M133),"",IF(M133&lt;=Years*12,SUM(R$53:R134),"")))</f>
        <v/>
      </c>
    </row>
    <row r="135" spans="6:19" x14ac:dyDescent="0.25">
      <c r="F135" s="9"/>
      <c r="G135" s="9" t="str">
        <f t="shared" si="13"/>
        <v/>
      </c>
      <c r="H135" s="9" t="str">
        <f t="shared" si="14"/>
        <v/>
      </c>
      <c r="I135" s="9" t="str">
        <f t="shared" si="7"/>
        <v/>
      </c>
      <c r="J135" s="9" t="str">
        <f t="shared" si="8"/>
        <v/>
      </c>
      <c r="K135" s="9" t="str">
        <f>IF(Investment_Amount&lt;100000,"",IF(ISBLANK(D133),"",IF(D133&lt;=Years*12,SUM(J$52:J135),"")))</f>
        <v/>
      </c>
      <c r="L135" s="9"/>
      <c r="O135" s="8" t="str">
        <f t="shared" si="9"/>
        <v/>
      </c>
      <c r="P135" s="2" t="str">
        <f t="shared" si="10"/>
        <v/>
      </c>
      <c r="Q135" s="2" t="str">
        <f t="shared" si="11"/>
        <v/>
      </c>
      <c r="R135" s="2" t="str">
        <f t="shared" si="12"/>
        <v/>
      </c>
      <c r="S135" s="2" t="str">
        <f>IF(Investment_Amount&lt;100000,"",IF(ISBLANK(M134),"",IF(M134&lt;=Years*12,SUM(R$53:R135),"")))</f>
        <v/>
      </c>
    </row>
    <row r="136" spans="6:19" x14ac:dyDescent="0.25">
      <c r="F136" s="9"/>
      <c r="G136" s="9" t="str">
        <f t="shared" si="13"/>
        <v/>
      </c>
      <c r="H136" s="9" t="str">
        <f t="shared" si="14"/>
        <v/>
      </c>
      <c r="I136" s="9" t="str">
        <f t="shared" si="7"/>
        <v/>
      </c>
      <c r="J136" s="9" t="str">
        <f t="shared" si="8"/>
        <v/>
      </c>
      <c r="K136" s="9" t="str">
        <f>IF(Investment_Amount&lt;100000,"",IF(ISBLANK(D134),"",IF(D134&lt;=Years*12,SUM(J$52:J136),"")))</f>
        <v/>
      </c>
      <c r="L136" s="9"/>
      <c r="O136" s="8" t="str">
        <f t="shared" si="9"/>
        <v/>
      </c>
      <c r="P136" s="2" t="str">
        <f t="shared" si="10"/>
        <v/>
      </c>
      <c r="Q136" s="2" t="str">
        <f t="shared" si="11"/>
        <v/>
      </c>
      <c r="R136" s="2" t="str">
        <f t="shared" si="12"/>
        <v/>
      </c>
      <c r="S136" s="2" t="str">
        <f>IF(Investment_Amount&lt;100000,"",IF(ISBLANK(M135),"",IF(M135&lt;=Years*12,SUM(R$53:R136),"")))</f>
        <v/>
      </c>
    </row>
    <row r="137" spans="6:19" x14ac:dyDescent="0.25">
      <c r="F137" s="9"/>
      <c r="G137" s="9"/>
      <c r="H137" s="9"/>
      <c r="I137" s="9"/>
      <c r="J137" s="9"/>
      <c r="K137" s="9"/>
      <c r="L137" s="9"/>
      <c r="O137" s="8" t="str">
        <f t="shared" si="9"/>
        <v/>
      </c>
      <c r="P137" s="2" t="str">
        <f t="shared" si="10"/>
        <v/>
      </c>
      <c r="Q137" s="2" t="str">
        <f t="shared" si="11"/>
        <v/>
      </c>
      <c r="R137" s="2" t="str">
        <f t="shared" si="12"/>
        <v/>
      </c>
      <c r="S137" s="2" t="str">
        <f>IF(Investment_Amount&lt;100000,"",IF(ISBLANK(M136),"",IF(M136&lt;=Years*12,SUM(R$53:R137),"")))</f>
        <v/>
      </c>
    </row>
    <row r="138" spans="6:19" x14ac:dyDescent="0.25">
      <c r="F138" s="9"/>
      <c r="G138" s="9"/>
      <c r="H138" s="9"/>
      <c r="I138" s="9"/>
      <c r="J138" s="9"/>
      <c r="K138" s="9"/>
      <c r="L138" s="9"/>
      <c r="O138" s="8"/>
    </row>
    <row r="139" spans="6:19" x14ac:dyDescent="0.25">
      <c r="F139" s="9"/>
      <c r="G139" s="9"/>
      <c r="H139" s="9"/>
      <c r="I139" s="9"/>
      <c r="J139" s="9"/>
      <c r="K139" s="9"/>
      <c r="L139" s="9"/>
      <c r="O139" s="8"/>
    </row>
    <row r="140" spans="6:19" x14ac:dyDescent="0.25">
      <c r="F140" s="9"/>
      <c r="G140" s="9"/>
      <c r="H140" s="9"/>
      <c r="I140" s="9"/>
      <c r="J140" s="9"/>
      <c r="K140" s="9"/>
      <c r="L140" s="9"/>
      <c r="O140" s="8"/>
    </row>
    <row r="141" spans="6:19" x14ac:dyDescent="0.25">
      <c r="F141" s="9"/>
      <c r="G141" s="9"/>
      <c r="H141" s="9"/>
      <c r="I141" s="9"/>
      <c r="J141" s="9"/>
      <c r="K141" s="9"/>
      <c r="L141" s="9"/>
      <c r="O141" s="8"/>
    </row>
    <row r="142" spans="6:19" x14ac:dyDescent="0.25">
      <c r="F142" s="9"/>
      <c r="G142" s="9"/>
      <c r="H142" s="9"/>
      <c r="I142" s="9"/>
      <c r="J142" s="9"/>
      <c r="K142" s="9"/>
      <c r="L142" s="9"/>
      <c r="O142" s="8"/>
    </row>
    <row r="143" spans="6:19" x14ac:dyDescent="0.25">
      <c r="F143" s="9"/>
      <c r="G143" s="9"/>
      <c r="H143" s="9"/>
      <c r="I143" s="9"/>
      <c r="J143" s="9"/>
      <c r="K143" s="9"/>
      <c r="L143" s="9"/>
      <c r="O143" s="8"/>
    </row>
    <row r="144" spans="6:19" x14ac:dyDescent="0.25">
      <c r="F144" s="9"/>
      <c r="G144" s="9"/>
      <c r="H144" s="9"/>
      <c r="I144" s="9"/>
      <c r="J144" s="9"/>
      <c r="K144" s="9"/>
      <c r="L144" s="9"/>
      <c r="O144" s="8"/>
    </row>
    <row r="145" spans="6:15" x14ac:dyDescent="0.25">
      <c r="F145" s="9"/>
      <c r="G145" s="9"/>
      <c r="H145" s="9"/>
      <c r="I145" s="9"/>
      <c r="J145" s="9"/>
      <c r="K145" s="9"/>
      <c r="L145" s="9"/>
      <c r="O145" s="8"/>
    </row>
    <row r="146" spans="6:15" x14ac:dyDescent="0.25">
      <c r="F146" s="9"/>
      <c r="G146" s="9"/>
      <c r="H146" s="9"/>
      <c r="I146" s="9"/>
      <c r="J146" s="9"/>
      <c r="K146" s="9"/>
      <c r="L146" s="9"/>
      <c r="O146" s="8"/>
    </row>
    <row r="147" spans="6:15" x14ac:dyDescent="0.25">
      <c r="F147" s="9"/>
      <c r="G147" s="9"/>
      <c r="H147" s="9"/>
      <c r="I147" s="9"/>
      <c r="J147" s="9"/>
      <c r="K147" s="9"/>
      <c r="L147" s="9"/>
      <c r="O147" s="8"/>
    </row>
    <row r="148" spans="6:15" x14ac:dyDescent="0.25">
      <c r="F148" s="9"/>
      <c r="G148" s="9"/>
      <c r="H148" s="9"/>
      <c r="I148" s="9"/>
      <c r="J148" s="9"/>
      <c r="K148" s="9"/>
      <c r="L148" s="9"/>
      <c r="O148" s="8"/>
    </row>
    <row r="149" spans="6:15" x14ac:dyDescent="0.25">
      <c r="F149" s="9"/>
      <c r="G149" s="9"/>
      <c r="H149" s="9"/>
      <c r="I149" s="9"/>
      <c r="J149" s="9"/>
      <c r="K149" s="9"/>
      <c r="L149" s="9"/>
      <c r="O149" s="8"/>
    </row>
    <row r="150" spans="6:15" x14ac:dyDescent="0.25">
      <c r="F150" s="9"/>
      <c r="G150" s="9"/>
      <c r="H150" s="9"/>
      <c r="I150" s="9"/>
      <c r="J150" s="9"/>
      <c r="K150" s="9"/>
      <c r="L150" s="9"/>
      <c r="O150" s="8"/>
    </row>
    <row r="151" spans="6:15" x14ac:dyDescent="0.25">
      <c r="F151" s="9"/>
      <c r="G151" s="9"/>
      <c r="H151" s="9"/>
      <c r="I151" s="9"/>
      <c r="J151" s="9"/>
      <c r="K151" s="9"/>
      <c r="L151" s="9"/>
      <c r="O151" s="8"/>
    </row>
    <row r="152" spans="6:15" x14ac:dyDescent="0.25">
      <c r="F152" s="9"/>
      <c r="G152" s="9"/>
      <c r="H152" s="9"/>
      <c r="I152" s="9"/>
      <c r="J152" s="9"/>
      <c r="K152" s="9"/>
      <c r="L152" s="9"/>
      <c r="O152" s="8"/>
    </row>
    <row r="153" spans="6:15" x14ac:dyDescent="0.25">
      <c r="F153" s="9"/>
      <c r="G153" s="9"/>
      <c r="H153" s="9"/>
      <c r="I153" s="9"/>
      <c r="J153" s="9"/>
      <c r="K153" s="9"/>
      <c r="L153" s="9"/>
      <c r="O153" s="8"/>
    </row>
    <row r="154" spans="6:15" x14ac:dyDescent="0.25">
      <c r="F154" s="9"/>
      <c r="G154" s="9"/>
      <c r="H154" s="9"/>
      <c r="I154" s="9"/>
      <c r="J154" s="9"/>
      <c r="K154" s="9"/>
      <c r="L154" s="9"/>
      <c r="O154" s="8"/>
    </row>
    <row r="155" spans="6:15" x14ac:dyDescent="0.25">
      <c r="F155" s="9"/>
      <c r="G155" s="9"/>
      <c r="H155" s="9"/>
      <c r="I155" s="9"/>
      <c r="J155" s="9"/>
      <c r="K155" s="9"/>
      <c r="L155" s="9"/>
      <c r="O155" s="8"/>
    </row>
    <row r="156" spans="6:15" x14ac:dyDescent="0.25">
      <c r="F156" s="9"/>
      <c r="G156" s="9"/>
      <c r="H156" s="9"/>
      <c r="I156" s="9"/>
      <c r="J156" s="9"/>
      <c r="K156" s="9"/>
      <c r="L156" s="9"/>
      <c r="O156" s="8"/>
    </row>
    <row r="157" spans="6:15" x14ac:dyDescent="0.25">
      <c r="F157" s="9"/>
      <c r="G157" s="9"/>
      <c r="H157" s="9"/>
      <c r="I157" s="9"/>
      <c r="J157" s="9"/>
      <c r="K157" s="9"/>
      <c r="L157" s="9"/>
      <c r="O157" s="8"/>
    </row>
    <row r="158" spans="6:15" x14ac:dyDescent="0.25">
      <c r="F158" s="9"/>
      <c r="G158" s="9"/>
      <c r="H158" s="9"/>
      <c r="I158" s="9"/>
      <c r="J158" s="9"/>
      <c r="K158" s="9"/>
      <c r="L158" s="9"/>
      <c r="O158" s="8"/>
    </row>
    <row r="159" spans="6:15" x14ac:dyDescent="0.25">
      <c r="F159" s="9"/>
      <c r="G159" s="9"/>
      <c r="H159" s="9"/>
      <c r="I159" s="9"/>
      <c r="J159" s="9"/>
      <c r="K159" s="9"/>
      <c r="L159" s="9"/>
    </row>
    <row r="160" spans="6:15" x14ac:dyDescent="0.25">
      <c r="F160" s="9"/>
      <c r="G160" s="9"/>
      <c r="H160" s="9"/>
      <c r="I160" s="9"/>
      <c r="J160" s="9"/>
      <c r="K160" s="9"/>
      <c r="L160" s="9"/>
    </row>
    <row r="161" spans="6:12" x14ac:dyDescent="0.25">
      <c r="F161" s="9"/>
      <c r="G161" s="9"/>
      <c r="H161" s="9"/>
      <c r="I161" s="9"/>
      <c r="J161" s="9"/>
      <c r="K161" s="9"/>
      <c r="L161" s="9"/>
    </row>
    <row r="162" spans="6:12" x14ac:dyDescent="0.25">
      <c r="F162" s="9"/>
      <c r="G162" s="9"/>
      <c r="H162" s="9"/>
      <c r="I162" s="9"/>
      <c r="J162" s="9"/>
      <c r="K162" s="9"/>
      <c r="L162" s="9"/>
    </row>
    <row r="163" spans="6:12" x14ac:dyDescent="0.25">
      <c r="F163" s="9"/>
      <c r="G163" s="9"/>
      <c r="H163" s="9"/>
      <c r="I163" s="9"/>
      <c r="J163" s="9"/>
      <c r="K163" s="9"/>
      <c r="L163" s="9"/>
    </row>
    <row r="164" spans="6:12" x14ac:dyDescent="0.25">
      <c r="F164" s="9"/>
      <c r="G164" s="9"/>
      <c r="H164" s="9"/>
      <c r="I164" s="9"/>
      <c r="J164" s="9"/>
      <c r="K164" s="9"/>
      <c r="L164" s="9"/>
    </row>
    <row r="165" spans="6:12" x14ac:dyDescent="0.25">
      <c r="G165" s="9"/>
      <c r="H165" s="9"/>
      <c r="I165" s="9"/>
      <c r="J165" s="9"/>
      <c r="K165" s="9"/>
      <c r="L165" s="9"/>
    </row>
    <row r="166" spans="6:12" x14ac:dyDescent="0.25">
      <c r="G166" s="9"/>
      <c r="H166" s="9"/>
      <c r="I166" s="9"/>
      <c r="J166" s="9"/>
      <c r="K166" s="9"/>
      <c r="L166" s="9"/>
    </row>
    <row r="225" spans="10:10" x14ac:dyDescent="0.25">
      <c r="J225" s="7"/>
    </row>
    <row r="226" spans="10:10" x14ac:dyDescent="0.25">
      <c r="J226" s="7"/>
    </row>
    <row r="227" spans="10:10" x14ac:dyDescent="0.25">
      <c r="J227" s="7"/>
    </row>
    <row r="228" spans="10:10" x14ac:dyDescent="0.25">
      <c r="J228" s="7"/>
    </row>
    <row r="229" spans="10:10" x14ac:dyDescent="0.25">
      <c r="J229" s="7"/>
    </row>
    <row r="230" spans="10:10" x14ac:dyDescent="0.25">
      <c r="J230" s="7"/>
    </row>
    <row r="231" spans="10:10" x14ac:dyDescent="0.25">
      <c r="J231" s="7"/>
    </row>
  </sheetData>
  <mergeCells count="12">
    <mergeCell ref="U18:V18"/>
    <mergeCell ref="U17:V17"/>
    <mergeCell ref="D7:G7"/>
    <mergeCell ref="H8:I8"/>
    <mergeCell ref="H9:I9"/>
    <mergeCell ref="H10:I10"/>
    <mergeCell ref="H11:I11"/>
    <mergeCell ref="J3:K3"/>
    <mergeCell ref="J4:K4"/>
    <mergeCell ref="J5:K5"/>
    <mergeCell ref="D6:K6"/>
    <mergeCell ref="H7:K7"/>
  </mergeCells>
  <dataValidations count="1">
    <dataValidation allowBlank="1" showInputMessage="1" showErrorMessage="1" sqref="B25 B27" xr:uid="{F1F4958B-D372-434A-BA03-E1479AB3FA4F}"/>
  </dataValidations>
  <printOptions horizontalCentered="1"/>
  <pageMargins left="0.25" right="0.25" top="0.25" bottom="0.25" header="0" footer="0"/>
  <pageSetup scale="28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rint_drilldown">
                <anchor moveWithCells="1" sizeWithCells="1">
                  <from>
                    <xdr:col>0</xdr:col>
                    <xdr:colOff>1885950</xdr:colOff>
                    <xdr:row>29</xdr:row>
                    <xdr:rowOff>28575</xdr:rowOff>
                  </from>
                  <to>
                    <xdr:col>1</xdr:col>
                    <xdr:colOff>485775</xdr:colOff>
                    <xdr:row>32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D9E6ADB-5B94-452D-AF94-FC7464A6EBF5}">
          <x14:formula1>
            <xm:f>#REF!</xm:f>
          </x14:formula1>
          <xm:sqref>B10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862DD-B5C1-4B8D-BA1C-74D3A7D3057B}">
  <sheetPr codeName="Sheet3">
    <tabColor rgb="FF92D050"/>
    <pageSetUpPr fitToPage="1"/>
  </sheetPr>
  <dimension ref="A1:D2"/>
  <sheetViews>
    <sheetView workbookViewId="0">
      <selection activeCell="A21" sqref="A21"/>
    </sheetView>
  </sheetViews>
  <sheetFormatPr defaultRowHeight="15" x14ac:dyDescent="0.25"/>
  <cols>
    <col min="1" max="1" width="36.7109375" customWidth="1"/>
    <col min="2" max="3" width="24.28515625" customWidth="1"/>
    <col min="4" max="4" width="36.7109375" customWidth="1"/>
  </cols>
  <sheetData>
    <row r="1" spans="1:4" ht="67.5" customHeight="1" x14ac:dyDescent="0.35">
      <c r="A1" s="133" t="s">
        <v>45</v>
      </c>
      <c r="B1" s="134"/>
      <c r="C1" s="134"/>
      <c r="D1" s="135"/>
    </row>
    <row r="2" spans="1:4" ht="30.75" customHeight="1" x14ac:dyDescent="0.25">
      <c r="A2" s="136" t="s">
        <v>44</v>
      </c>
      <c r="B2" s="137"/>
      <c r="C2" s="137"/>
      <c r="D2" s="138"/>
    </row>
  </sheetData>
  <mergeCells count="2">
    <mergeCell ref="A1:D1"/>
    <mergeCell ref="A2:D2"/>
  </mergeCells>
  <printOptions horizontalCentered="1" verticalCentered="1"/>
  <pageMargins left="0.25" right="0.25" top="0.5" bottom="0.5" header="0" footer="0"/>
  <pageSetup scale="83" fitToHeight="0" orientation="portrait" cellComments="atEnd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print_payment_sched">
                <anchor moveWithCells="1" sizeWithCells="1">
                  <from>
                    <xdr:col>7</xdr:col>
                    <xdr:colOff>257175</xdr:colOff>
                    <xdr:row>1</xdr:row>
                    <xdr:rowOff>171450</xdr:rowOff>
                  </from>
                  <to>
                    <xdr:col>10</xdr:col>
                    <xdr:colOff>85725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335949f-732d-442a-be61-1a5f5b5e2528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094DFCA0B90D345812BCBF696EB2C2D" ma:contentTypeVersion="12" ma:contentTypeDescription="Create a new document." ma:contentTypeScope="" ma:versionID="c03c881cfd52ffb81fb8ec39daf60465">
  <xsd:schema xmlns:xsd="http://www.w3.org/2001/XMLSchema" xmlns:xs="http://www.w3.org/2001/XMLSchema" xmlns:p="http://schemas.microsoft.com/office/2006/metadata/properties" xmlns:ns3="a335949f-732d-442a-be61-1a5f5b5e2528" xmlns:ns4="a0d6fb1d-c0ff-46db-bc66-7dde1891da5a" targetNamespace="http://schemas.microsoft.com/office/2006/metadata/properties" ma:root="true" ma:fieldsID="b5bf4102571b7530562025db769ee95c" ns3:_="" ns4:_="">
    <xsd:import namespace="a335949f-732d-442a-be61-1a5f5b5e2528"/>
    <xsd:import namespace="a0d6fb1d-c0ff-46db-bc66-7dde1891da5a"/>
    <xsd:element name="properties">
      <xsd:complexType>
        <xsd:sequence>
          <xsd:element name="documentManagement">
            <xsd:complexType>
              <xsd:all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ObjectDetectorVersions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335949f-732d-442a-be61-1a5f5b5e2528" elementFormDefault="qualified">
    <xsd:import namespace="http://schemas.microsoft.com/office/2006/documentManagement/types"/>
    <xsd:import namespace="http://schemas.microsoft.com/office/infopath/2007/PartnerControls"/>
    <xsd:element name="_activity" ma:index="8" nillable="true" ma:displayName="_activity" ma:hidden="true" ma:internalName="_activity">
      <xsd:simpleType>
        <xsd:restriction base="dms:Note"/>
      </xsd:simpleType>
    </xsd:element>
    <xsd:element name="MediaServiceMetadata" ma:index="1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4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0d6fb1d-c0ff-46db-bc66-7dde1891da5a" elementFormDefault="qualified">
    <xsd:import namespace="http://schemas.microsoft.com/office/2006/documentManagement/types"/>
    <xsd:import namespace="http://schemas.microsoft.com/office/infopath/2007/PartnerControls"/>
    <xsd:element name="SharedWithUsers" ma:index="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1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5957898-B89D-4351-AD43-5B345581D7AC}">
  <ds:schemaRefs>
    <ds:schemaRef ds:uri="a335949f-732d-442a-be61-1a5f5b5e2528"/>
    <ds:schemaRef ds:uri="http://schemas.microsoft.com/office/infopath/2007/PartnerControls"/>
    <ds:schemaRef ds:uri="http://purl.org/dc/dcmitype/"/>
    <ds:schemaRef ds:uri="http://purl.org/dc/elements/1.1/"/>
    <ds:schemaRef ds:uri="http://purl.org/dc/terms/"/>
    <ds:schemaRef ds:uri="http://schemas.microsoft.com/office/2006/documentManagement/types"/>
    <ds:schemaRef ds:uri="http://www.w3.org/XML/1998/namespace"/>
    <ds:schemaRef ds:uri="a0d6fb1d-c0ff-46db-bc66-7dde1891da5a"/>
    <ds:schemaRef ds:uri="http://schemas.openxmlformats.org/package/2006/metadata/core-properties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24A2AF7D-D4EC-4902-8B61-29F476D000C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335949f-732d-442a-be61-1a5f5b5e2528"/>
    <ds:schemaRef ds:uri="a0d6fb1d-c0ff-46db-bc66-7dde1891da5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1DC0C28-B4B6-44BF-B95B-3F7404C842A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14</vt:i4>
      </vt:variant>
    </vt:vector>
  </HeadingPairs>
  <TitlesOfParts>
    <vt:vector size="17" baseType="lpstr">
      <vt:lpstr>Compare Offerings</vt:lpstr>
      <vt:lpstr>Drill Down</vt:lpstr>
      <vt:lpstr>Payment Schedule</vt:lpstr>
      <vt:lpstr>bprice</vt:lpstr>
      <vt:lpstr>'Compare Offerings'!Discount</vt:lpstr>
      <vt:lpstr>'Drill Down'!Discount</vt:lpstr>
      <vt:lpstr>'Drill Down'!Interest_Type</vt:lpstr>
      <vt:lpstr>Interest_Type</vt:lpstr>
      <vt:lpstr>'Compare Offerings'!Investment_Amount</vt:lpstr>
      <vt:lpstr>'Drill Down'!Investment_Amount</vt:lpstr>
      <vt:lpstr>lift</vt:lpstr>
      <vt:lpstr>'Compare Offerings'!Print_Area</vt:lpstr>
      <vt:lpstr>'Drill Down'!Print_Area</vt:lpstr>
      <vt:lpstr>'Compare Offerings'!Rate</vt:lpstr>
      <vt:lpstr>'Drill Down'!Rate</vt:lpstr>
      <vt:lpstr>'Compare Offerings'!Years</vt:lpstr>
      <vt:lpstr>'Drill Down'!Years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Joshua Hansell</dc:creator>
  <cp:keywords/>
  <dc:description/>
  <cp:lastModifiedBy>Hannah Nevel</cp:lastModifiedBy>
  <cp:revision/>
  <cp:lastPrinted>2024-02-12T22:28:07Z</cp:lastPrinted>
  <dcterms:created xsi:type="dcterms:W3CDTF">2023-11-30T17:33:19Z</dcterms:created>
  <dcterms:modified xsi:type="dcterms:W3CDTF">2024-02-13T16:27:29Z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0x0101002094DFCA0B90D345812BCBF696EB2C2D</vt:lpwstr>
  </property>
</Properties>
</file>