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kwitt/Downloads/"/>
    </mc:Choice>
  </mc:AlternateContent>
  <xr:revisionPtr revIDLastSave="0" documentId="13_ncr:1_{F41A4209-F60D-0942-A7D1-1A62FB4F3465}" xr6:coauthVersionLast="47" xr6:coauthVersionMax="47" xr10:uidLastSave="{00000000-0000-0000-0000-000000000000}"/>
  <bookViews>
    <workbookView xWindow="-34460" yWindow="-2700" windowWidth="25540" windowHeight="17860" xr2:uid="{123201CD-5103-754B-B8B8-D421C85D49FE}"/>
  </bookViews>
  <sheets>
    <sheet name="all_transects" sheetId="1" r:id="rId1"/>
    <sheet name="pivot_all" sheetId="2" r:id="rId2"/>
    <sheet name="used_transects" sheetId="3" r:id="rId3"/>
    <sheet name="pivot_used" sheetId="5" r:id="rId4"/>
  </sheets>
  <calcPr calcId="191029"/>
  <pivotCaches>
    <pivotCache cacheId="10" r:id="rId5"/>
    <pivotCache cacheId="1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" i="3" l="1"/>
  <c r="G60" i="3" s="1"/>
  <c r="F59" i="3"/>
  <c r="G59" i="3" s="1"/>
  <c r="F58" i="3"/>
  <c r="G58" i="3" s="1"/>
  <c r="F57" i="3"/>
  <c r="G57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E50" i="3"/>
  <c r="G50" i="3" s="1"/>
  <c r="F49" i="3"/>
  <c r="E49" i="3"/>
  <c r="F48" i="3"/>
  <c r="G48" i="3" s="1"/>
  <c r="F47" i="3"/>
  <c r="G47" i="3" s="1"/>
  <c r="F46" i="3"/>
  <c r="G46" i="3" s="1"/>
  <c r="F45" i="3"/>
  <c r="E45" i="3"/>
  <c r="F38" i="3"/>
  <c r="E38" i="3"/>
  <c r="G38" i="3" s="1"/>
  <c r="F37" i="3"/>
  <c r="D37" i="3"/>
  <c r="F36" i="3"/>
  <c r="E36" i="3"/>
  <c r="F3" i="3"/>
  <c r="D3" i="3"/>
  <c r="F2" i="3"/>
  <c r="D2" i="3"/>
  <c r="F35" i="3"/>
  <c r="D35" i="3"/>
  <c r="F34" i="3"/>
  <c r="G34" i="3" s="1"/>
  <c r="D34" i="3"/>
  <c r="F33" i="3"/>
  <c r="D33" i="3"/>
  <c r="F32" i="3"/>
  <c r="G32" i="3" s="1"/>
  <c r="F31" i="3"/>
  <c r="D31" i="3"/>
  <c r="F30" i="3"/>
  <c r="D30" i="3"/>
  <c r="F29" i="3"/>
  <c r="D29" i="3"/>
  <c r="F28" i="3"/>
  <c r="D28" i="3"/>
  <c r="F27" i="3"/>
  <c r="D27" i="3"/>
  <c r="F26" i="3"/>
  <c r="D26" i="3"/>
  <c r="F25" i="3"/>
  <c r="D25" i="3"/>
  <c r="F24" i="3"/>
  <c r="D24" i="3"/>
  <c r="F23" i="3"/>
  <c r="G23" i="3" s="1"/>
  <c r="F22" i="3"/>
  <c r="D22" i="3"/>
  <c r="F21" i="3"/>
  <c r="G21" i="3" s="1"/>
  <c r="D21" i="3"/>
  <c r="F20" i="3"/>
  <c r="D20" i="3"/>
  <c r="F19" i="3"/>
  <c r="D19" i="3"/>
  <c r="F18" i="3"/>
  <c r="D18" i="3"/>
  <c r="F17" i="3"/>
  <c r="G17" i="3" s="1"/>
  <c r="D17" i="3"/>
  <c r="F16" i="3"/>
  <c r="D16" i="3"/>
  <c r="F15" i="3"/>
  <c r="G15" i="3" s="1"/>
  <c r="F14" i="3"/>
  <c r="D14" i="3"/>
  <c r="F13" i="3"/>
  <c r="D13" i="3"/>
  <c r="F12" i="3"/>
  <c r="G12" i="3" s="1"/>
  <c r="F11" i="3"/>
  <c r="D11" i="3"/>
  <c r="F10" i="3"/>
  <c r="D10" i="3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51" i="1"/>
  <c r="F50" i="1"/>
  <c r="F52" i="1"/>
  <c r="F3" i="1"/>
  <c r="G3" i="1" s="1"/>
  <c r="F4" i="1"/>
  <c r="G4" i="1" s="1"/>
  <c r="F5" i="1"/>
  <c r="G5" i="1" s="1"/>
  <c r="F6" i="1"/>
  <c r="G6" i="1" s="1"/>
  <c r="F7" i="1"/>
  <c r="G7" i="1" s="1"/>
  <c r="F8" i="1"/>
  <c r="F9" i="1"/>
  <c r="F10" i="1"/>
  <c r="G10" i="1" s="1"/>
  <c r="F11" i="1"/>
  <c r="F12" i="1"/>
  <c r="F13" i="1"/>
  <c r="G13" i="1" s="1"/>
  <c r="F14" i="1"/>
  <c r="F15" i="1"/>
  <c r="F16" i="1"/>
  <c r="F17" i="1"/>
  <c r="F18" i="1"/>
  <c r="F19" i="1"/>
  <c r="F20" i="1"/>
  <c r="F21" i="1"/>
  <c r="G21" i="1" s="1"/>
  <c r="F22" i="1"/>
  <c r="F23" i="1"/>
  <c r="F24" i="1"/>
  <c r="F25" i="1"/>
  <c r="F26" i="1"/>
  <c r="F27" i="1"/>
  <c r="F28" i="1"/>
  <c r="F29" i="1"/>
  <c r="F30" i="1"/>
  <c r="G30" i="1" s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3" i="1"/>
  <c r="F54" i="1"/>
  <c r="F55" i="1"/>
  <c r="G55" i="1" s="1"/>
  <c r="F56" i="1"/>
  <c r="G56" i="1" s="1"/>
  <c r="F57" i="1"/>
  <c r="G57" i="1" s="1"/>
  <c r="F58" i="1"/>
  <c r="F59" i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2" i="1"/>
  <c r="G2" i="1" s="1"/>
  <c r="D12" i="1"/>
  <c r="D14" i="1"/>
  <c r="D15" i="1"/>
  <c r="E51" i="1"/>
  <c r="G51" i="1" s="1"/>
  <c r="G45" i="3" l="1"/>
  <c r="G30" i="3"/>
  <c r="G13" i="3"/>
  <c r="G33" i="3"/>
  <c r="G26" i="3"/>
  <c r="G35" i="3"/>
  <c r="G14" i="3"/>
  <c r="G31" i="3"/>
  <c r="G19" i="3"/>
  <c r="G24" i="3"/>
  <c r="G28" i="3"/>
  <c r="G37" i="3"/>
  <c r="G11" i="3"/>
  <c r="G20" i="3"/>
  <c r="G3" i="3"/>
  <c r="G18" i="3"/>
  <c r="G22" i="3"/>
  <c r="G27" i="3"/>
  <c r="G49" i="3"/>
  <c r="G10" i="3"/>
  <c r="G2" i="3"/>
  <c r="G16" i="3"/>
  <c r="G25" i="3"/>
  <c r="G29" i="3"/>
  <c r="G36" i="3"/>
  <c r="G15" i="1"/>
  <c r="G14" i="1"/>
  <c r="G12" i="1"/>
  <c r="E59" i="1" l="1"/>
  <c r="G59" i="1" s="1"/>
  <c r="E58" i="1"/>
  <c r="G58" i="1" s="1"/>
  <c r="E54" i="1"/>
  <c r="G54" i="1" s="1"/>
  <c r="E53" i="1"/>
  <c r="G53" i="1" s="1"/>
  <c r="D52" i="1"/>
  <c r="G52" i="1" s="1"/>
  <c r="D50" i="1"/>
  <c r="G50" i="1" s="1"/>
  <c r="D49" i="1"/>
  <c r="G49" i="1" s="1"/>
  <c r="D48" i="1"/>
  <c r="G48" i="1" s="1"/>
  <c r="D47" i="1"/>
  <c r="G47" i="1" s="1"/>
  <c r="D46" i="1"/>
  <c r="G46" i="1" s="1"/>
  <c r="D45" i="1"/>
  <c r="G45" i="1" s="1"/>
  <c r="D44" i="1"/>
  <c r="G44" i="1" s="1"/>
  <c r="D43" i="1"/>
  <c r="G43" i="1" s="1"/>
  <c r="D24" i="1"/>
  <c r="G24" i="1" s="1"/>
  <c r="D22" i="1"/>
  <c r="G22" i="1" s="1"/>
  <c r="D23" i="1"/>
  <c r="G23" i="1" s="1"/>
  <c r="D42" i="1"/>
  <c r="G42" i="1" s="1"/>
  <c r="D41" i="1"/>
  <c r="G41" i="1" s="1"/>
  <c r="D40" i="1"/>
  <c r="G40" i="1" s="1"/>
  <c r="D39" i="1"/>
  <c r="G39" i="1" s="1"/>
  <c r="D38" i="1"/>
  <c r="G38" i="1" s="1"/>
  <c r="D37" i="1"/>
  <c r="G37" i="1" s="1"/>
  <c r="D36" i="1"/>
  <c r="G36" i="1" s="1"/>
  <c r="D35" i="1"/>
  <c r="G35" i="1" s="1"/>
  <c r="D34" i="1"/>
  <c r="G34" i="1" s="1"/>
  <c r="D33" i="1"/>
  <c r="G33" i="1" s="1"/>
  <c r="D32" i="1"/>
  <c r="G32" i="1" s="1"/>
  <c r="D31" i="1"/>
  <c r="G31" i="1" s="1"/>
  <c r="D29" i="1"/>
  <c r="G29" i="1" s="1"/>
  <c r="D28" i="1"/>
  <c r="G28" i="1" s="1"/>
  <c r="D27" i="1"/>
  <c r="G27" i="1" s="1"/>
  <c r="D26" i="1"/>
  <c r="G26" i="1" s="1"/>
  <c r="D25" i="1"/>
  <c r="G25" i="1" s="1"/>
  <c r="D20" i="1"/>
  <c r="G20" i="1" s="1"/>
  <c r="D19" i="1"/>
  <c r="G19" i="1" s="1"/>
  <c r="D18" i="1"/>
  <c r="G18" i="1" s="1"/>
  <c r="D17" i="1"/>
  <c r="G17" i="1" s="1"/>
  <c r="D16" i="1"/>
  <c r="G16" i="1" s="1"/>
  <c r="D11" i="1"/>
  <c r="G11" i="1" s="1"/>
  <c r="D9" i="1"/>
  <c r="G9" i="1" s="1"/>
  <c r="D8" i="1"/>
  <c r="G8" i="1" s="1"/>
</calcChain>
</file>

<file path=xl/sharedStrings.xml><?xml version="1.0" encoding="utf-8"?>
<sst xmlns="http://schemas.openxmlformats.org/spreadsheetml/2006/main" count="931" uniqueCount="193">
  <si>
    <t>Motu</t>
  </si>
  <si>
    <t>Rimatuu</t>
  </si>
  <si>
    <t>0624</t>
  </si>
  <si>
    <t>0630</t>
  </si>
  <si>
    <t>Start</t>
  </si>
  <si>
    <t>End</t>
  </si>
  <si>
    <t>ProportionCoconut</t>
  </si>
  <si>
    <t>0631</t>
  </si>
  <si>
    <t>0632</t>
  </si>
  <si>
    <t>0633</t>
  </si>
  <si>
    <t>0634</t>
  </si>
  <si>
    <t>0635</t>
  </si>
  <si>
    <t>0636</t>
  </si>
  <si>
    <t>0637</t>
  </si>
  <si>
    <t>0638</t>
  </si>
  <si>
    <t>0644</t>
  </si>
  <si>
    <t>0645</t>
  </si>
  <si>
    <t>0646</t>
  </si>
  <si>
    <t>0647</t>
  </si>
  <si>
    <t>0648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</si>
  <si>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</si>
  <si>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</si>
  <si>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</si>
  <si>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</si>
  <si>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</si>
  <si>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</si>
  <si>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</si>
  <si>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</si>
  <si>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</si>
  <si>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</si>
  <si>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</si>
  <si>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</si>
  <si>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</si>
  <si>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</si>
  <si>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</si>
  <si>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</si>
  <si>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</si>
  <si>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0606</t>
  </si>
  <si>
    <t>0607</t>
  </si>
  <si>
    <t>0608</t>
  </si>
  <si>
    <t>0609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</si>
  <si>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</si>
  <si>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</si>
  <si>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</si>
  <si>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</si>
  <si>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</si>
  <si>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</si>
  <si>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</si>
  <si>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</si>
  <si>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</si>
  <si>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</si>
  <si>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</si>
  <si>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</si>
  <si>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</si>
  <si>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NativeM2Measured</t>
  </si>
  <si>
    <t>Reiono</t>
  </si>
  <si>
    <t>0837</t>
  </si>
  <si>
    <t>0838</t>
  </si>
  <si>
    <t>0839</t>
  </si>
  <si>
    <t>1137</t>
  </si>
  <si>
    <t>1138</t>
  </si>
  <si>
    <t>1139</t>
  </si>
  <si>
    <t>CoconutM2Measured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</si>
  <si>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</si>
  <si>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</si>
  <si>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</si>
  <si>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</si>
  <si>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</si>
  <si>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</si>
  <si>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</si>
  <si>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</si>
  <si>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</si>
  <si>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</si>
  <si>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</si>
  <si>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</si>
  <si>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</si>
  <si>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Length_m</t>
  </si>
  <si>
    <t>TransectName</t>
  </si>
  <si>
    <t>TransectType</t>
  </si>
  <si>
    <t>Aie</t>
  </si>
  <si>
    <t>0945</t>
  </si>
  <si>
    <t>0953</t>
  </si>
  <si>
    <t>Coastal</t>
  </si>
  <si>
    <t>0946</t>
  </si>
  <si>
    <t>0947</t>
  </si>
  <si>
    <t>0948</t>
  </si>
  <si>
    <t>0949</t>
  </si>
  <si>
    <t>0950</t>
  </si>
  <si>
    <t>1718</t>
  </si>
  <si>
    <t>0952</t>
  </si>
  <si>
    <t>1718to0952_Sandbar</t>
  </si>
  <si>
    <t>Sandbar</t>
  </si>
  <si>
    <t>1549</t>
  </si>
  <si>
    <t>0952to1549_Sandbar</t>
  </si>
  <si>
    <t>1550</t>
  </si>
  <si>
    <t>1549to1550_Sandbar</t>
  </si>
  <si>
    <t>1551</t>
  </si>
  <si>
    <t>1550to1551_Sandbar</t>
  </si>
  <si>
    <t>1551to0945_Sandbar</t>
  </si>
  <si>
    <t>TotalTransectAreaM2</t>
  </si>
  <si>
    <t>0624to0630</t>
  </si>
  <si>
    <t>0630to0631</t>
  </si>
  <si>
    <t>0631to0632</t>
  </si>
  <si>
    <t>0632to0633</t>
  </si>
  <si>
    <t>0633to0634</t>
  </si>
  <si>
    <t>0634to0635</t>
  </si>
  <si>
    <t>0635to0636</t>
  </si>
  <si>
    <t>0636to0637</t>
  </si>
  <si>
    <t>0637to0638</t>
  </si>
  <si>
    <t>0638to0644</t>
  </si>
  <si>
    <t>0644to0645</t>
  </si>
  <si>
    <t>0645to0646</t>
  </si>
  <si>
    <t>0646to0647</t>
  </si>
  <si>
    <t>0647to0648</t>
  </si>
  <si>
    <t>0648to0686</t>
  </si>
  <si>
    <t>0686to0687</t>
  </si>
  <si>
    <t>0687to0688</t>
  </si>
  <si>
    <t>0688to0689</t>
  </si>
  <si>
    <t>0689to0690</t>
  </si>
  <si>
    <t>0690to0691</t>
  </si>
  <si>
    <t>0691to0692</t>
  </si>
  <si>
    <t>0692to0693</t>
  </si>
  <si>
    <t>0693to0694</t>
  </si>
  <si>
    <t>0694to0695</t>
  </si>
  <si>
    <t>0695to0696</t>
  </si>
  <si>
    <t>0696to0697</t>
  </si>
  <si>
    <t>0697to0698</t>
  </si>
  <si>
    <t>0698to0699</t>
  </si>
  <si>
    <t>0699to0700</t>
  </si>
  <si>
    <t>0700to0701</t>
  </si>
  <si>
    <t>0701to0702</t>
  </si>
  <si>
    <t>0702to0606</t>
  </si>
  <si>
    <t>0606to0607</t>
  </si>
  <si>
    <t>0607to0608</t>
  </si>
  <si>
    <t>0608to0609</t>
  </si>
  <si>
    <t>0609to0611</t>
  </si>
  <si>
    <t>0611to0612</t>
  </si>
  <si>
    <t>0612to0613</t>
  </si>
  <si>
    <t>0613to0614</t>
  </si>
  <si>
    <t>0614to0615</t>
  </si>
  <si>
    <t>0615to0616</t>
  </si>
  <si>
    <t>0616to0617</t>
  </si>
  <si>
    <t>0617to0618</t>
  </si>
  <si>
    <t>0618to0619</t>
  </si>
  <si>
    <t>0619to0620</t>
  </si>
  <si>
    <t>0620to0621</t>
  </si>
  <si>
    <t>0621to0622</t>
  </si>
  <si>
    <t>0622to0623</t>
  </si>
  <si>
    <t>0623to0624</t>
  </si>
  <si>
    <t>0837to0838</t>
  </si>
  <si>
    <t>0838to0839</t>
  </si>
  <si>
    <t>0839to1137</t>
  </si>
  <si>
    <t>1137to1138</t>
  </si>
  <si>
    <t>1138to1139</t>
  </si>
  <si>
    <t>1139to1140</t>
  </si>
  <si>
    <t>1140to1141</t>
  </si>
  <si>
    <t>1141to1142</t>
  </si>
  <si>
    <t>1142to1143</t>
  </si>
  <si>
    <t>1143to1144</t>
  </si>
  <si>
    <t>1144to1145</t>
  </si>
  <si>
    <t>1145to1146</t>
  </si>
  <si>
    <t>1146to1147</t>
  </si>
  <si>
    <t>1147to1148</t>
  </si>
  <si>
    <t>1148to1149</t>
  </si>
  <si>
    <t>1149to1150</t>
  </si>
  <si>
    <t>1150to1151</t>
  </si>
  <si>
    <t>1151to1152</t>
  </si>
  <si>
    <t>1152to0837</t>
  </si>
  <si>
    <t>0945to0953</t>
  </si>
  <si>
    <t>0953to0946</t>
  </si>
  <si>
    <t>0945to0946</t>
  </si>
  <si>
    <t>0946to0947</t>
  </si>
  <si>
    <t>0947to0948</t>
  </si>
  <si>
    <t>0948to0949</t>
  </si>
  <si>
    <t>0949to0950</t>
  </si>
  <si>
    <t>0950to0945</t>
  </si>
  <si>
    <t>Row Labels</t>
  </si>
  <si>
    <t>Grand Total</t>
  </si>
  <si>
    <t>Average of ProportionCoconut</t>
  </si>
  <si>
    <t>Side</t>
  </si>
  <si>
    <t>Used for?</t>
  </si>
  <si>
    <t>North</t>
  </si>
  <si>
    <t>additional for side of motu</t>
  </si>
  <si>
    <t>closest 100 m</t>
  </si>
  <si>
    <t>additional for 200 m</t>
  </si>
  <si>
    <t>South</t>
  </si>
  <si>
    <t>Whole</t>
  </si>
  <si>
    <t>additional for WHOLE motu</t>
  </si>
  <si>
    <t>Protected</t>
  </si>
  <si>
    <t>Exposed</t>
  </si>
  <si>
    <t>TOTAL</t>
  </si>
  <si>
    <t>SIDE</t>
  </si>
  <si>
    <t>TRANSECTS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</si>
</sst>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000000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44B3E1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0" fontId="6" fillId="0" borderId="0" xfId="0" applyFont="1"/>
    <xf numFmtId="0" fontId="7" fillId="2" borderId="2" xfId="0" applyFont="1" applyFill="1" applyBorder="1"/>
    <xf numFmtId="0" fontId="6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7" fillId="0" borderId="2" xfId="0" applyFont="1" applyBorder="1" applyAlignment="1">
      <alignment horizontal="left"/>
    </xf>
    <xf numFmtId="0" fontId="7" fillId="0" borderId="2" xfId="0" applyFont="1" applyBorder="1"/>
    <xf numFmtId="0" fontId="6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0" fontId="6" fillId="3" borderId="0" xfId="0" applyFont="1" applyFill="1" applyAlignment="1">
      <alignment horizontal="left" indent="1"/>
    </xf>
    <xf numFmtId="0" fontId="6" fillId="3" borderId="0" xfId="0" applyFont="1" applyFill="1"/>
    <xf numFmtId="0" fontId="0" fillId="0" borderId="0" xfId="0" applyAlignment="1">
      <alignment horizontal="left" indent="2"/>
    </xf>
    <xf numFmtId="0" fontId="5" fillId="0" borderId="1" xfId="0" applyFont="1" applyBorder="1" applyAlignment="1">
      <alignment horizontal="left"/>
    </xf>
    <xf numFmtId="0" fontId="5" fillId="0" borderId="1" xfId="0" applyNumberFormat="1" applyFont="1" applyBorder="1"/>
    <xf numFmtId="0" fontId="5" fillId="0" borderId="0" xfId="0" applyFont="1" applyAlignment="1">
      <alignment horizontal="left" indent="1"/>
    </xf>
    <xf numFmtId="0" fontId="5" fillId="0" borderId="0" xfId="0" applyNumberFormat="1" applyFont="1"/>
    <xf numFmtId="0" fontId="0" fillId="3" borderId="0" xfId="0" applyFill="1" applyAlignment="1">
      <alignment horizontal="left" indent="2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84.357356018518" createdVersion="8" refreshedVersion="8" minRefreshableVersion="3" recordCount="81" xr:uid="{1929584D-D07C-8147-955F-1B2CC046EC59}">
  <cacheSource type="worksheet">
    <worksheetSource ref="A1:J82" sheet="all_transects"/>
  </cacheSource>
  <cacheFields count="10">
    <cacheField name="Motu" numFmtId="0">
      <sharedItems count="3">
        <s v="Rimatuu"/>
        <s v="Reiono"/>
        <s v="Aie"/>
      </sharedItems>
    </cacheField>
    <cacheField name="Start" numFmtId="49">
      <sharedItems/>
    </cacheField>
    <cacheField name="End" numFmtId="49">
      <sharedItems/>
    </cacheField>
    <cacheField name="NativeM2Measured" numFmtId="0">
      <sharedItems containsString="0" containsBlank="1" containsNumber="1" minValue="0" maxValue="485"/>
    </cacheField>
    <cacheField name="CoconutM2Measured" numFmtId="0">
      <sharedItems containsString="0" containsBlank="1" containsNumber="1" containsInteger="1" minValue="0" maxValue="145"/>
    </cacheField>
    <cacheField name="TotalTransectAreaM2" numFmtId="0">
      <sharedItems containsString="0" containsBlank="1" containsNumber="1" containsInteger="1" minValue="265" maxValue="595"/>
    </cacheField>
    <cacheField name="ProportionCoconut" numFmtId="0">
      <sharedItems containsSemiMixedTypes="0" containsString="0" containsNumber="1" minValue="0" maxValue="1"/>
    </cacheField>
    <cacheField name="Length_m" numFmtId="0">
      <sharedItems containsSemiMixedTypes="0" containsString="0" containsNumber="1" containsInteger="1" minValue="53" maxValue="196"/>
    </cacheField>
    <cacheField name="TransectName" numFmtId="0">
      <sharedItems/>
    </cacheField>
    <cacheField name="Transect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84.576791782405" createdVersion="8" refreshedVersion="8" minRefreshableVersion="3" recordCount="59" xr:uid="{D47914B8-BEA2-3348-B606-9D862F631B9C}">
  <cacheSource type="worksheet">
    <worksheetSource ref="A1:L60" sheet="used_transects"/>
  </cacheSource>
  <cacheFields count="12">
    <cacheField name="Motu" numFmtId="0">
      <sharedItems count="3">
        <s v="Rimatuu"/>
        <s v="Reiono"/>
        <s v="Aie"/>
      </sharedItems>
    </cacheField>
    <cacheField name="Start" numFmtId="49">
      <sharedItems/>
    </cacheField>
    <cacheField name="End" numFmtId="49">
      <sharedItems/>
    </cacheField>
    <cacheField name="NativeM2Measured" numFmtId="0">
      <sharedItems containsString="0" containsBlank="1" containsNumber="1" minValue="0" maxValue="385"/>
    </cacheField>
    <cacheField name="CoconutM2Measured" numFmtId="0">
      <sharedItems containsString="0" containsBlank="1" containsNumber="1" containsInteger="1" minValue="0" maxValue="145"/>
    </cacheField>
    <cacheField name="TotalTransectAreaM2" numFmtId="0">
      <sharedItems containsString="0" containsBlank="1" containsNumber="1" containsInteger="1" minValue="360" maxValue="550"/>
    </cacheField>
    <cacheField name="ProportionCoconut" numFmtId="0">
      <sharedItems containsSemiMixedTypes="0" containsString="0" containsNumber="1" minValue="0" maxValue="1"/>
    </cacheField>
    <cacheField name="Length_m" numFmtId="0">
      <sharedItems containsSemiMixedTypes="0" containsString="0" containsNumber="1" containsInteger="1" minValue="71" maxValue="126"/>
    </cacheField>
    <cacheField name="TransectName" numFmtId="0">
      <sharedItems/>
    </cacheField>
    <cacheField name="TransectType" numFmtId="0">
      <sharedItems/>
    </cacheField>
    <cacheField name="Side" numFmtId="0">
      <sharedItems count="5">
        <s v="Whole"/>
        <s v="Protected"/>
        <s v="Exposed"/>
        <s v="North"/>
        <s v="South"/>
      </sharedItems>
    </cacheField>
    <cacheField name="Used for?" numFmtId="0">
      <sharedItems count="4">
        <s v="additional for WHOLE motu"/>
        <s v="additional for side of motu"/>
        <s v="closest 100 m"/>
        <s v="additional for 200 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">
  <r>
    <x v="0"/>
    <s v="0624"/>
    <s v="0630"/>
    <n v="25"/>
    <m/>
    <n v="495"/>
    <n v="0.9494949494949495"/>
    <n v="99"/>
    <s v="0624to0630"/>
    <s v="Coastal"/>
  </r>
  <r>
    <x v="0"/>
    <s v="0630"/>
    <s v="0631"/>
    <n v="0"/>
    <m/>
    <n v="510"/>
    <n v="1"/>
    <n v="102"/>
    <s v="0630to0631"/>
    <s v="Coastal"/>
  </r>
  <r>
    <x v="0"/>
    <s v="0631"/>
    <s v="0632"/>
    <n v="17"/>
    <m/>
    <n v="515"/>
    <n v="0.96699029126213587"/>
    <n v="103"/>
    <s v="0631to0632"/>
    <s v="Coastal"/>
  </r>
  <r>
    <x v="0"/>
    <s v="0632"/>
    <s v="0633"/>
    <n v="24"/>
    <m/>
    <n v="505"/>
    <n v="0.95247524752475243"/>
    <n v="101"/>
    <s v="0632to0633"/>
    <s v="Coastal"/>
  </r>
  <r>
    <x v="0"/>
    <s v="0633"/>
    <s v="0634"/>
    <n v="7"/>
    <m/>
    <n v="500"/>
    <n v="0.98599999999999999"/>
    <n v="100"/>
    <s v="0633to0634"/>
    <s v="Coastal"/>
  </r>
  <r>
    <x v="0"/>
    <s v="0634"/>
    <s v="0635"/>
    <n v="102"/>
    <m/>
    <n v="505"/>
    <n v="0.79801980198019806"/>
    <n v="101"/>
    <s v="0634to0635"/>
    <s v="Coastal"/>
  </r>
  <r>
    <x v="0"/>
    <s v="0635"/>
    <s v="0636"/>
    <n v="154"/>
    <m/>
    <n v="500"/>
    <n v="0.69199999999999995"/>
    <n v="100"/>
    <s v="0635to0636"/>
    <s v="Coastal"/>
  </r>
  <r>
    <x v="0"/>
    <s v="0636"/>
    <s v="0637"/>
    <n v="182.5"/>
    <m/>
    <n v="500"/>
    <n v="0.63500000000000001"/>
    <n v="100"/>
    <s v="0636to0637"/>
    <s v="Coastal"/>
  </r>
  <r>
    <x v="0"/>
    <s v="0637"/>
    <s v="0638"/>
    <n v="20"/>
    <m/>
    <n v="500"/>
    <n v="0.96"/>
    <n v="100"/>
    <s v="0637to0638"/>
    <s v="Coastal"/>
  </r>
  <r>
    <x v="0"/>
    <s v="0638"/>
    <s v="0644"/>
    <n v="120"/>
    <m/>
    <n v="500"/>
    <n v="0.76"/>
    <n v="100"/>
    <s v="0638to0644"/>
    <s v="Coastal"/>
  </r>
  <r>
    <x v="0"/>
    <s v="0644"/>
    <s v="0645"/>
    <n v="72"/>
    <m/>
    <n v="500"/>
    <n v="0.85599999999999998"/>
    <n v="100"/>
    <s v="0644to0645"/>
    <s v="Coastal"/>
  </r>
  <r>
    <x v="0"/>
    <s v="0645"/>
    <s v="0646"/>
    <n v="23"/>
    <m/>
    <n v="495"/>
    <n v="0.95353535353535357"/>
    <n v="99"/>
    <s v="0645to0646"/>
    <s v="Coastal"/>
  </r>
  <r>
    <x v="0"/>
    <s v="0646"/>
    <s v="0647"/>
    <n v="105"/>
    <m/>
    <n v="490"/>
    <n v="0.7857142857142857"/>
    <n v="98"/>
    <s v="0646to0647"/>
    <s v="Coastal"/>
  </r>
  <r>
    <x v="0"/>
    <s v="0647"/>
    <s v="0648"/>
    <n v="140"/>
    <m/>
    <n v="505"/>
    <n v="0.72277227722772275"/>
    <n v="101"/>
    <s v="0647to0648"/>
    <s v="Coastal"/>
  </r>
  <r>
    <x v="0"/>
    <s v="0648"/>
    <s v="0686"/>
    <n v="235"/>
    <m/>
    <n v="520"/>
    <n v="0.54807692307692313"/>
    <n v="104"/>
    <s v="0648to0686"/>
    <s v="Coastal"/>
  </r>
  <r>
    <x v="0"/>
    <s v="0686"/>
    <s v="0687"/>
    <n v="385"/>
    <m/>
    <n v="500"/>
    <n v="0.23"/>
    <n v="100"/>
    <s v="0686to0687"/>
    <s v="Coastal"/>
  </r>
  <r>
    <x v="0"/>
    <s v="0687"/>
    <s v="0688"/>
    <n v="70"/>
    <m/>
    <n v="500"/>
    <n v="0.86"/>
    <n v="100"/>
    <s v="0687to0688"/>
    <s v="Coastal"/>
  </r>
  <r>
    <x v="0"/>
    <s v="0688"/>
    <s v="0689"/>
    <n v="295"/>
    <m/>
    <n v="520"/>
    <n v="0.43269230769230771"/>
    <n v="104"/>
    <s v="0688to0689"/>
    <s v="Coastal"/>
  </r>
  <r>
    <x v="0"/>
    <s v="0689"/>
    <s v="0690"/>
    <n v="350"/>
    <m/>
    <n v="510"/>
    <n v="0.31372549019607843"/>
    <n v="102"/>
    <s v="0689to0690"/>
    <s v="Coastal"/>
  </r>
  <r>
    <x v="0"/>
    <s v="0690"/>
    <s v="0691"/>
    <n v="25"/>
    <m/>
    <n v="500"/>
    <n v="0.95"/>
    <n v="100"/>
    <s v="0690to0691"/>
    <s v="Coastal"/>
  </r>
  <r>
    <x v="0"/>
    <s v="0691"/>
    <s v="0692"/>
    <n v="65"/>
    <m/>
    <n v="520"/>
    <n v="0.875"/>
    <n v="104"/>
    <s v="0691to0692"/>
    <s v="Coastal"/>
  </r>
  <r>
    <x v="0"/>
    <s v="0692"/>
    <s v="0693"/>
    <n v="95"/>
    <m/>
    <n v="515"/>
    <n v="0.81553398058252424"/>
    <n v="103"/>
    <s v="0692to0693"/>
    <s v="Coastal"/>
  </r>
  <r>
    <x v="0"/>
    <s v="0693"/>
    <s v="0694"/>
    <n v="65"/>
    <m/>
    <n v="505"/>
    <n v="0.87128712871287128"/>
    <n v="101"/>
    <s v="0693to0694"/>
    <s v="Coastal"/>
  </r>
  <r>
    <x v="0"/>
    <s v="0694"/>
    <s v="0695"/>
    <n v="95"/>
    <m/>
    <n v="500"/>
    <n v="0.81"/>
    <n v="100"/>
    <s v="0694to0695"/>
    <s v="Coastal"/>
  </r>
  <r>
    <x v="0"/>
    <s v="0695"/>
    <s v="0696"/>
    <n v="245"/>
    <m/>
    <n v="510"/>
    <n v="0.51960784313725494"/>
    <n v="102"/>
    <s v="0695to0696"/>
    <s v="Coastal"/>
  </r>
  <r>
    <x v="0"/>
    <s v="0696"/>
    <s v="0697"/>
    <n v="130"/>
    <m/>
    <n v="495"/>
    <n v="0.73737373737373735"/>
    <n v="99"/>
    <s v="0696to0697"/>
    <s v="Coastal"/>
  </r>
  <r>
    <x v="0"/>
    <s v="0697"/>
    <s v="0698"/>
    <n v="100"/>
    <m/>
    <n v="505"/>
    <n v="0.80198019801980203"/>
    <n v="101"/>
    <s v="0697to0698"/>
    <s v="Coastal"/>
  </r>
  <r>
    <x v="0"/>
    <s v="0698"/>
    <s v="0699"/>
    <n v="195"/>
    <m/>
    <n v="505"/>
    <n v="0.61386138613861385"/>
    <n v="101"/>
    <s v="0698to0699"/>
    <s v="Coastal"/>
  </r>
  <r>
    <x v="0"/>
    <s v="0699"/>
    <s v="0700"/>
    <n v="0"/>
    <m/>
    <n v="500"/>
    <n v="1"/>
    <n v="100"/>
    <s v="0699to0700"/>
    <s v="Coastal"/>
  </r>
  <r>
    <x v="0"/>
    <s v="0700"/>
    <s v="0701"/>
    <n v="30"/>
    <m/>
    <n v="495"/>
    <n v="0.93939393939393945"/>
    <n v="99"/>
    <s v="0700to0701"/>
    <s v="Coastal"/>
  </r>
  <r>
    <x v="0"/>
    <s v="0701"/>
    <s v="0702"/>
    <n v="25"/>
    <m/>
    <n v="495"/>
    <n v="0.9494949494949495"/>
    <n v="99"/>
    <s v="0701to0702"/>
    <s v="Coastal"/>
  </r>
  <r>
    <x v="0"/>
    <s v="0702"/>
    <s v="0606"/>
    <n v="85"/>
    <m/>
    <n v="360"/>
    <n v="0.76388888888888884"/>
    <n v="72"/>
    <s v="0702to0606"/>
    <s v="Coastal"/>
  </r>
  <r>
    <x v="0"/>
    <s v="0606"/>
    <s v="0607"/>
    <n v="80"/>
    <m/>
    <n v="505"/>
    <n v="0.84158415841584155"/>
    <n v="101"/>
    <s v="0606to0607"/>
    <s v="Coastal"/>
  </r>
  <r>
    <x v="0"/>
    <s v="0607"/>
    <s v="0608"/>
    <n v="200"/>
    <m/>
    <n v="500"/>
    <n v="0.6"/>
    <n v="100"/>
    <s v="0607to0608"/>
    <s v="Coastal"/>
  </r>
  <r>
    <x v="0"/>
    <s v="0608"/>
    <s v="0609"/>
    <n v="190"/>
    <m/>
    <n v="515"/>
    <n v="0.6310679611650486"/>
    <n v="103"/>
    <s v="0608to0609"/>
    <s v="Coastal"/>
  </r>
  <r>
    <x v="0"/>
    <s v="0609"/>
    <s v="0611"/>
    <n v="485"/>
    <m/>
    <n v="535"/>
    <n v="9.3457943925233641E-2"/>
    <n v="107"/>
    <s v="0609to0611"/>
    <s v="Coastal"/>
  </r>
  <r>
    <x v="0"/>
    <s v="0611"/>
    <s v="0612"/>
    <n v="185"/>
    <m/>
    <n v="490"/>
    <n v="0.62244897959183676"/>
    <n v="98"/>
    <s v="0611to0612"/>
    <s v="Coastal"/>
  </r>
  <r>
    <x v="0"/>
    <s v="0612"/>
    <s v="0613"/>
    <n v="165"/>
    <m/>
    <n v="595"/>
    <n v="0.72268907563025209"/>
    <n v="119"/>
    <s v="0612to0613"/>
    <s v="Coastal"/>
  </r>
  <r>
    <x v="0"/>
    <s v="0613"/>
    <s v="0614"/>
    <n v="40"/>
    <m/>
    <n v="515"/>
    <n v="0.92233009708737868"/>
    <n v="103"/>
    <s v="0613to0614"/>
    <s v="Coastal"/>
  </r>
  <r>
    <x v="0"/>
    <s v="0614"/>
    <s v="0615"/>
    <n v="165"/>
    <m/>
    <n v="505"/>
    <n v="0.67326732673267331"/>
    <n v="101"/>
    <s v="0614to0615"/>
    <s v="Coastal"/>
  </r>
  <r>
    <x v="0"/>
    <s v="0615"/>
    <s v="0616"/>
    <n v="245"/>
    <m/>
    <n v="505"/>
    <n v="0.51485148514851486"/>
    <n v="101"/>
    <s v="0615to0616"/>
    <s v="Coastal"/>
  </r>
  <r>
    <x v="0"/>
    <s v="0616"/>
    <s v="0617"/>
    <n v="255"/>
    <m/>
    <n v="535"/>
    <n v="0.52336448598130836"/>
    <n v="107"/>
    <s v="0616to0617"/>
    <s v="Coastal"/>
  </r>
  <r>
    <x v="0"/>
    <s v="0617"/>
    <s v="0618"/>
    <n v="395"/>
    <m/>
    <n v="505"/>
    <n v="0.21782178217821782"/>
    <n v="101"/>
    <s v="0617to0618"/>
    <s v="Coastal"/>
  </r>
  <r>
    <x v="0"/>
    <s v="0618"/>
    <s v="0619"/>
    <n v="135"/>
    <m/>
    <n v="500"/>
    <n v="0.73"/>
    <n v="100"/>
    <s v="0618to0619"/>
    <s v="Coastal"/>
  </r>
  <r>
    <x v="0"/>
    <s v="0619"/>
    <s v="0620"/>
    <n v="100"/>
    <m/>
    <n v="500"/>
    <n v="0.8"/>
    <n v="100"/>
    <s v="0619to0620"/>
    <s v="Coastal"/>
  </r>
  <r>
    <x v="0"/>
    <s v="0620"/>
    <s v="0621"/>
    <n v="445"/>
    <m/>
    <n v="495"/>
    <n v="0.10101010101010101"/>
    <n v="99"/>
    <s v="0620to0621"/>
    <s v="Coastal"/>
  </r>
  <r>
    <x v="0"/>
    <s v="0621"/>
    <s v="0622"/>
    <n v="300"/>
    <m/>
    <n v="500"/>
    <n v="0.4"/>
    <n v="100"/>
    <s v="0621to0622"/>
    <s v="Coastal"/>
  </r>
  <r>
    <x v="0"/>
    <s v="0622"/>
    <s v="0623"/>
    <n v="390"/>
    <m/>
    <n v="495"/>
    <n v="0.21212121212121213"/>
    <n v="99"/>
    <s v="0622to0623"/>
    <s v="Coastal"/>
  </r>
  <r>
    <x v="0"/>
    <s v="0623"/>
    <s v="0624"/>
    <n v="65"/>
    <m/>
    <n v="265"/>
    <n v="0.75471698113207553"/>
    <n v="53"/>
    <s v="0623to0624"/>
    <s v="Coastal"/>
  </r>
  <r>
    <x v="1"/>
    <s v="0837"/>
    <s v="0838"/>
    <m/>
    <n v="145"/>
    <n v="500"/>
    <n v="0.28999999999999998"/>
    <n v="100"/>
    <s v="0837to0838"/>
    <s v="Coastal"/>
  </r>
  <r>
    <x v="1"/>
    <s v="0838"/>
    <s v="0839"/>
    <n v="265"/>
    <m/>
    <n v="525"/>
    <n v="0.49523809523809526"/>
    <n v="105"/>
    <s v="0838to0839"/>
    <s v="Coastal"/>
  </r>
  <r>
    <x v="1"/>
    <s v="0839"/>
    <s v="1137"/>
    <m/>
    <n v="75"/>
    <n v="505"/>
    <n v="0.14851485148514851"/>
    <n v="101"/>
    <s v="0839to1137"/>
    <s v="Coastal"/>
  </r>
  <r>
    <x v="1"/>
    <s v="1137"/>
    <s v="1138"/>
    <m/>
    <n v="15"/>
    <n v="535"/>
    <n v="2.8037383177570093E-2"/>
    <n v="107"/>
    <s v="1137to1138"/>
    <s v="Coastal"/>
  </r>
  <r>
    <x v="1"/>
    <s v="1138"/>
    <s v="1139"/>
    <m/>
    <n v="5"/>
    <n v="510"/>
    <n v="9.8039215686274508E-3"/>
    <n v="102"/>
    <s v="1138to1139"/>
    <s v="Coastal"/>
  </r>
  <r>
    <x v="1"/>
    <s v="1139"/>
    <s v="1140"/>
    <m/>
    <n v="0"/>
    <n v="520"/>
    <n v="0"/>
    <n v="104"/>
    <s v="1139to1140"/>
    <s v="Coastal"/>
  </r>
  <r>
    <x v="1"/>
    <s v="1140"/>
    <s v="1141"/>
    <m/>
    <n v="11"/>
    <n v="500"/>
    <n v="2.1999999999999999E-2"/>
    <n v="100"/>
    <s v="1140to1141"/>
    <s v="Coastal"/>
  </r>
  <r>
    <x v="1"/>
    <s v="1141"/>
    <s v="1142"/>
    <m/>
    <n v="20"/>
    <n v="505"/>
    <n v="3.9603960396039604E-2"/>
    <n v="101"/>
    <s v="1141to1142"/>
    <s v="Coastal"/>
  </r>
  <r>
    <x v="1"/>
    <s v="1142"/>
    <s v="1143"/>
    <m/>
    <n v="55"/>
    <n v="550"/>
    <n v="0.1"/>
    <n v="110"/>
    <s v="1142to1143"/>
    <s v="Coastal"/>
  </r>
  <r>
    <x v="1"/>
    <s v="1143"/>
    <s v="1144"/>
    <m/>
    <n v="0"/>
    <n v="510"/>
    <n v="0"/>
    <n v="102"/>
    <s v="1143to1144"/>
    <s v="Coastal"/>
  </r>
  <r>
    <x v="1"/>
    <s v="1144"/>
    <s v="1145"/>
    <m/>
    <n v="0"/>
    <n v="510"/>
    <n v="0"/>
    <n v="102"/>
    <s v="1144to1145"/>
    <s v="Coastal"/>
  </r>
  <r>
    <x v="1"/>
    <s v="1145"/>
    <s v="1146"/>
    <m/>
    <n v="0"/>
    <n v="530"/>
    <n v="0"/>
    <n v="106"/>
    <s v="1145to1146"/>
    <s v="Coastal"/>
  </r>
  <r>
    <x v="1"/>
    <s v="1146"/>
    <s v="1147"/>
    <m/>
    <n v="12"/>
    <n v="500"/>
    <n v="2.4E-2"/>
    <n v="100"/>
    <s v="1146to1147"/>
    <s v="Coastal"/>
  </r>
  <r>
    <x v="1"/>
    <s v="1147"/>
    <s v="1148"/>
    <m/>
    <n v="0"/>
    <n v="495"/>
    <n v="0"/>
    <n v="99"/>
    <s v="1147to1148"/>
    <s v="Coastal"/>
  </r>
  <r>
    <x v="1"/>
    <s v="1148"/>
    <s v="1149"/>
    <m/>
    <n v="0"/>
    <n v="500"/>
    <n v="0"/>
    <n v="100"/>
    <s v="1148to1149"/>
    <s v="Coastal"/>
  </r>
  <r>
    <x v="1"/>
    <s v="1149"/>
    <s v="1150"/>
    <m/>
    <n v="0"/>
    <n v="505"/>
    <n v="0"/>
    <n v="101"/>
    <s v="1149to1150"/>
    <s v="Coastal"/>
  </r>
  <r>
    <x v="1"/>
    <s v="1150"/>
    <s v="1151"/>
    <m/>
    <n v="0"/>
    <n v="500"/>
    <n v="0"/>
    <n v="100"/>
    <s v="1150to1151"/>
    <s v="Coastal"/>
  </r>
  <r>
    <x v="1"/>
    <s v="1151"/>
    <s v="1152"/>
    <m/>
    <n v="6"/>
    <n v="540"/>
    <n v="1.1111111111111112E-2"/>
    <n v="108"/>
    <s v="1151to1152"/>
    <s v="Coastal"/>
  </r>
  <r>
    <x v="1"/>
    <s v="1152"/>
    <s v="0837"/>
    <m/>
    <n v="0"/>
    <n v="525"/>
    <n v="0"/>
    <n v="105"/>
    <s v="1152to0837"/>
    <s v="Coastal"/>
  </r>
  <r>
    <x v="2"/>
    <s v="0945"/>
    <s v="0953"/>
    <m/>
    <n v="0"/>
    <m/>
    <n v="0"/>
    <n v="96"/>
    <s v="0945to0953"/>
    <s v="Coastal"/>
  </r>
  <r>
    <x v="2"/>
    <s v="0953"/>
    <s v="0946"/>
    <m/>
    <n v="0"/>
    <m/>
    <n v="0"/>
    <n v="100"/>
    <s v="0953to0946"/>
    <s v="Coastal"/>
  </r>
  <r>
    <x v="2"/>
    <s v="0945"/>
    <s v="0946"/>
    <m/>
    <n v="0"/>
    <m/>
    <n v="0"/>
    <n v="196"/>
    <s v="0945to0946"/>
    <s v="Coastal"/>
  </r>
  <r>
    <x v="2"/>
    <s v="0946"/>
    <s v="0947"/>
    <m/>
    <n v="0"/>
    <m/>
    <n v="0"/>
    <n v="106"/>
    <s v="0946to0947"/>
    <s v="Coastal"/>
  </r>
  <r>
    <x v="2"/>
    <s v="0947"/>
    <s v="0948"/>
    <m/>
    <n v="0"/>
    <m/>
    <n v="0"/>
    <n v="71"/>
    <s v="0947to0948"/>
    <s v="Coastal"/>
  </r>
  <r>
    <x v="2"/>
    <s v="0948"/>
    <s v="0949"/>
    <m/>
    <n v="0"/>
    <m/>
    <n v="0"/>
    <n v="118"/>
    <s v="0948to0949"/>
    <s v="Coastal"/>
  </r>
  <r>
    <x v="2"/>
    <s v="0949"/>
    <s v="0950"/>
    <m/>
    <n v="0"/>
    <m/>
    <n v="0"/>
    <n v="115"/>
    <s v="0949to0950"/>
    <s v="Coastal"/>
  </r>
  <r>
    <x v="2"/>
    <s v="0950"/>
    <s v="0945"/>
    <m/>
    <n v="0"/>
    <m/>
    <n v="0"/>
    <n v="126"/>
    <s v="0950to0945"/>
    <s v="Coastal"/>
  </r>
  <r>
    <x v="2"/>
    <s v="1718"/>
    <s v="0952"/>
    <m/>
    <n v="0"/>
    <m/>
    <n v="0"/>
    <n v="126"/>
    <s v="1718to0952_Sandbar"/>
    <s v="Sandbar"/>
  </r>
  <r>
    <x v="2"/>
    <s v="0952"/>
    <s v="1549"/>
    <m/>
    <n v="0"/>
    <m/>
    <n v="0"/>
    <n v="100"/>
    <s v="0952to1549_Sandbar"/>
    <s v="Sandbar"/>
  </r>
  <r>
    <x v="2"/>
    <s v="1549"/>
    <s v="1550"/>
    <m/>
    <n v="0"/>
    <m/>
    <n v="0"/>
    <n v="101"/>
    <s v="1549to1550_Sandbar"/>
    <s v="Sandbar"/>
  </r>
  <r>
    <x v="2"/>
    <s v="1550"/>
    <s v="1551"/>
    <m/>
    <n v="0"/>
    <m/>
    <n v="0"/>
    <n v="100"/>
    <s v="1550to1551_Sandbar"/>
    <s v="Sandbar"/>
  </r>
  <r>
    <x v="2"/>
    <s v="1551"/>
    <s v="0945"/>
    <m/>
    <n v="0"/>
    <m/>
    <n v="0"/>
    <n v="60"/>
    <s v="1551to0945_Sandbar"/>
    <s v="Sandbar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s v="0606"/>
    <s v="0607"/>
    <n v="80"/>
    <m/>
    <n v="505"/>
    <n v="0.84158415841584155"/>
    <n v="101"/>
    <s v="0606to0607"/>
    <s v="Coastal"/>
    <x v="0"/>
    <x v="0"/>
  </r>
  <r>
    <x v="0"/>
    <s v="0607"/>
    <s v="0608"/>
    <n v="200"/>
    <m/>
    <n v="500"/>
    <n v="0.6"/>
    <n v="100"/>
    <s v="0607to0608"/>
    <s v="Coastal"/>
    <x v="0"/>
    <x v="0"/>
  </r>
  <r>
    <x v="0"/>
    <s v="0624"/>
    <s v="0630"/>
    <n v="25"/>
    <m/>
    <n v="495"/>
    <n v="0.9494949494949495"/>
    <n v="99"/>
    <s v="0624to0630"/>
    <s v="Coastal"/>
    <x v="0"/>
    <x v="0"/>
  </r>
  <r>
    <x v="0"/>
    <s v="0630"/>
    <s v="0631"/>
    <n v="0"/>
    <m/>
    <n v="510"/>
    <n v="1"/>
    <n v="102"/>
    <s v="0630to0631"/>
    <s v="Coastal"/>
    <x v="0"/>
    <x v="0"/>
  </r>
  <r>
    <x v="0"/>
    <s v="0631"/>
    <s v="0632"/>
    <n v="17"/>
    <m/>
    <n v="515"/>
    <n v="0.96699029126213587"/>
    <n v="103"/>
    <s v="0631to0632"/>
    <s v="Coastal"/>
    <x v="1"/>
    <x v="1"/>
  </r>
  <r>
    <x v="0"/>
    <s v="0632"/>
    <s v="0633"/>
    <n v="24"/>
    <m/>
    <n v="505"/>
    <n v="0.95247524752475243"/>
    <n v="101"/>
    <s v="0632to0633"/>
    <s v="Coastal"/>
    <x v="1"/>
    <x v="1"/>
  </r>
  <r>
    <x v="0"/>
    <s v="0633"/>
    <s v="0634"/>
    <n v="7"/>
    <m/>
    <n v="500"/>
    <n v="0.98599999999999999"/>
    <n v="100"/>
    <s v="0633to0634"/>
    <s v="Coastal"/>
    <x v="1"/>
    <x v="1"/>
  </r>
  <r>
    <x v="0"/>
    <s v="0634"/>
    <s v="0635"/>
    <n v="102"/>
    <m/>
    <n v="505"/>
    <n v="0.79801980198019806"/>
    <n v="101"/>
    <s v="0634to0635"/>
    <s v="Coastal"/>
    <x v="1"/>
    <x v="1"/>
  </r>
  <r>
    <x v="0"/>
    <s v="0635"/>
    <s v="0636"/>
    <n v="154"/>
    <m/>
    <n v="500"/>
    <n v="0.69199999999999995"/>
    <n v="100"/>
    <s v="0635to0636"/>
    <s v="Coastal"/>
    <x v="1"/>
    <x v="1"/>
  </r>
  <r>
    <x v="0"/>
    <s v="0636"/>
    <s v="0637"/>
    <n v="182.5"/>
    <m/>
    <n v="500"/>
    <n v="0.63500000000000001"/>
    <n v="100"/>
    <s v="0636to0637"/>
    <s v="Coastal"/>
    <x v="1"/>
    <x v="1"/>
  </r>
  <r>
    <x v="0"/>
    <s v="0637"/>
    <s v="0638"/>
    <n v="20"/>
    <m/>
    <n v="500"/>
    <n v="0.96"/>
    <n v="100"/>
    <s v="0637to0638"/>
    <s v="Coastal"/>
    <x v="1"/>
    <x v="1"/>
  </r>
  <r>
    <x v="0"/>
    <s v="0638"/>
    <s v="0644"/>
    <n v="120"/>
    <m/>
    <n v="500"/>
    <n v="0.76"/>
    <n v="100"/>
    <s v="0638to0644"/>
    <s v="Coastal"/>
    <x v="1"/>
    <x v="1"/>
  </r>
  <r>
    <x v="0"/>
    <s v="0644"/>
    <s v="0645"/>
    <n v="72"/>
    <m/>
    <n v="500"/>
    <n v="0.85599999999999998"/>
    <n v="100"/>
    <s v="0644to0645"/>
    <s v="Coastal"/>
    <x v="1"/>
    <x v="1"/>
  </r>
  <r>
    <x v="0"/>
    <s v="0645"/>
    <s v="0646"/>
    <n v="23"/>
    <m/>
    <n v="495"/>
    <n v="0.95353535353535357"/>
    <n v="99"/>
    <s v="0645to0646"/>
    <s v="Coastal"/>
    <x v="1"/>
    <x v="1"/>
  </r>
  <r>
    <x v="0"/>
    <s v="0646"/>
    <s v="0647"/>
    <n v="105"/>
    <m/>
    <n v="490"/>
    <n v="0.7857142857142857"/>
    <n v="98"/>
    <s v="0646to0647"/>
    <s v="Coastal"/>
    <x v="1"/>
    <x v="1"/>
  </r>
  <r>
    <x v="0"/>
    <s v="0647"/>
    <s v="0648"/>
    <n v="140"/>
    <m/>
    <n v="505"/>
    <n v="0.72277227722772275"/>
    <n v="101"/>
    <s v="0647to0648"/>
    <s v="Coastal"/>
    <x v="1"/>
    <x v="1"/>
  </r>
  <r>
    <x v="0"/>
    <s v="0648"/>
    <s v="0686"/>
    <n v="235"/>
    <m/>
    <n v="520"/>
    <n v="0.54807692307692313"/>
    <n v="104"/>
    <s v="0648to0686"/>
    <s v="Coastal"/>
    <x v="1"/>
    <x v="2"/>
  </r>
  <r>
    <x v="0"/>
    <s v="0686"/>
    <s v="0687"/>
    <n v="385"/>
    <m/>
    <n v="500"/>
    <n v="0.23"/>
    <n v="100"/>
    <s v="0686to0687"/>
    <s v="Coastal"/>
    <x v="1"/>
    <x v="3"/>
  </r>
  <r>
    <x v="0"/>
    <s v="0687"/>
    <s v="0688"/>
    <n v="70"/>
    <m/>
    <n v="500"/>
    <n v="0.86"/>
    <n v="100"/>
    <s v="0687to0688"/>
    <s v="Coastal"/>
    <x v="1"/>
    <x v="1"/>
  </r>
  <r>
    <x v="0"/>
    <s v="0688"/>
    <s v="0689"/>
    <n v="295"/>
    <m/>
    <n v="520"/>
    <n v="0.43269230769230771"/>
    <n v="104"/>
    <s v="0688to0689"/>
    <s v="Coastal"/>
    <x v="1"/>
    <x v="1"/>
  </r>
  <r>
    <x v="0"/>
    <s v="0689"/>
    <s v="0690"/>
    <n v="350"/>
    <m/>
    <n v="510"/>
    <n v="0.31372549019607843"/>
    <n v="102"/>
    <s v="0689to0690"/>
    <s v="Coastal"/>
    <x v="1"/>
    <x v="1"/>
  </r>
  <r>
    <x v="0"/>
    <s v="0690"/>
    <s v="0691"/>
    <n v="25"/>
    <m/>
    <n v="500"/>
    <n v="0.95"/>
    <n v="100"/>
    <s v="0690to0691"/>
    <s v="Coastal"/>
    <x v="1"/>
    <x v="1"/>
  </r>
  <r>
    <x v="0"/>
    <s v="0691"/>
    <s v="0692"/>
    <n v="65"/>
    <m/>
    <n v="520"/>
    <n v="0.875"/>
    <n v="104"/>
    <s v="0691to0692"/>
    <s v="Coastal"/>
    <x v="1"/>
    <x v="1"/>
  </r>
  <r>
    <x v="0"/>
    <s v="0692"/>
    <s v="0693"/>
    <n v="95"/>
    <m/>
    <n v="515"/>
    <n v="0.81553398058252424"/>
    <n v="103"/>
    <s v="0692to0693"/>
    <s v="Coastal"/>
    <x v="2"/>
    <x v="1"/>
  </r>
  <r>
    <x v="0"/>
    <s v="0693"/>
    <s v="0694"/>
    <n v="65"/>
    <m/>
    <n v="505"/>
    <n v="0.87128712871287128"/>
    <n v="101"/>
    <s v="0693to0694"/>
    <s v="Coastal"/>
    <x v="2"/>
    <x v="1"/>
  </r>
  <r>
    <x v="0"/>
    <s v="0694"/>
    <s v="0695"/>
    <n v="95"/>
    <m/>
    <n v="500"/>
    <n v="0.81"/>
    <n v="100"/>
    <s v="0694to0695"/>
    <s v="Coastal"/>
    <x v="2"/>
    <x v="3"/>
  </r>
  <r>
    <x v="0"/>
    <s v="0695"/>
    <s v="0696"/>
    <n v="245"/>
    <m/>
    <n v="510"/>
    <n v="0.51960784313725494"/>
    <n v="102"/>
    <s v="0695to0696"/>
    <s v="Coastal"/>
    <x v="2"/>
    <x v="2"/>
  </r>
  <r>
    <x v="0"/>
    <s v="0696"/>
    <s v="0697"/>
    <n v="130"/>
    <m/>
    <n v="495"/>
    <n v="0.73737373737373735"/>
    <n v="99"/>
    <s v="0696to0697"/>
    <s v="Coastal"/>
    <x v="2"/>
    <x v="1"/>
  </r>
  <r>
    <x v="0"/>
    <s v="0697"/>
    <s v="0698"/>
    <n v="100"/>
    <m/>
    <n v="505"/>
    <n v="0.80198019801980203"/>
    <n v="101"/>
    <s v="0697to0698"/>
    <s v="Coastal"/>
    <x v="2"/>
    <x v="1"/>
  </r>
  <r>
    <x v="0"/>
    <s v="0698"/>
    <s v="0699"/>
    <n v="195"/>
    <m/>
    <n v="505"/>
    <n v="0.61386138613861385"/>
    <n v="101"/>
    <s v="0698to0699"/>
    <s v="Coastal"/>
    <x v="2"/>
    <x v="1"/>
  </r>
  <r>
    <x v="0"/>
    <s v="0699"/>
    <s v="0700"/>
    <n v="0"/>
    <m/>
    <n v="500"/>
    <n v="1"/>
    <n v="100"/>
    <s v="0699to0700"/>
    <s v="Coastal"/>
    <x v="2"/>
    <x v="1"/>
  </r>
  <r>
    <x v="0"/>
    <s v="0700"/>
    <s v="0701"/>
    <n v="30"/>
    <m/>
    <n v="495"/>
    <n v="0.93939393939393945"/>
    <n v="99"/>
    <s v="0700to0701"/>
    <s v="Coastal"/>
    <x v="2"/>
    <x v="1"/>
  </r>
  <r>
    <x v="0"/>
    <s v="0701"/>
    <s v="0702"/>
    <n v="25"/>
    <m/>
    <n v="495"/>
    <n v="0.9494949494949495"/>
    <n v="99"/>
    <s v="0701to0702"/>
    <s v="Coastal"/>
    <x v="2"/>
    <x v="1"/>
  </r>
  <r>
    <x v="0"/>
    <s v="0702"/>
    <s v="0606"/>
    <n v="85"/>
    <m/>
    <n v="360"/>
    <n v="0.76388888888888884"/>
    <n v="72"/>
    <s v="0702to0606"/>
    <s v="Coastal"/>
    <x v="2"/>
    <x v="1"/>
  </r>
  <r>
    <x v="1"/>
    <s v="0837"/>
    <s v="0838"/>
    <m/>
    <n v="145"/>
    <n v="500"/>
    <n v="0.28999999999999998"/>
    <n v="100"/>
    <s v="0837to0838"/>
    <s v="Coastal"/>
    <x v="1"/>
    <x v="1"/>
  </r>
  <r>
    <x v="1"/>
    <s v="0838"/>
    <s v="0839"/>
    <n v="265"/>
    <m/>
    <n v="525"/>
    <n v="0.49523809523809526"/>
    <n v="105"/>
    <s v="0838to0839"/>
    <s v="Coastal"/>
    <x v="1"/>
    <x v="1"/>
  </r>
  <r>
    <x v="1"/>
    <s v="0839"/>
    <s v="1137"/>
    <m/>
    <n v="75"/>
    <n v="505"/>
    <n v="0.14851485148514851"/>
    <n v="101"/>
    <s v="0839to1137"/>
    <s v="Coastal"/>
    <x v="1"/>
    <x v="1"/>
  </r>
  <r>
    <x v="2"/>
    <s v="0945"/>
    <s v="0953"/>
    <m/>
    <n v="0"/>
    <m/>
    <n v="0"/>
    <n v="96"/>
    <s v="0945to0953"/>
    <s v="Coastal"/>
    <x v="3"/>
    <x v="1"/>
  </r>
  <r>
    <x v="2"/>
    <s v="0946"/>
    <s v="0947"/>
    <m/>
    <n v="0"/>
    <m/>
    <n v="0"/>
    <n v="106"/>
    <s v="0946to0947"/>
    <s v="Coastal"/>
    <x v="3"/>
    <x v="2"/>
  </r>
  <r>
    <x v="2"/>
    <s v="0947"/>
    <s v="0948"/>
    <m/>
    <n v="0"/>
    <m/>
    <n v="0"/>
    <n v="71"/>
    <s v="0947to0948"/>
    <s v="Coastal"/>
    <x v="3"/>
    <x v="3"/>
  </r>
  <r>
    <x v="2"/>
    <s v="0948"/>
    <s v="0949"/>
    <m/>
    <n v="0"/>
    <m/>
    <n v="0"/>
    <n v="118"/>
    <s v="0948to0949"/>
    <s v="Coastal"/>
    <x v="4"/>
    <x v="1"/>
  </r>
  <r>
    <x v="2"/>
    <s v="0949"/>
    <s v="0950"/>
    <m/>
    <n v="0"/>
    <m/>
    <n v="0"/>
    <n v="115"/>
    <s v="0949to0950"/>
    <s v="Coastal"/>
    <x v="4"/>
    <x v="3"/>
  </r>
  <r>
    <x v="2"/>
    <s v="0950"/>
    <s v="0945"/>
    <m/>
    <n v="0"/>
    <m/>
    <n v="0"/>
    <n v="126"/>
    <s v="0950to0945"/>
    <s v="Coastal"/>
    <x v="4"/>
    <x v="2"/>
  </r>
  <r>
    <x v="1"/>
    <s v="1137"/>
    <s v="1138"/>
    <m/>
    <n v="15"/>
    <n v="535"/>
    <n v="2.8037383177570093E-2"/>
    <n v="107"/>
    <s v="1137to1138"/>
    <s v="Coastal"/>
    <x v="1"/>
    <x v="1"/>
  </r>
  <r>
    <x v="1"/>
    <s v="1138"/>
    <s v="1139"/>
    <m/>
    <n v="5"/>
    <n v="510"/>
    <n v="9.8039215686274508E-3"/>
    <n v="102"/>
    <s v="1138to1139"/>
    <s v="Coastal"/>
    <x v="1"/>
    <x v="3"/>
  </r>
  <r>
    <x v="1"/>
    <s v="1139"/>
    <s v="1140"/>
    <m/>
    <n v="0"/>
    <n v="520"/>
    <n v="0"/>
    <n v="104"/>
    <s v="1139to1140"/>
    <s v="Coastal"/>
    <x v="1"/>
    <x v="2"/>
  </r>
  <r>
    <x v="1"/>
    <s v="1140"/>
    <s v="1141"/>
    <m/>
    <n v="11"/>
    <n v="500"/>
    <n v="2.1999999999999999E-2"/>
    <n v="100"/>
    <s v="1140to1141"/>
    <s v="Coastal"/>
    <x v="1"/>
    <x v="1"/>
  </r>
  <r>
    <x v="1"/>
    <s v="1141"/>
    <s v="1142"/>
    <m/>
    <n v="20"/>
    <n v="505"/>
    <n v="3.9603960396039604E-2"/>
    <n v="101"/>
    <s v="1141to1142"/>
    <s v="Coastal"/>
    <x v="1"/>
    <x v="1"/>
  </r>
  <r>
    <x v="1"/>
    <s v="1142"/>
    <s v="1143"/>
    <m/>
    <n v="55"/>
    <n v="550"/>
    <n v="0.1"/>
    <n v="110"/>
    <s v="1142to1143"/>
    <s v="Coastal"/>
    <x v="1"/>
    <x v="1"/>
  </r>
  <r>
    <x v="1"/>
    <s v="1143"/>
    <s v="1144"/>
    <m/>
    <n v="0"/>
    <n v="510"/>
    <n v="0"/>
    <n v="102"/>
    <s v="1143to1144"/>
    <s v="Coastal"/>
    <x v="2"/>
    <x v="1"/>
  </r>
  <r>
    <x v="1"/>
    <s v="1144"/>
    <s v="1145"/>
    <m/>
    <n v="0"/>
    <n v="510"/>
    <n v="0"/>
    <n v="102"/>
    <s v="1144to1145"/>
    <s v="Coastal"/>
    <x v="2"/>
    <x v="1"/>
  </r>
  <r>
    <x v="1"/>
    <s v="1145"/>
    <s v="1146"/>
    <m/>
    <n v="0"/>
    <n v="530"/>
    <n v="0"/>
    <n v="106"/>
    <s v="1145to1146"/>
    <s v="Coastal"/>
    <x v="2"/>
    <x v="1"/>
  </r>
  <r>
    <x v="1"/>
    <s v="1146"/>
    <s v="1147"/>
    <m/>
    <n v="12"/>
    <n v="500"/>
    <n v="2.4E-2"/>
    <n v="100"/>
    <s v="1146to1147"/>
    <s v="Coastal"/>
    <x v="2"/>
    <x v="1"/>
  </r>
  <r>
    <x v="1"/>
    <s v="1147"/>
    <s v="1148"/>
    <m/>
    <n v="0"/>
    <n v="495"/>
    <n v="0"/>
    <n v="99"/>
    <s v="1147to1148"/>
    <s v="Coastal"/>
    <x v="2"/>
    <x v="1"/>
  </r>
  <r>
    <x v="1"/>
    <s v="1148"/>
    <s v="1149"/>
    <m/>
    <n v="0"/>
    <n v="500"/>
    <n v="0"/>
    <n v="100"/>
    <s v="1148to1149"/>
    <s v="Coastal"/>
    <x v="2"/>
    <x v="3"/>
  </r>
  <r>
    <x v="1"/>
    <s v="1149"/>
    <s v="1150"/>
    <m/>
    <n v="0"/>
    <n v="505"/>
    <n v="0"/>
    <n v="101"/>
    <s v="1149to1150"/>
    <s v="Coastal"/>
    <x v="2"/>
    <x v="2"/>
  </r>
  <r>
    <x v="1"/>
    <s v="1150"/>
    <s v="1151"/>
    <m/>
    <n v="0"/>
    <n v="500"/>
    <n v="0"/>
    <n v="100"/>
    <s v="1150to1151"/>
    <s v="Coastal"/>
    <x v="2"/>
    <x v="1"/>
  </r>
  <r>
    <x v="1"/>
    <s v="1151"/>
    <s v="1152"/>
    <m/>
    <n v="6"/>
    <n v="540"/>
    <n v="1.1111111111111112E-2"/>
    <n v="108"/>
    <s v="1151to1152"/>
    <s v="Coastal"/>
    <x v="2"/>
    <x v="1"/>
  </r>
  <r>
    <x v="1"/>
    <s v="1152"/>
    <s v="0837"/>
    <m/>
    <n v="0"/>
    <n v="525"/>
    <n v="0"/>
    <n v="105"/>
    <s v="1152to0837"/>
    <s v="Coastal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202416-A4E3-BF4B-A81F-848D9430A1DE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0"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ProportionCoconut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3E20FF-2154-6B44-98CA-3C2A049290E4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5" firstHeaderRow="1" firstDataRow="1" firstDataCol="1"/>
  <pivotFields count="12"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6">
        <item x="2"/>
        <item x="3"/>
        <item x="1"/>
        <item x="4"/>
        <item x="0"/>
        <item t="default"/>
      </items>
    </pivotField>
    <pivotField axis="axisRow" showAll="0">
      <items count="5">
        <item x="3"/>
        <item x="1"/>
        <item x="0"/>
        <item x="2"/>
        <item t="default"/>
      </items>
    </pivotField>
  </pivotFields>
  <rowFields count="3">
    <field x="0"/>
    <field x="10"/>
    <field x="11"/>
  </rowFields>
  <rowItems count="32">
    <i>
      <x/>
    </i>
    <i r="1">
      <x v="1"/>
    </i>
    <i r="2">
      <x/>
    </i>
    <i r="2">
      <x v="1"/>
    </i>
    <i r="2">
      <x v="3"/>
    </i>
    <i r="1">
      <x v="3"/>
    </i>
    <i r="2">
      <x/>
    </i>
    <i r="2">
      <x v="1"/>
    </i>
    <i r="2">
      <x v="3"/>
    </i>
    <i>
      <x v="1"/>
    </i>
    <i r="1">
      <x/>
    </i>
    <i r="2">
      <x/>
    </i>
    <i r="2">
      <x v="1"/>
    </i>
    <i r="2">
      <x v="3"/>
    </i>
    <i r="1">
      <x v="2"/>
    </i>
    <i r="2">
      <x/>
    </i>
    <i r="2">
      <x v="1"/>
    </i>
    <i r="2">
      <x v="3"/>
    </i>
    <i r="1">
      <x v="4"/>
    </i>
    <i r="2">
      <x v="2"/>
    </i>
    <i>
      <x v="2"/>
    </i>
    <i r="1">
      <x/>
    </i>
    <i r="2">
      <x/>
    </i>
    <i r="2">
      <x v="1"/>
    </i>
    <i r="2">
      <x v="3"/>
    </i>
    <i r="1">
      <x v="2"/>
    </i>
    <i r="2">
      <x/>
    </i>
    <i r="2">
      <x v="1"/>
    </i>
    <i r="2">
      <x v="3"/>
    </i>
    <i r="1">
      <x v="4"/>
    </i>
    <i r="2">
      <x v="2"/>
    </i>
    <i t="grand">
      <x/>
    </i>
  </rowItems>
  <colItems count="1">
    <i/>
  </colItems>
  <dataFields count="1">
    <dataField name="Average of ProportionCoconut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3571-7170-8144-A836-CE266E82C144}">
  <dimension ref="A1:J82"/>
  <sheetViews>
    <sheetView tabSelected="1" workbookViewId="0">
      <selection activeCell="A22" sqref="A1:XFD1048576"/>
    </sheetView>
  </sheetViews>
  <sheetFormatPr baseColWidth="10" defaultRowHeight="16" x14ac:dyDescent="0.2"/>
  <cols>
    <col min="2" max="3" width="10.83203125" style="1"/>
    <col min="7" max="7" width="16.6640625" style="6" customWidth="1"/>
  </cols>
  <sheetData>
    <row r="1" spans="1:10" s="6" customFormat="1" x14ac:dyDescent="0.2">
      <c r="A1" s="6" t="s">
        <v>0</v>
      </c>
      <c r="B1" s="7" t="s">
        <v>4</v>
      </c>
      <c r="C1" s="7" t="s">
        <v>5</v>
      </c>
      <c r="D1" s="6" t="s">
        <v>54</v>
      </c>
      <c r="E1" s="6" t="s">
        <v>62</v>
      </c>
      <c r="F1" s="6" t="s">
        <v>99</v>
      </c>
      <c r="G1" s="6" t="s">
        <v>6</v>
      </c>
      <c r="H1" s="8" t="s">
        <v>76</v>
      </c>
      <c r="I1" s="9" t="s">
        <v>77</v>
      </c>
      <c r="J1" s="8" t="s">
        <v>78</v>
      </c>
    </row>
    <row r="2" spans="1:10" x14ac:dyDescent="0.2">
      <c r="A2" t="s">
        <v>1</v>
      </c>
      <c r="B2" s="1" t="s">
        <v>2</v>
      </c>
      <c r="C2" s="1" t="s">
        <v>3</v>
      </c>
      <c r="D2">
        <v>25</v>
      </c>
      <c r="F2">
        <f t="shared" ref="F2:F33" si="0">H2*5</f>
        <v>495</v>
      </c>
      <c r="G2" s="6">
        <f>(F2-D2)/F2</f>
        <v>0.9494949494949495</v>
      </c>
      <c r="H2" s="2">
        <v>99</v>
      </c>
      <c r="I2" t="s">
        <v>100</v>
      </c>
      <c r="J2" s="2" t="s">
        <v>82</v>
      </c>
    </row>
    <row r="3" spans="1:10" x14ac:dyDescent="0.2">
      <c r="A3" t="s">
        <v>1</v>
      </c>
      <c r="B3" s="1" t="s">
        <v>3</v>
      </c>
      <c r="C3" s="1" t="s">
        <v>7</v>
      </c>
      <c r="D3">
        <v>0</v>
      </c>
      <c r="F3">
        <f t="shared" si="0"/>
        <v>510</v>
      </c>
      <c r="G3" s="6">
        <f t="shared" ref="G3:G49" si="1">(F3-D3)/F3</f>
        <v>1</v>
      </c>
      <c r="H3" s="2">
        <v>102</v>
      </c>
      <c r="I3" t="s">
        <v>101</v>
      </c>
      <c r="J3" s="2" t="s">
        <v>82</v>
      </c>
    </row>
    <row r="4" spans="1:10" x14ac:dyDescent="0.2">
      <c r="A4" t="s">
        <v>1</v>
      </c>
      <c r="B4" s="1" t="s">
        <v>7</v>
      </c>
      <c r="C4" s="1" t="s">
        <v>8</v>
      </c>
      <c r="D4">
        <v>17</v>
      </c>
      <c r="F4">
        <f t="shared" si="0"/>
        <v>515</v>
      </c>
      <c r="G4" s="6">
        <f t="shared" si="1"/>
        <v>0.96699029126213587</v>
      </c>
      <c r="H4" s="2">
        <v>103</v>
      </c>
      <c r="I4" t="s">
        <v>102</v>
      </c>
      <c r="J4" s="2" t="s">
        <v>82</v>
      </c>
    </row>
    <row r="5" spans="1:10" x14ac:dyDescent="0.2">
      <c r="A5" t="s">
        <v>1</v>
      </c>
      <c r="B5" s="1" t="s">
        <v>8</v>
      </c>
      <c r="C5" s="1" t="s">
        <v>9</v>
      </c>
      <c r="D5">
        <v>24</v>
      </c>
      <c r="F5">
        <f t="shared" si="0"/>
        <v>505</v>
      </c>
      <c r="G5" s="6">
        <f t="shared" si="1"/>
        <v>0.95247524752475243</v>
      </c>
      <c r="H5" s="2">
        <v>101</v>
      </c>
      <c r="I5" t="s">
        <v>103</v>
      </c>
      <c r="J5" s="2" t="s">
        <v>82</v>
      </c>
    </row>
    <row r="6" spans="1:10" x14ac:dyDescent="0.2">
      <c r="A6" t="s">
        <v>1</v>
      </c>
      <c r="B6" s="1" t="s">
        <v>9</v>
      </c>
      <c r="C6" s="1" t="s">
        <v>10</v>
      </c>
      <c r="D6">
        <v>7</v>
      </c>
      <c r="F6">
        <f t="shared" si="0"/>
        <v>500</v>
      </c>
      <c r="G6" s="6">
        <f t="shared" si="1"/>
        <v>0.98599999999999999</v>
      </c>
      <c r="H6" s="2">
        <v>100</v>
      </c>
      <c r="I6" t="s">
        <v>104</v>
      </c>
      <c r="J6" s="2" t="s">
        <v>82</v>
      </c>
    </row>
    <row r="7" spans="1:10" x14ac:dyDescent="0.2">
      <c r="A7" t="s">
        <v>1</v>
      </c>
      <c r="B7" s="1" t="s">
        <v>10</v>
      </c>
      <c r="C7" s="1" t="s">
        <v>11</v>
      </c>
      <c r="D7">
        <v>102</v>
      </c>
      <c r="F7">
        <f t="shared" si="0"/>
        <v>505</v>
      </c>
      <c r="G7" s="6">
        <f t="shared" si="1"/>
        <v>0.79801980198019806</v>
      </c>
      <c r="H7" s="2">
        <v>101</v>
      </c>
      <c r="I7" t="s">
        <v>105</v>
      </c>
      <c r="J7" s="2" t="s">
        <v>82</v>
      </c>
    </row>
    <row r="8" spans="1:10" x14ac:dyDescent="0.2">
      <c r="A8" t="s">
        <v>1</v>
      </c>
      <c r="B8" s="1" t="s">
        <v>11</v>
      </c>
      <c r="C8" s="1" t="s">
        <v>12</v>
      </c>
      <c r="D8">
        <f>36+25+59+34</f>
        <v>154</v>
      </c>
      <c r="F8">
        <f t="shared" si="0"/>
        <v>500</v>
      </c>
      <c r="G8" s="6">
        <f t="shared" si="1"/>
        <v>0.69199999999999995</v>
      </c>
      <c r="H8" s="2">
        <v>100</v>
      </c>
      <c r="I8" t="s">
        <v>106</v>
      </c>
      <c r="J8" s="2" t="s">
        <v>82</v>
      </c>
    </row>
    <row r="9" spans="1:10" x14ac:dyDescent="0.2">
      <c r="A9" t="s">
        <v>1</v>
      </c>
      <c r="B9" s="1" t="s">
        <v>12</v>
      </c>
      <c r="C9" s="1" t="s">
        <v>13</v>
      </c>
      <c r="D9">
        <f>(13.9*5)+25+(17.6*5)</f>
        <v>182.5</v>
      </c>
      <c r="F9">
        <f t="shared" si="0"/>
        <v>500</v>
      </c>
      <c r="G9" s="6">
        <f t="shared" si="1"/>
        <v>0.63500000000000001</v>
      </c>
      <c r="H9" s="2">
        <v>100</v>
      </c>
      <c r="I9" t="s">
        <v>107</v>
      </c>
      <c r="J9" s="2" t="s">
        <v>82</v>
      </c>
    </row>
    <row r="10" spans="1:10" x14ac:dyDescent="0.2">
      <c r="A10" t="s">
        <v>1</v>
      </c>
      <c r="B10" s="1" t="s">
        <v>13</v>
      </c>
      <c r="C10" s="1" t="s">
        <v>14</v>
      </c>
      <c r="D10">
        <v>20</v>
      </c>
      <c r="F10">
        <f t="shared" si="0"/>
        <v>500</v>
      </c>
      <c r="G10" s="6">
        <f t="shared" si="1"/>
        <v>0.96</v>
      </c>
      <c r="H10" s="2">
        <v>100</v>
      </c>
      <c r="I10" t="s">
        <v>108</v>
      </c>
      <c r="J10" s="2" t="s">
        <v>82</v>
      </c>
    </row>
    <row r="11" spans="1:10" x14ac:dyDescent="0.2">
      <c r="A11" t="s">
        <v>1</v>
      </c>
      <c r="B11" s="1" t="s">
        <v>14</v>
      </c>
      <c r="C11" s="1" t="s">
        <v>15</v>
      </c>
      <c r="D11">
        <f>(7+11+6)*5</f>
        <v>120</v>
      </c>
      <c r="F11">
        <f t="shared" si="0"/>
        <v>500</v>
      </c>
      <c r="G11" s="6">
        <f t="shared" si="1"/>
        <v>0.76</v>
      </c>
      <c r="H11" s="2">
        <v>100</v>
      </c>
      <c r="I11" t="s">
        <v>109</v>
      </c>
      <c r="J11" s="2" t="s">
        <v>82</v>
      </c>
    </row>
    <row r="12" spans="1:10" x14ac:dyDescent="0.2">
      <c r="A12" t="s">
        <v>1</v>
      </c>
      <c r="B12" s="1" t="s">
        <v>15</v>
      </c>
      <c r="C12" s="1" t="s">
        <v>16</v>
      </c>
      <c r="D12">
        <f>(9*5)+27</f>
        <v>72</v>
      </c>
      <c r="F12">
        <f t="shared" si="0"/>
        <v>500</v>
      </c>
      <c r="G12" s="6">
        <f t="shared" si="1"/>
        <v>0.85599999999999998</v>
      </c>
      <c r="H12" s="2">
        <v>100</v>
      </c>
      <c r="I12" t="s">
        <v>110</v>
      </c>
      <c r="J12" s="2" t="s">
        <v>82</v>
      </c>
    </row>
    <row r="13" spans="1:10" x14ac:dyDescent="0.2">
      <c r="A13" t="s">
        <v>1</v>
      </c>
      <c r="B13" s="1" t="s">
        <v>16</v>
      </c>
      <c r="C13" s="1" t="s">
        <v>17</v>
      </c>
      <c r="D13">
        <v>23</v>
      </c>
      <c r="F13">
        <f t="shared" si="0"/>
        <v>495</v>
      </c>
      <c r="G13" s="6">
        <f t="shared" si="1"/>
        <v>0.95353535353535357</v>
      </c>
      <c r="H13" s="2">
        <v>99</v>
      </c>
      <c r="I13" t="s">
        <v>111</v>
      </c>
      <c r="J13" s="2" t="s">
        <v>82</v>
      </c>
    </row>
    <row r="14" spans="1:10" x14ac:dyDescent="0.2">
      <c r="A14" t="s">
        <v>1</v>
      </c>
      <c r="B14" s="1" t="s">
        <v>17</v>
      </c>
      <c r="C14" s="1" t="s">
        <v>18</v>
      </c>
      <c r="D14">
        <f>21*5</f>
        <v>105</v>
      </c>
      <c r="F14">
        <f t="shared" si="0"/>
        <v>490</v>
      </c>
      <c r="G14" s="6">
        <f t="shared" si="1"/>
        <v>0.7857142857142857</v>
      </c>
      <c r="H14" s="2">
        <v>98</v>
      </c>
      <c r="I14" t="s">
        <v>112</v>
      </c>
      <c r="J14" s="2" t="s">
        <v>82</v>
      </c>
    </row>
    <row r="15" spans="1:10" x14ac:dyDescent="0.2">
      <c r="A15" t="s">
        <v>1</v>
      </c>
      <c r="B15" s="1" t="s">
        <v>18</v>
      </c>
      <c r="C15" s="1" t="s">
        <v>19</v>
      </c>
      <c r="D15">
        <f>28*5</f>
        <v>140</v>
      </c>
      <c r="F15">
        <f t="shared" si="0"/>
        <v>505</v>
      </c>
      <c r="G15" s="6">
        <f t="shared" si="1"/>
        <v>0.72277227722772275</v>
      </c>
      <c r="H15" s="2">
        <v>101</v>
      </c>
      <c r="I15" t="s">
        <v>113</v>
      </c>
      <c r="J15" s="2" t="s">
        <v>82</v>
      </c>
    </row>
    <row r="16" spans="1:10" x14ac:dyDescent="0.2">
      <c r="A16" t="s">
        <v>1</v>
      </c>
      <c r="B16" s="1" t="s">
        <v>19</v>
      </c>
      <c r="C16" s="1" t="s">
        <v>20</v>
      </c>
      <c r="D16">
        <f>47*5</f>
        <v>235</v>
      </c>
      <c r="F16">
        <f t="shared" si="0"/>
        <v>520</v>
      </c>
      <c r="G16" s="6">
        <f t="shared" si="1"/>
        <v>0.54807692307692313</v>
      </c>
      <c r="H16" s="2">
        <v>104</v>
      </c>
      <c r="I16" t="s">
        <v>114</v>
      </c>
      <c r="J16" s="2" t="s">
        <v>82</v>
      </c>
    </row>
    <row r="17" spans="1:10" x14ac:dyDescent="0.2">
      <c r="A17" t="s">
        <v>1</v>
      </c>
      <c r="B17" s="1" t="s">
        <v>20</v>
      </c>
      <c r="C17" s="1" t="s">
        <v>21</v>
      </c>
      <c r="D17">
        <f>77*5</f>
        <v>385</v>
      </c>
      <c r="F17">
        <f t="shared" si="0"/>
        <v>500</v>
      </c>
      <c r="G17" s="6">
        <f t="shared" si="1"/>
        <v>0.23</v>
      </c>
      <c r="H17" s="2">
        <v>100</v>
      </c>
      <c r="I17" t="s">
        <v>115</v>
      </c>
      <c r="J17" s="2" t="s">
        <v>82</v>
      </c>
    </row>
    <row r="18" spans="1:10" x14ac:dyDescent="0.2">
      <c r="A18" t="s">
        <v>1</v>
      </c>
      <c r="B18" s="1" t="s">
        <v>21</v>
      </c>
      <c r="C18" s="1" t="s">
        <v>22</v>
      </c>
      <c r="D18">
        <f>14*5</f>
        <v>70</v>
      </c>
      <c r="F18">
        <f t="shared" si="0"/>
        <v>500</v>
      </c>
      <c r="G18" s="6">
        <f t="shared" si="1"/>
        <v>0.86</v>
      </c>
      <c r="H18" s="2">
        <v>100</v>
      </c>
      <c r="I18" t="s">
        <v>116</v>
      </c>
      <c r="J18" s="2" t="s">
        <v>82</v>
      </c>
    </row>
    <row r="19" spans="1:10" x14ac:dyDescent="0.2">
      <c r="A19" t="s">
        <v>1</v>
      </c>
      <c r="B19" s="1" t="s">
        <v>22</v>
      </c>
      <c r="C19" s="1" t="s">
        <v>23</v>
      </c>
      <c r="D19">
        <f>59*5</f>
        <v>295</v>
      </c>
      <c r="F19">
        <f t="shared" si="0"/>
        <v>520</v>
      </c>
      <c r="G19" s="6">
        <f t="shared" si="1"/>
        <v>0.43269230769230771</v>
      </c>
      <c r="H19" s="2">
        <v>104</v>
      </c>
      <c r="I19" t="s">
        <v>117</v>
      </c>
      <c r="J19" s="2" t="s">
        <v>82</v>
      </c>
    </row>
    <row r="20" spans="1:10" x14ac:dyDescent="0.2">
      <c r="A20" t="s">
        <v>1</v>
      </c>
      <c r="B20" s="1" t="s">
        <v>23</v>
      </c>
      <c r="C20" s="1" t="s">
        <v>24</v>
      </c>
      <c r="D20">
        <f>70*5</f>
        <v>350</v>
      </c>
      <c r="F20">
        <f t="shared" si="0"/>
        <v>510</v>
      </c>
      <c r="G20" s="6">
        <f t="shared" si="1"/>
        <v>0.31372549019607843</v>
      </c>
      <c r="H20" s="2">
        <v>102</v>
      </c>
      <c r="I20" t="s">
        <v>118</v>
      </c>
      <c r="J20" s="2" t="s">
        <v>82</v>
      </c>
    </row>
    <row r="21" spans="1:10" x14ac:dyDescent="0.2">
      <c r="A21" t="s">
        <v>1</v>
      </c>
      <c r="B21" s="1" t="s">
        <v>24</v>
      </c>
      <c r="C21" s="1" t="s">
        <v>25</v>
      </c>
      <c r="D21">
        <v>25</v>
      </c>
      <c r="F21">
        <f t="shared" si="0"/>
        <v>500</v>
      </c>
      <c r="G21" s="6">
        <f t="shared" si="1"/>
        <v>0.95</v>
      </c>
      <c r="H21" s="2">
        <v>100</v>
      </c>
      <c r="I21" t="s">
        <v>119</v>
      </c>
      <c r="J21" s="2" t="s">
        <v>82</v>
      </c>
    </row>
    <row r="22" spans="1:10" x14ac:dyDescent="0.2">
      <c r="A22" t="s">
        <v>1</v>
      </c>
      <c r="B22" s="1" t="s">
        <v>25</v>
      </c>
      <c r="C22" s="1" t="s">
        <v>26</v>
      </c>
      <c r="D22">
        <f>13*5</f>
        <v>65</v>
      </c>
      <c r="F22">
        <f t="shared" si="0"/>
        <v>520</v>
      </c>
      <c r="G22" s="6">
        <f t="shared" si="1"/>
        <v>0.875</v>
      </c>
      <c r="H22" s="2">
        <v>104</v>
      </c>
      <c r="I22" t="s">
        <v>120</v>
      </c>
      <c r="J22" s="2" t="s">
        <v>82</v>
      </c>
    </row>
    <row r="23" spans="1:10" x14ac:dyDescent="0.2">
      <c r="A23" t="s">
        <v>1</v>
      </c>
      <c r="B23" s="1" t="s">
        <v>26</v>
      </c>
      <c r="C23" s="1" t="s">
        <v>27</v>
      </c>
      <c r="D23">
        <f>19*5</f>
        <v>95</v>
      </c>
      <c r="F23">
        <f t="shared" si="0"/>
        <v>515</v>
      </c>
      <c r="G23" s="6">
        <f t="shared" si="1"/>
        <v>0.81553398058252424</v>
      </c>
      <c r="H23" s="2">
        <v>103</v>
      </c>
      <c r="I23" t="s">
        <v>121</v>
      </c>
      <c r="J23" s="2" t="s">
        <v>82</v>
      </c>
    </row>
    <row r="24" spans="1:10" x14ac:dyDescent="0.2">
      <c r="A24" t="s">
        <v>1</v>
      </c>
      <c r="B24" s="1" t="s">
        <v>27</v>
      </c>
      <c r="C24" s="1" t="s">
        <v>28</v>
      </c>
      <c r="D24">
        <f>13*5</f>
        <v>65</v>
      </c>
      <c r="F24">
        <f t="shared" si="0"/>
        <v>505</v>
      </c>
      <c r="G24" s="6">
        <f t="shared" si="1"/>
        <v>0.87128712871287128</v>
      </c>
      <c r="H24" s="2">
        <v>101</v>
      </c>
      <c r="I24" t="s">
        <v>122</v>
      </c>
      <c r="J24" s="2" t="s">
        <v>82</v>
      </c>
    </row>
    <row r="25" spans="1:10" x14ac:dyDescent="0.2">
      <c r="A25" t="s">
        <v>1</v>
      </c>
      <c r="B25" s="1" t="s">
        <v>28</v>
      </c>
      <c r="C25" s="1" t="s">
        <v>29</v>
      </c>
      <c r="D25">
        <f>19*5</f>
        <v>95</v>
      </c>
      <c r="F25">
        <f t="shared" si="0"/>
        <v>500</v>
      </c>
      <c r="G25" s="6">
        <f t="shared" si="1"/>
        <v>0.81</v>
      </c>
      <c r="H25" s="2">
        <v>100</v>
      </c>
      <c r="I25" t="s">
        <v>123</v>
      </c>
      <c r="J25" s="2" t="s">
        <v>82</v>
      </c>
    </row>
    <row r="26" spans="1:10" x14ac:dyDescent="0.2">
      <c r="A26" t="s">
        <v>1</v>
      </c>
      <c r="B26" s="1" t="s">
        <v>29</v>
      </c>
      <c r="C26" s="1" t="s">
        <v>30</v>
      </c>
      <c r="D26">
        <f>(8+35+6)*5</f>
        <v>245</v>
      </c>
      <c r="F26">
        <f t="shared" si="0"/>
        <v>510</v>
      </c>
      <c r="G26" s="6">
        <f t="shared" si="1"/>
        <v>0.51960784313725494</v>
      </c>
      <c r="H26" s="2">
        <v>102</v>
      </c>
      <c r="I26" t="s">
        <v>124</v>
      </c>
      <c r="J26" s="2" t="s">
        <v>82</v>
      </c>
    </row>
    <row r="27" spans="1:10" x14ac:dyDescent="0.2">
      <c r="A27" t="s">
        <v>1</v>
      </c>
      <c r="B27" s="1" t="s">
        <v>30</v>
      </c>
      <c r="C27" s="1" t="s">
        <v>31</v>
      </c>
      <c r="D27">
        <f>26*5</f>
        <v>130</v>
      </c>
      <c r="F27">
        <f t="shared" si="0"/>
        <v>495</v>
      </c>
      <c r="G27" s="6">
        <f t="shared" si="1"/>
        <v>0.73737373737373735</v>
      </c>
      <c r="H27" s="2">
        <v>99</v>
      </c>
      <c r="I27" t="s">
        <v>125</v>
      </c>
      <c r="J27" s="2" t="s">
        <v>82</v>
      </c>
    </row>
    <row r="28" spans="1:10" x14ac:dyDescent="0.2">
      <c r="A28" t="s">
        <v>1</v>
      </c>
      <c r="B28" s="1" t="s">
        <v>31</v>
      </c>
      <c r="C28" s="1" t="s">
        <v>32</v>
      </c>
      <c r="D28">
        <f>20*5</f>
        <v>100</v>
      </c>
      <c r="F28">
        <f t="shared" si="0"/>
        <v>505</v>
      </c>
      <c r="G28" s="6">
        <f t="shared" si="1"/>
        <v>0.80198019801980203</v>
      </c>
      <c r="H28" s="2">
        <v>101</v>
      </c>
      <c r="I28" t="s">
        <v>126</v>
      </c>
      <c r="J28" s="2" t="s">
        <v>82</v>
      </c>
    </row>
    <row r="29" spans="1:10" x14ac:dyDescent="0.2">
      <c r="A29" t="s">
        <v>1</v>
      </c>
      <c r="B29" s="1" t="s">
        <v>32</v>
      </c>
      <c r="C29" s="1" t="s">
        <v>33</v>
      </c>
      <c r="D29">
        <f>(27+12)*5</f>
        <v>195</v>
      </c>
      <c r="F29">
        <f t="shared" si="0"/>
        <v>505</v>
      </c>
      <c r="G29" s="6">
        <f t="shared" si="1"/>
        <v>0.61386138613861385</v>
      </c>
      <c r="H29" s="2">
        <v>101</v>
      </c>
      <c r="I29" t="s">
        <v>127</v>
      </c>
      <c r="J29" s="2" t="s">
        <v>82</v>
      </c>
    </row>
    <row r="30" spans="1:10" x14ac:dyDescent="0.2">
      <c r="A30" t="s">
        <v>1</v>
      </c>
      <c r="B30" s="1" t="s">
        <v>33</v>
      </c>
      <c r="C30" s="1" t="s">
        <v>34</v>
      </c>
      <c r="D30">
        <v>0</v>
      </c>
      <c r="F30">
        <f t="shared" si="0"/>
        <v>500</v>
      </c>
      <c r="G30" s="6">
        <f t="shared" si="1"/>
        <v>1</v>
      </c>
      <c r="H30" s="2">
        <v>100</v>
      </c>
      <c r="I30" t="s">
        <v>128</v>
      </c>
      <c r="J30" s="2" t="s">
        <v>82</v>
      </c>
    </row>
    <row r="31" spans="1:10" x14ac:dyDescent="0.2">
      <c r="A31" t="s">
        <v>1</v>
      </c>
      <c r="B31" s="1" t="s">
        <v>34</v>
      </c>
      <c r="C31" s="1" t="s">
        <v>35</v>
      </c>
      <c r="D31">
        <f>6*5</f>
        <v>30</v>
      </c>
      <c r="F31">
        <f t="shared" si="0"/>
        <v>495</v>
      </c>
      <c r="G31" s="6">
        <f t="shared" si="1"/>
        <v>0.93939393939393945</v>
      </c>
      <c r="H31" s="2">
        <v>99</v>
      </c>
      <c r="I31" t="s">
        <v>129</v>
      </c>
      <c r="J31" s="2" t="s">
        <v>82</v>
      </c>
    </row>
    <row r="32" spans="1:10" x14ac:dyDescent="0.2">
      <c r="A32" t="s">
        <v>1</v>
      </c>
      <c r="B32" s="1" t="s">
        <v>35</v>
      </c>
      <c r="C32" s="1" t="s">
        <v>36</v>
      </c>
      <c r="D32">
        <f>5*5</f>
        <v>25</v>
      </c>
      <c r="F32">
        <f t="shared" si="0"/>
        <v>495</v>
      </c>
      <c r="G32" s="6">
        <f t="shared" si="1"/>
        <v>0.9494949494949495</v>
      </c>
      <c r="H32" s="2">
        <v>99</v>
      </c>
      <c r="I32" t="s">
        <v>130</v>
      </c>
      <c r="J32" s="2" t="s">
        <v>82</v>
      </c>
    </row>
    <row r="33" spans="1:10" x14ac:dyDescent="0.2">
      <c r="A33" t="s">
        <v>1</v>
      </c>
      <c r="B33" s="1" t="s">
        <v>36</v>
      </c>
      <c r="C33" s="1" t="s">
        <v>37</v>
      </c>
      <c r="D33">
        <f>(11+6)*5</f>
        <v>85</v>
      </c>
      <c r="F33">
        <f t="shared" si="0"/>
        <v>360</v>
      </c>
      <c r="G33" s="6">
        <f t="shared" si="1"/>
        <v>0.76388888888888884</v>
      </c>
      <c r="H33" s="2">
        <v>72</v>
      </c>
      <c r="I33" t="s">
        <v>131</v>
      </c>
      <c r="J33" s="2" t="s">
        <v>82</v>
      </c>
    </row>
    <row r="34" spans="1:10" x14ac:dyDescent="0.2">
      <c r="A34" t="s">
        <v>1</v>
      </c>
      <c r="B34" s="1" t="s">
        <v>37</v>
      </c>
      <c r="C34" s="1" t="s">
        <v>38</v>
      </c>
      <c r="D34">
        <f>16*5</f>
        <v>80</v>
      </c>
      <c r="F34">
        <f t="shared" ref="F34:F66" si="2">H34*5</f>
        <v>505</v>
      </c>
      <c r="G34" s="6">
        <f t="shared" si="1"/>
        <v>0.84158415841584155</v>
      </c>
      <c r="H34" s="2">
        <v>101</v>
      </c>
      <c r="I34" t="s">
        <v>132</v>
      </c>
      <c r="J34" s="2" t="s">
        <v>82</v>
      </c>
    </row>
    <row r="35" spans="1:10" x14ac:dyDescent="0.2">
      <c r="A35" t="s">
        <v>1</v>
      </c>
      <c r="B35" s="1" t="s">
        <v>38</v>
      </c>
      <c r="C35" s="1" t="s">
        <v>39</v>
      </c>
      <c r="D35">
        <f>(30+10)*5</f>
        <v>200</v>
      </c>
      <c r="F35">
        <f t="shared" si="2"/>
        <v>500</v>
      </c>
      <c r="G35" s="6">
        <f t="shared" si="1"/>
        <v>0.6</v>
      </c>
      <c r="H35" s="2">
        <v>100</v>
      </c>
      <c r="I35" t="s">
        <v>133</v>
      </c>
      <c r="J35" s="2" t="s">
        <v>82</v>
      </c>
    </row>
    <row r="36" spans="1:10" x14ac:dyDescent="0.2">
      <c r="A36" t="s">
        <v>1</v>
      </c>
      <c r="B36" s="1" t="s">
        <v>39</v>
      </c>
      <c r="C36" s="1" t="s">
        <v>40</v>
      </c>
      <c r="D36">
        <f>(7+22+9)*5</f>
        <v>190</v>
      </c>
      <c r="F36">
        <f t="shared" si="2"/>
        <v>515</v>
      </c>
      <c r="G36" s="6">
        <f t="shared" si="1"/>
        <v>0.6310679611650486</v>
      </c>
      <c r="H36" s="2">
        <v>103</v>
      </c>
      <c r="I36" t="s">
        <v>134</v>
      </c>
      <c r="J36" s="2" t="s">
        <v>82</v>
      </c>
    </row>
    <row r="37" spans="1:10" x14ac:dyDescent="0.2">
      <c r="A37" t="s">
        <v>1</v>
      </c>
      <c r="B37" s="1" t="s">
        <v>40</v>
      </c>
      <c r="C37" s="1" t="s">
        <v>41</v>
      </c>
      <c r="D37">
        <f>97*5</f>
        <v>485</v>
      </c>
      <c r="F37">
        <f t="shared" si="2"/>
        <v>535</v>
      </c>
      <c r="G37" s="6">
        <f t="shared" si="1"/>
        <v>9.3457943925233641E-2</v>
      </c>
      <c r="H37" s="2">
        <v>107</v>
      </c>
      <c r="I37" t="s">
        <v>135</v>
      </c>
      <c r="J37" s="2" t="s">
        <v>82</v>
      </c>
    </row>
    <row r="38" spans="1:10" x14ac:dyDescent="0.2">
      <c r="A38" t="s">
        <v>1</v>
      </c>
      <c r="B38" s="1" t="s">
        <v>41</v>
      </c>
      <c r="C38" s="1" t="s">
        <v>42</v>
      </c>
      <c r="D38">
        <f>37*5</f>
        <v>185</v>
      </c>
      <c r="F38">
        <f t="shared" si="2"/>
        <v>490</v>
      </c>
      <c r="G38" s="6">
        <f t="shared" si="1"/>
        <v>0.62244897959183676</v>
      </c>
      <c r="H38" s="2">
        <v>98</v>
      </c>
      <c r="I38" t="s">
        <v>136</v>
      </c>
      <c r="J38" s="2" t="s">
        <v>82</v>
      </c>
    </row>
    <row r="39" spans="1:10" x14ac:dyDescent="0.2">
      <c r="A39" t="s">
        <v>1</v>
      </c>
      <c r="B39" s="1" t="s">
        <v>42</v>
      </c>
      <c r="C39" s="1" t="s">
        <v>43</v>
      </c>
      <c r="D39">
        <f>(11+22)*5</f>
        <v>165</v>
      </c>
      <c r="F39">
        <f t="shared" si="2"/>
        <v>595</v>
      </c>
      <c r="G39" s="6">
        <f t="shared" si="1"/>
        <v>0.72268907563025209</v>
      </c>
      <c r="H39" s="2">
        <v>119</v>
      </c>
      <c r="I39" t="s">
        <v>137</v>
      </c>
      <c r="J39" s="2" t="s">
        <v>82</v>
      </c>
    </row>
    <row r="40" spans="1:10" x14ac:dyDescent="0.2">
      <c r="A40" t="s">
        <v>1</v>
      </c>
      <c r="B40" s="1" t="s">
        <v>43</v>
      </c>
      <c r="C40" s="1" t="s">
        <v>44</v>
      </c>
      <c r="D40">
        <f>8*5</f>
        <v>40</v>
      </c>
      <c r="F40">
        <f t="shared" si="2"/>
        <v>515</v>
      </c>
      <c r="G40" s="6">
        <f t="shared" si="1"/>
        <v>0.92233009708737868</v>
      </c>
      <c r="H40" s="2">
        <v>103</v>
      </c>
      <c r="I40" t="s">
        <v>138</v>
      </c>
      <c r="J40" s="2" t="s">
        <v>82</v>
      </c>
    </row>
    <row r="41" spans="1:10" x14ac:dyDescent="0.2">
      <c r="A41" t="s">
        <v>1</v>
      </c>
      <c r="B41" s="1" t="s">
        <v>44</v>
      </c>
      <c r="C41" s="1" t="s">
        <v>45</v>
      </c>
      <c r="D41">
        <f>33*5</f>
        <v>165</v>
      </c>
      <c r="F41">
        <f t="shared" si="2"/>
        <v>505</v>
      </c>
      <c r="G41" s="6">
        <f t="shared" si="1"/>
        <v>0.67326732673267331</v>
      </c>
      <c r="H41" s="2">
        <v>101</v>
      </c>
      <c r="I41" t="s">
        <v>139</v>
      </c>
      <c r="J41" s="2" t="s">
        <v>82</v>
      </c>
    </row>
    <row r="42" spans="1:10" x14ac:dyDescent="0.2">
      <c r="A42" t="s">
        <v>1</v>
      </c>
      <c r="B42" s="1" t="s">
        <v>45</v>
      </c>
      <c r="C42" s="1" t="s">
        <v>46</v>
      </c>
      <c r="D42">
        <f>49*5</f>
        <v>245</v>
      </c>
      <c r="F42">
        <f t="shared" si="2"/>
        <v>505</v>
      </c>
      <c r="G42" s="6">
        <f t="shared" si="1"/>
        <v>0.51485148514851486</v>
      </c>
      <c r="H42" s="2">
        <v>101</v>
      </c>
      <c r="I42" t="s">
        <v>140</v>
      </c>
      <c r="J42" s="2" t="s">
        <v>82</v>
      </c>
    </row>
    <row r="43" spans="1:10" x14ac:dyDescent="0.2">
      <c r="A43" t="s">
        <v>1</v>
      </c>
      <c r="B43" s="1" t="s">
        <v>46</v>
      </c>
      <c r="C43" s="1" t="s">
        <v>47</v>
      </c>
      <c r="D43">
        <f>51*5</f>
        <v>255</v>
      </c>
      <c r="F43">
        <f t="shared" si="2"/>
        <v>535</v>
      </c>
      <c r="G43" s="6">
        <f t="shared" si="1"/>
        <v>0.52336448598130836</v>
      </c>
      <c r="H43" s="2">
        <v>107</v>
      </c>
      <c r="I43" t="s">
        <v>141</v>
      </c>
      <c r="J43" s="2" t="s">
        <v>82</v>
      </c>
    </row>
    <row r="44" spans="1:10" x14ac:dyDescent="0.2">
      <c r="A44" t="s">
        <v>1</v>
      </c>
      <c r="B44" s="1" t="s">
        <v>47</v>
      </c>
      <c r="C44" s="1" t="s">
        <v>48</v>
      </c>
      <c r="D44">
        <f>79*5</f>
        <v>395</v>
      </c>
      <c r="F44">
        <f t="shared" si="2"/>
        <v>505</v>
      </c>
      <c r="G44" s="6">
        <f t="shared" si="1"/>
        <v>0.21782178217821782</v>
      </c>
      <c r="H44" s="2">
        <v>101</v>
      </c>
      <c r="I44" t="s">
        <v>142</v>
      </c>
      <c r="J44" s="2" t="s">
        <v>82</v>
      </c>
    </row>
    <row r="45" spans="1:10" x14ac:dyDescent="0.2">
      <c r="A45" t="s">
        <v>1</v>
      </c>
      <c r="B45" s="1" t="s">
        <v>48</v>
      </c>
      <c r="C45" s="1" t="s">
        <v>49</v>
      </c>
      <c r="D45">
        <f>27*5</f>
        <v>135</v>
      </c>
      <c r="F45">
        <f t="shared" si="2"/>
        <v>500</v>
      </c>
      <c r="G45" s="6">
        <f t="shared" si="1"/>
        <v>0.73</v>
      </c>
      <c r="H45" s="2">
        <v>100</v>
      </c>
      <c r="I45" t="s">
        <v>143</v>
      </c>
      <c r="J45" s="2" t="s">
        <v>82</v>
      </c>
    </row>
    <row r="46" spans="1:10" x14ac:dyDescent="0.2">
      <c r="A46" t="s">
        <v>1</v>
      </c>
      <c r="B46" s="1" t="s">
        <v>49</v>
      </c>
      <c r="C46" s="1" t="s">
        <v>50</v>
      </c>
      <c r="D46">
        <f>(17+3)*5</f>
        <v>100</v>
      </c>
      <c r="F46">
        <f t="shared" si="2"/>
        <v>500</v>
      </c>
      <c r="G46" s="6">
        <f t="shared" si="1"/>
        <v>0.8</v>
      </c>
      <c r="H46" s="2">
        <v>100</v>
      </c>
      <c r="I46" t="s">
        <v>144</v>
      </c>
      <c r="J46" s="2" t="s">
        <v>82</v>
      </c>
    </row>
    <row r="47" spans="1:10" x14ac:dyDescent="0.2">
      <c r="A47" t="s">
        <v>1</v>
      </c>
      <c r="B47" s="1" t="s">
        <v>50</v>
      </c>
      <c r="C47" s="1" t="s">
        <v>51</v>
      </c>
      <c r="D47">
        <f>(78+11)*5</f>
        <v>445</v>
      </c>
      <c r="F47">
        <f t="shared" si="2"/>
        <v>495</v>
      </c>
      <c r="G47" s="6">
        <f t="shared" si="1"/>
        <v>0.10101010101010101</v>
      </c>
      <c r="H47" s="2">
        <v>99</v>
      </c>
      <c r="I47" t="s">
        <v>145</v>
      </c>
      <c r="J47" s="2" t="s">
        <v>82</v>
      </c>
    </row>
    <row r="48" spans="1:10" x14ac:dyDescent="0.2">
      <c r="A48" t="s">
        <v>1</v>
      </c>
      <c r="B48" s="1" t="s">
        <v>51</v>
      </c>
      <c r="C48" s="1" t="s">
        <v>52</v>
      </c>
      <c r="D48">
        <f>60*5</f>
        <v>300</v>
      </c>
      <c r="F48">
        <f t="shared" si="2"/>
        <v>500</v>
      </c>
      <c r="G48" s="6">
        <f t="shared" si="1"/>
        <v>0.4</v>
      </c>
      <c r="H48" s="2">
        <v>100</v>
      </c>
      <c r="I48" t="s">
        <v>146</v>
      </c>
      <c r="J48" s="2" t="s">
        <v>82</v>
      </c>
    </row>
    <row r="49" spans="1:10" x14ac:dyDescent="0.2">
      <c r="A49" t="s">
        <v>1</v>
      </c>
      <c r="B49" s="1" t="s">
        <v>52</v>
      </c>
      <c r="C49" s="1" t="s">
        <v>53</v>
      </c>
      <c r="D49">
        <f>78*5</f>
        <v>390</v>
      </c>
      <c r="F49">
        <f t="shared" si="2"/>
        <v>495</v>
      </c>
      <c r="G49" s="6">
        <f t="shared" si="1"/>
        <v>0.21212121212121213</v>
      </c>
      <c r="H49" s="2">
        <v>99</v>
      </c>
      <c r="I49" t="s">
        <v>147</v>
      </c>
      <c r="J49" s="2" t="s">
        <v>82</v>
      </c>
    </row>
    <row r="50" spans="1:10" x14ac:dyDescent="0.2">
      <c r="A50" t="s">
        <v>1</v>
      </c>
      <c r="B50" s="1" t="s">
        <v>53</v>
      </c>
      <c r="C50" s="1" t="s">
        <v>2</v>
      </c>
      <c r="D50">
        <f>13*5</f>
        <v>65</v>
      </c>
      <c r="F50">
        <f t="shared" si="2"/>
        <v>265</v>
      </c>
      <c r="G50" s="6">
        <f>(F50-D50)/F50</f>
        <v>0.75471698113207553</v>
      </c>
      <c r="H50" s="2">
        <v>53</v>
      </c>
      <c r="I50" t="s">
        <v>148</v>
      </c>
      <c r="J50" s="2" t="s">
        <v>82</v>
      </c>
    </row>
    <row r="51" spans="1:10" x14ac:dyDescent="0.2">
      <c r="A51" t="s">
        <v>55</v>
      </c>
      <c r="B51" s="1" t="s">
        <v>56</v>
      </c>
      <c r="C51" s="1" t="s">
        <v>57</v>
      </c>
      <c r="E51">
        <f>110+(7*5)</f>
        <v>145</v>
      </c>
      <c r="F51">
        <f t="shared" si="2"/>
        <v>500</v>
      </c>
      <c r="G51" s="6">
        <f>E51/F51</f>
        <v>0.28999999999999998</v>
      </c>
      <c r="H51" s="2">
        <v>100</v>
      </c>
      <c r="I51" t="s">
        <v>149</v>
      </c>
      <c r="J51" s="2" t="s">
        <v>82</v>
      </c>
    </row>
    <row r="52" spans="1:10" x14ac:dyDescent="0.2">
      <c r="A52" t="s">
        <v>55</v>
      </c>
      <c r="B52" s="1" t="s">
        <v>57</v>
      </c>
      <c r="C52" s="1" t="s">
        <v>58</v>
      </c>
      <c r="D52">
        <f>53*5</f>
        <v>265</v>
      </c>
      <c r="F52">
        <f t="shared" si="2"/>
        <v>525</v>
      </c>
      <c r="G52" s="6">
        <f>(F52-D52)/F52</f>
        <v>0.49523809523809526</v>
      </c>
      <c r="H52" s="2">
        <v>105</v>
      </c>
      <c r="I52" t="s">
        <v>150</v>
      </c>
      <c r="J52" s="2" t="s">
        <v>82</v>
      </c>
    </row>
    <row r="53" spans="1:10" x14ac:dyDescent="0.2">
      <c r="A53" t="s">
        <v>55</v>
      </c>
      <c r="B53" s="1" t="s">
        <v>58</v>
      </c>
      <c r="C53" s="1" t="s">
        <v>59</v>
      </c>
      <c r="E53">
        <f>15*5</f>
        <v>75</v>
      </c>
      <c r="F53">
        <f t="shared" si="2"/>
        <v>505</v>
      </c>
      <c r="G53" s="6">
        <f>E53/F53</f>
        <v>0.14851485148514851</v>
      </c>
      <c r="H53" s="2">
        <v>101</v>
      </c>
      <c r="I53" t="s">
        <v>151</v>
      </c>
      <c r="J53" s="2" t="s">
        <v>82</v>
      </c>
    </row>
    <row r="54" spans="1:10" x14ac:dyDescent="0.2">
      <c r="A54" t="s">
        <v>55</v>
      </c>
      <c r="B54" s="1" t="s">
        <v>59</v>
      </c>
      <c r="C54" s="1" t="s">
        <v>60</v>
      </c>
      <c r="E54">
        <f>6+9</f>
        <v>15</v>
      </c>
      <c r="F54">
        <f t="shared" si="2"/>
        <v>535</v>
      </c>
      <c r="G54" s="6">
        <f>E54/F54</f>
        <v>2.8037383177570093E-2</v>
      </c>
      <c r="H54" s="2">
        <v>107</v>
      </c>
      <c r="I54" t="s">
        <v>152</v>
      </c>
      <c r="J54" s="2" t="s">
        <v>82</v>
      </c>
    </row>
    <row r="55" spans="1:10" x14ac:dyDescent="0.2">
      <c r="A55" t="s">
        <v>55</v>
      </c>
      <c r="B55" s="1" t="s">
        <v>60</v>
      </c>
      <c r="C55" s="1" t="s">
        <v>61</v>
      </c>
      <c r="E55">
        <v>5</v>
      </c>
      <c r="F55">
        <f t="shared" si="2"/>
        <v>510</v>
      </c>
      <c r="G55" s="6">
        <f>E55/F55</f>
        <v>9.8039215686274508E-3</v>
      </c>
      <c r="H55" s="2">
        <v>102</v>
      </c>
      <c r="I55" t="s">
        <v>153</v>
      </c>
      <c r="J55" s="2" t="s">
        <v>82</v>
      </c>
    </row>
    <row r="56" spans="1:10" x14ac:dyDescent="0.2">
      <c r="A56" t="s">
        <v>55</v>
      </c>
      <c r="B56" s="1" t="s">
        <v>61</v>
      </c>
      <c r="C56" s="1" t="s">
        <v>63</v>
      </c>
      <c r="E56">
        <v>0</v>
      </c>
      <c r="F56">
        <f t="shared" si="2"/>
        <v>520</v>
      </c>
      <c r="G56" s="6">
        <f>E56/F56</f>
        <v>0</v>
      </c>
      <c r="H56" s="2">
        <v>104</v>
      </c>
      <c r="I56" t="s">
        <v>154</v>
      </c>
      <c r="J56" s="2" t="s">
        <v>82</v>
      </c>
    </row>
    <row r="57" spans="1:10" x14ac:dyDescent="0.2">
      <c r="A57" t="s">
        <v>55</v>
      </c>
      <c r="B57" s="1" t="s">
        <v>63</v>
      </c>
      <c r="C57" s="1" t="s">
        <v>64</v>
      </c>
      <c r="E57">
        <v>11</v>
      </c>
      <c r="F57">
        <f t="shared" si="2"/>
        <v>500</v>
      </c>
      <c r="G57" s="6">
        <f t="shared" ref="G57:G69" si="3">E57/F57</f>
        <v>2.1999999999999999E-2</v>
      </c>
      <c r="H57" s="2">
        <v>100</v>
      </c>
      <c r="I57" t="s">
        <v>155</v>
      </c>
      <c r="J57" s="2" t="s">
        <v>82</v>
      </c>
    </row>
    <row r="58" spans="1:10" x14ac:dyDescent="0.2">
      <c r="A58" t="s">
        <v>55</v>
      </c>
      <c r="B58" s="1" t="s">
        <v>64</v>
      </c>
      <c r="C58" s="1" t="s">
        <v>65</v>
      </c>
      <c r="E58">
        <f>4*5</f>
        <v>20</v>
      </c>
      <c r="F58">
        <f t="shared" si="2"/>
        <v>505</v>
      </c>
      <c r="G58" s="6">
        <f t="shared" si="3"/>
        <v>3.9603960396039604E-2</v>
      </c>
      <c r="H58" s="2">
        <v>101</v>
      </c>
      <c r="I58" t="s">
        <v>156</v>
      </c>
      <c r="J58" s="2" t="s">
        <v>82</v>
      </c>
    </row>
    <row r="59" spans="1:10" x14ac:dyDescent="0.2">
      <c r="A59" t="s">
        <v>55</v>
      </c>
      <c r="B59" s="1" t="s">
        <v>65</v>
      </c>
      <c r="C59" s="1" t="s">
        <v>66</v>
      </c>
      <c r="E59">
        <f>11*5</f>
        <v>55</v>
      </c>
      <c r="F59">
        <f t="shared" si="2"/>
        <v>550</v>
      </c>
      <c r="G59" s="6">
        <f t="shared" si="3"/>
        <v>0.1</v>
      </c>
      <c r="H59" s="2">
        <v>110</v>
      </c>
      <c r="I59" t="s">
        <v>157</v>
      </c>
      <c r="J59" s="2" t="s">
        <v>82</v>
      </c>
    </row>
    <row r="60" spans="1:10" x14ac:dyDescent="0.2">
      <c r="A60" t="s">
        <v>55</v>
      </c>
      <c r="B60" s="1" t="s">
        <v>66</v>
      </c>
      <c r="C60" s="1" t="s">
        <v>67</v>
      </c>
      <c r="E60">
        <v>0</v>
      </c>
      <c r="F60">
        <f t="shared" si="2"/>
        <v>510</v>
      </c>
      <c r="G60" s="6">
        <f t="shared" si="3"/>
        <v>0</v>
      </c>
      <c r="H60" s="2">
        <v>102</v>
      </c>
      <c r="I60" t="s">
        <v>158</v>
      </c>
      <c r="J60" s="2" t="s">
        <v>82</v>
      </c>
    </row>
    <row r="61" spans="1:10" x14ac:dyDescent="0.2">
      <c r="A61" t="s">
        <v>55</v>
      </c>
      <c r="B61" s="1" t="s">
        <v>67</v>
      </c>
      <c r="C61" s="1" t="s">
        <v>68</v>
      </c>
      <c r="E61">
        <v>0</v>
      </c>
      <c r="F61">
        <f t="shared" si="2"/>
        <v>510</v>
      </c>
      <c r="G61" s="6">
        <f t="shared" si="3"/>
        <v>0</v>
      </c>
      <c r="H61" s="2">
        <v>102</v>
      </c>
      <c r="I61" t="s">
        <v>159</v>
      </c>
      <c r="J61" s="2" t="s">
        <v>82</v>
      </c>
    </row>
    <row r="62" spans="1:10" x14ac:dyDescent="0.2">
      <c r="A62" t="s">
        <v>55</v>
      </c>
      <c r="B62" s="1" t="s">
        <v>68</v>
      </c>
      <c r="C62" s="1" t="s">
        <v>69</v>
      </c>
      <c r="E62">
        <v>0</v>
      </c>
      <c r="F62">
        <f t="shared" si="2"/>
        <v>530</v>
      </c>
      <c r="G62" s="6">
        <f t="shared" si="3"/>
        <v>0</v>
      </c>
      <c r="H62" s="2">
        <v>106</v>
      </c>
      <c r="I62" t="s">
        <v>160</v>
      </c>
      <c r="J62" s="2" t="s">
        <v>82</v>
      </c>
    </row>
    <row r="63" spans="1:10" x14ac:dyDescent="0.2">
      <c r="A63" t="s">
        <v>55</v>
      </c>
      <c r="B63" s="1" t="s">
        <v>69</v>
      </c>
      <c r="C63" s="1" t="s">
        <v>70</v>
      </c>
      <c r="E63">
        <v>12</v>
      </c>
      <c r="F63">
        <f t="shared" si="2"/>
        <v>500</v>
      </c>
      <c r="G63" s="6">
        <f t="shared" si="3"/>
        <v>2.4E-2</v>
      </c>
      <c r="H63" s="2">
        <v>100</v>
      </c>
      <c r="I63" t="s">
        <v>161</v>
      </c>
      <c r="J63" s="2" t="s">
        <v>82</v>
      </c>
    </row>
    <row r="64" spans="1:10" x14ac:dyDescent="0.2">
      <c r="A64" t="s">
        <v>55</v>
      </c>
      <c r="B64" s="1" t="s">
        <v>70</v>
      </c>
      <c r="C64" s="1" t="s">
        <v>71</v>
      </c>
      <c r="E64">
        <v>0</v>
      </c>
      <c r="F64">
        <f t="shared" si="2"/>
        <v>495</v>
      </c>
      <c r="G64" s="6">
        <f t="shared" si="3"/>
        <v>0</v>
      </c>
      <c r="H64" s="2">
        <v>99</v>
      </c>
      <c r="I64" t="s">
        <v>162</v>
      </c>
      <c r="J64" s="2" t="s">
        <v>82</v>
      </c>
    </row>
    <row r="65" spans="1:10" x14ac:dyDescent="0.2">
      <c r="A65" t="s">
        <v>55</v>
      </c>
      <c r="B65" s="1" t="s">
        <v>71</v>
      </c>
      <c r="C65" s="1" t="s">
        <v>72</v>
      </c>
      <c r="E65">
        <v>0</v>
      </c>
      <c r="F65">
        <f t="shared" si="2"/>
        <v>500</v>
      </c>
      <c r="G65" s="6">
        <f t="shared" si="3"/>
        <v>0</v>
      </c>
      <c r="H65" s="2">
        <v>100</v>
      </c>
      <c r="I65" t="s">
        <v>163</v>
      </c>
      <c r="J65" s="2" t="s">
        <v>82</v>
      </c>
    </row>
    <row r="66" spans="1:10" x14ac:dyDescent="0.2">
      <c r="A66" t="s">
        <v>55</v>
      </c>
      <c r="B66" s="1" t="s">
        <v>72</v>
      </c>
      <c r="C66" s="1" t="s">
        <v>73</v>
      </c>
      <c r="E66">
        <v>0</v>
      </c>
      <c r="F66">
        <f t="shared" si="2"/>
        <v>505</v>
      </c>
      <c r="G66" s="6">
        <f t="shared" si="3"/>
        <v>0</v>
      </c>
      <c r="H66" s="2">
        <v>101</v>
      </c>
      <c r="I66" t="s">
        <v>164</v>
      </c>
      <c r="J66" s="2" t="s">
        <v>82</v>
      </c>
    </row>
    <row r="67" spans="1:10" x14ac:dyDescent="0.2">
      <c r="A67" t="s">
        <v>55</v>
      </c>
      <c r="B67" s="1" t="s">
        <v>73</v>
      </c>
      <c r="C67" s="1" t="s">
        <v>74</v>
      </c>
      <c r="E67">
        <v>0</v>
      </c>
      <c r="F67">
        <f t="shared" ref="F67:F69" si="4">H67*5</f>
        <v>500</v>
      </c>
      <c r="G67" s="6">
        <f t="shared" si="3"/>
        <v>0</v>
      </c>
      <c r="H67" s="2">
        <v>100</v>
      </c>
      <c r="I67" t="s">
        <v>165</v>
      </c>
      <c r="J67" s="2" t="s">
        <v>82</v>
      </c>
    </row>
    <row r="68" spans="1:10" x14ac:dyDescent="0.2">
      <c r="A68" t="s">
        <v>55</v>
      </c>
      <c r="B68" s="1" t="s">
        <v>74</v>
      </c>
      <c r="C68" s="1" t="s">
        <v>75</v>
      </c>
      <c r="E68">
        <v>6</v>
      </c>
      <c r="F68">
        <f t="shared" si="4"/>
        <v>540</v>
      </c>
      <c r="G68" s="6">
        <f t="shared" si="3"/>
        <v>1.1111111111111112E-2</v>
      </c>
      <c r="H68" s="2">
        <v>108</v>
      </c>
      <c r="I68" t="s">
        <v>166</v>
      </c>
      <c r="J68" s="2" t="s">
        <v>82</v>
      </c>
    </row>
    <row r="69" spans="1:10" x14ac:dyDescent="0.2">
      <c r="A69" t="s">
        <v>55</v>
      </c>
      <c r="B69" s="1" t="s">
        <v>75</v>
      </c>
      <c r="C69" s="1" t="s">
        <v>56</v>
      </c>
      <c r="E69">
        <v>0</v>
      </c>
      <c r="F69">
        <f t="shared" si="4"/>
        <v>525</v>
      </c>
      <c r="G69" s="6">
        <f t="shared" si="3"/>
        <v>0</v>
      </c>
      <c r="H69" s="2">
        <v>105</v>
      </c>
      <c r="I69" t="s">
        <v>167</v>
      </c>
      <c r="J69" s="2" t="s">
        <v>82</v>
      </c>
    </row>
    <row r="70" spans="1:10" x14ac:dyDescent="0.2">
      <c r="A70" s="2" t="s">
        <v>79</v>
      </c>
      <c r="B70" s="3" t="s">
        <v>80</v>
      </c>
      <c r="C70" s="3" t="s">
        <v>81</v>
      </c>
      <c r="E70">
        <v>0</v>
      </c>
      <c r="G70" s="6">
        <v>0</v>
      </c>
      <c r="H70" s="2">
        <v>96</v>
      </c>
      <c r="I70" t="s">
        <v>168</v>
      </c>
      <c r="J70" s="2" t="s">
        <v>82</v>
      </c>
    </row>
    <row r="71" spans="1:10" x14ac:dyDescent="0.2">
      <c r="A71" s="2" t="s">
        <v>79</v>
      </c>
      <c r="B71" s="3" t="s">
        <v>81</v>
      </c>
      <c r="C71" s="3" t="s">
        <v>83</v>
      </c>
      <c r="E71">
        <v>0</v>
      </c>
      <c r="G71" s="6">
        <v>0</v>
      </c>
      <c r="H71" s="2">
        <v>100</v>
      </c>
      <c r="I71" t="s">
        <v>169</v>
      </c>
      <c r="J71" s="2" t="s">
        <v>82</v>
      </c>
    </row>
    <row r="72" spans="1:10" x14ac:dyDescent="0.2">
      <c r="A72" s="2" t="s">
        <v>79</v>
      </c>
      <c r="B72" s="5" t="s">
        <v>80</v>
      </c>
      <c r="C72" s="5" t="s">
        <v>83</v>
      </c>
      <c r="E72">
        <v>0</v>
      </c>
      <c r="G72" s="6">
        <v>0</v>
      </c>
      <c r="H72" s="4">
        <v>196</v>
      </c>
      <c r="I72" s="4" t="s">
        <v>170</v>
      </c>
      <c r="J72" s="4" t="s">
        <v>82</v>
      </c>
    </row>
    <row r="73" spans="1:10" x14ac:dyDescent="0.2">
      <c r="A73" s="2" t="s">
        <v>79</v>
      </c>
      <c r="B73" s="3" t="s">
        <v>83</v>
      </c>
      <c r="C73" s="3" t="s">
        <v>84</v>
      </c>
      <c r="E73">
        <v>0</v>
      </c>
      <c r="G73" s="6">
        <v>0</v>
      </c>
      <c r="H73" s="2">
        <v>106</v>
      </c>
      <c r="I73" t="s">
        <v>171</v>
      </c>
      <c r="J73" s="2" t="s">
        <v>82</v>
      </c>
    </row>
    <row r="74" spans="1:10" x14ac:dyDescent="0.2">
      <c r="A74" s="2" t="s">
        <v>79</v>
      </c>
      <c r="B74" s="3" t="s">
        <v>84</v>
      </c>
      <c r="C74" s="3" t="s">
        <v>85</v>
      </c>
      <c r="E74">
        <v>0</v>
      </c>
      <c r="G74" s="6">
        <v>0</v>
      </c>
      <c r="H74" s="2">
        <v>71</v>
      </c>
      <c r="I74" t="s">
        <v>172</v>
      </c>
      <c r="J74" s="2" t="s">
        <v>82</v>
      </c>
    </row>
    <row r="75" spans="1:10" x14ac:dyDescent="0.2">
      <c r="A75" s="2" t="s">
        <v>79</v>
      </c>
      <c r="B75" s="3" t="s">
        <v>85</v>
      </c>
      <c r="C75" s="3" t="s">
        <v>86</v>
      </c>
      <c r="E75">
        <v>0</v>
      </c>
      <c r="G75" s="6">
        <v>0</v>
      </c>
      <c r="H75" s="2">
        <v>118</v>
      </c>
      <c r="I75" t="s">
        <v>173</v>
      </c>
      <c r="J75" s="2" t="s">
        <v>82</v>
      </c>
    </row>
    <row r="76" spans="1:10" x14ac:dyDescent="0.2">
      <c r="A76" s="2" t="s">
        <v>79</v>
      </c>
      <c r="B76" s="3" t="s">
        <v>86</v>
      </c>
      <c r="C76" s="3" t="s">
        <v>87</v>
      </c>
      <c r="E76">
        <v>0</v>
      </c>
      <c r="G76" s="6">
        <v>0</v>
      </c>
      <c r="H76" s="2">
        <v>115</v>
      </c>
      <c r="I76" t="s">
        <v>174</v>
      </c>
      <c r="J76" s="2" t="s">
        <v>82</v>
      </c>
    </row>
    <row r="77" spans="1:10" x14ac:dyDescent="0.2">
      <c r="A77" s="2" t="s">
        <v>79</v>
      </c>
      <c r="B77" s="3" t="s">
        <v>87</v>
      </c>
      <c r="C77" s="3" t="s">
        <v>80</v>
      </c>
      <c r="E77">
        <v>0</v>
      </c>
      <c r="G77" s="6">
        <v>0</v>
      </c>
      <c r="H77" s="2">
        <v>126</v>
      </c>
      <c r="I77" t="s">
        <v>175</v>
      </c>
      <c r="J77" s="2" t="s">
        <v>82</v>
      </c>
    </row>
    <row r="78" spans="1:10" x14ac:dyDescent="0.2">
      <c r="A78" s="2" t="s">
        <v>79</v>
      </c>
      <c r="B78" s="3" t="s">
        <v>88</v>
      </c>
      <c r="C78" s="3" t="s">
        <v>89</v>
      </c>
      <c r="E78">
        <v>0</v>
      </c>
      <c r="G78" s="6">
        <v>0</v>
      </c>
      <c r="H78" s="2">
        <v>126</v>
      </c>
      <c r="I78" t="s">
        <v>90</v>
      </c>
      <c r="J78" s="2" t="s">
        <v>91</v>
      </c>
    </row>
    <row r="79" spans="1:10" x14ac:dyDescent="0.2">
      <c r="A79" s="2" t="s">
        <v>79</v>
      </c>
      <c r="B79" s="3" t="s">
        <v>89</v>
      </c>
      <c r="C79" s="3" t="s">
        <v>92</v>
      </c>
      <c r="E79">
        <v>0</v>
      </c>
      <c r="G79" s="6">
        <v>0</v>
      </c>
      <c r="H79" s="2">
        <v>100</v>
      </c>
      <c r="I79" t="s">
        <v>93</v>
      </c>
      <c r="J79" s="2" t="s">
        <v>91</v>
      </c>
    </row>
    <row r="80" spans="1:10" x14ac:dyDescent="0.2">
      <c r="A80" s="2" t="s">
        <v>79</v>
      </c>
      <c r="B80" s="3" t="s">
        <v>92</v>
      </c>
      <c r="C80" s="3" t="s">
        <v>94</v>
      </c>
      <c r="E80">
        <v>0</v>
      </c>
      <c r="G80" s="6">
        <v>0</v>
      </c>
      <c r="H80" s="2">
        <v>101</v>
      </c>
      <c r="I80" t="s">
        <v>95</v>
      </c>
      <c r="J80" s="2" t="s">
        <v>91</v>
      </c>
    </row>
    <row r="81" spans="1:10" x14ac:dyDescent="0.2">
      <c r="A81" s="2" t="s">
        <v>79</v>
      </c>
      <c r="B81" s="3" t="s">
        <v>94</v>
      </c>
      <c r="C81" s="3" t="s">
        <v>96</v>
      </c>
      <c r="E81">
        <v>0</v>
      </c>
      <c r="G81" s="6">
        <v>0</v>
      </c>
      <c r="H81" s="2">
        <v>100</v>
      </c>
      <c r="I81" t="s">
        <v>97</v>
      </c>
      <c r="J81" s="2" t="s">
        <v>91</v>
      </c>
    </row>
    <row r="82" spans="1:10" x14ac:dyDescent="0.2">
      <c r="A82" s="2" t="s">
        <v>79</v>
      </c>
      <c r="B82" s="3" t="s">
        <v>96</v>
      </c>
      <c r="C82" s="3" t="s">
        <v>80</v>
      </c>
      <c r="E82">
        <v>0</v>
      </c>
      <c r="G82" s="6">
        <v>0</v>
      </c>
      <c r="H82" s="2">
        <v>60</v>
      </c>
      <c r="I82" t="s">
        <v>98</v>
      </c>
      <c r="J82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183C-A365-9541-B03E-D606B6FBFE55}">
  <dimension ref="A3:B7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26.1640625" bestFit="1" customWidth="1"/>
  </cols>
  <sheetData>
    <row r="3" spans="1:2" x14ac:dyDescent="0.2">
      <c r="A3" s="10" t="s">
        <v>176</v>
      </c>
      <c r="B3" t="s">
        <v>178</v>
      </c>
    </row>
    <row r="4" spans="1:2" x14ac:dyDescent="0.2">
      <c r="A4" s="11" t="s">
        <v>79</v>
      </c>
      <c r="B4" s="12">
        <v>0</v>
      </c>
    </row>
    <row r="5" spans="1:2" x14ac:dyDescent="0.2">
      <c r="A5" s="11" t="s">
        <v>55</v>
      </c>
      <c r="B5" s="12">
        <v>6.1489964367189065E-2</v>
      </c>
    </row>
    <row r="6" spans="1:2" x14ac:dyDescent="0.2">
      <c r="A6" s="11" t="s">
        <v>1</v>
      </c>
      <c r="B6" s="12">
        <v>0.70225817488912212</v>
      </c>
    </row>
    <row r="7" spans="1:2" x14ac:dyDescent="0.2">
      <c r="A7" s="11" t="s">
        <v>177</v>
      </c>
      <c r="B7" s="12">
        <v>0.43924641842646395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4D6F-2F10-E549-B9ED-C8F766D23EB3}">
  <dimension ref="A1:L60"/>
  <sheetViews>
    <sheetView workbookViewId="0">
      <selection activeCell="A2" sqref="A2:XFD5"/>
    </sheetView>
  </sheetViews>
  <sheetFormatPr baseColWidth="10" defaultRowHeight="16" x14ac:dyDescent="0.2"/>
  <cols>
    <col min="2" max="3" width="10.83203125" style="1"/>
    <col min="7" max="7" width="16.6640625" style="6" customWidth="1"/>
  </cols>
  <sheetData>
    <row r="1" spans="1:12" s="6" customFormat="1" x14ac:dyDescent="0.2">
      <c r="A1" s="6" t="s">
        <v>0</v>
      </c>
      <c r="B1" s="7" t="s">
        <v>4</v>
      </c>
      <c r="C1" s="7" t="s">
        <v>5</v>
      </c>
      <c r="D1" s="6" t="s">
        <v>54</v>
      </c>
      <c r="E1" s="6" t="s">
        <v>62</v>
      </c>
      <c r="F1" s="6" t="s">
        <v>99</v>
      </c>
      <c r="G1" s="6" t="s">
        <v>6</v>
      </c>
      <c r="H1" s="8" t="s">
        <v>76</v>
      </c>
      <c r="I1" s="9" t="s">
        <v>77</v>
      </c>
      <c r="J1" s="8" t="s">
        <v>78</v>
      </c>
      <c r="K1" s="6" t="s">
        <v>179</v>
      </c>
      <c r="L1" s="6" t="s">
        <v>180</v>
      </c>
    </row>
    <row r="2" spans="1:12" ht="17" x14ac:dyDescent="0.2">
      <c r="A2" t="s">
        <v>1</v>
      </c>
      <c r="B2" s="1" t="s">
        <v>37</v>
      </c>
      <c r="C2" s="1" t="s">
        <v>38</v>
      </c>
      <c r="D2">
        <f>16*5</f>
        <v>80</v>
      </c>
      <c r="F2">
        <f>H2*5</f>
        <v>505</v>
      </c>
      <c r="G2" s="6">
        <f>(F2-D2)/F2</f>
        <v>0.84158415841584155</v>
      </c>
      <c r="H2" s="2">
        <v>101</v>
      </c>
      <c r="I2" t="s">
        <v>132</v>
      </c>
      <c r="J2" s="2" t="s">
        <v>82</v>
      </c>
      <c r="K2" s="13" t="s">
        <v>186</v>
      </c>
      <c r="L2" t="s">
        <v>187</v>
      </c>
    </row>
    <row r="3" spans="1:12" ht="17" x14ac:dyDescent="0.2">
      <c r="A3" t="s">
        <v>1</v>
      </c>
      <c r="B3" s="1" t="s">
        <v>38</v>
      </c>
      <c r="C3" s="1" t="s">
        <v>39</v>
      </c>
      <c r="D3">
        <f>(30+10)*5</f>
        <v>200</v>
      </c>
      <c r="F3">
        <f>H3*5</f>
        <v>500</v>
      </c>
      <c r="G3" s="6">
        <f>(F3-D3)/F3</f>
        <v>0.6</v>
      </c>
      <c r="H3" s="2">
        <v>100</v>
      </c>
      <c r="I3" t="s">
        <v>133</v>
      </c>
      <c r="J3" s="2" t="s">
        <v>82</v>
      </c>
      <c r="K3" s="13" t="s">
        <v>186</v>
      </c>
      <c r="L3" t="s">
        <v>187</v>
      </c>
    </row>
    <row r="4" spans="1:12" ht="17" x14ac:dyDescent="0.2">
      <c r="A4" t="s">
        <v>1</v>
      </c>
      <c r="B4" s="1" t="s">
        <v>2</v>
      </c>
      <c r="C4" s="1" t="s">
        <v>3</v>
      </c>
      <c r="D4">
        <v>25</v>
      </c>
      <c r="F4">
        <f>H4*5</f>
        <v>495</v>
      </c>
      <c r="G4" s="6">
        <f>(F4-D4)/F4</f>
        <v>0.9494949494949495</v>
      </c>
      <c r="H4" s="2">
        <v>99</v>
      </c>
      <c r="I4" t="s">
        <v>100</v>
      </c>
      <c r="J4" s="2" t="s">
        <v>82</v>
      </c>
      <c r="K4" s="13" t="s">
        <v>186</v>
      </c>
      <c r="L4" t="s">
        <v>187</v>
      </c>
    </row>
    <row r="5" spans="1:12" ht="17" x14ac:dyDescent="0.2">
      <c r="A5" t="s">
        <v>1</v>
      </c>
      <c r="B5" s="1" t="s">
        <v>3</v>
      </c>
      <c r="C5" s="1" t="s">
        <v>7</v>
      </c>
      <c r="D5">
        <v>0</v>
      </c>
      <c r="F5">
        <f>H5*5</f>
        <v>510</v>
      </c>
      <c r="G5" s="6">
        <f>(F5-D5)/F5</f>
        <v>1</v>
      </c>
      <c r="H5" s="2">
        <v>102</v>
      </c>
      <c r="I5" t="s">
        <v>101</v>
      </c>
      <c r="J5" s="2" t="s">
        <v>82</v>
      </c>
      <c r="K5" s="13" t="s">
        <v>186</v>
      </c>
      <c r="L5" t="s">
        <v>187</v>
      </c>
    </row>
    <row r="6" spans="1:12" ht="17" x14ac:dyDescent="0.2">
      <c r="A6" t="s">
        <v>1</v>
      </c>
      <c r="B6" s="1" t="s">
        <v>7</v>
      </c>
      <c r="C6" s="1" t="s">
        <v>8</v>
      </c>
      <c r="D6">
        <v>17</v>
      </c>
      <c r="F6">
        <f>H6*5</f>
        <v>515</v>
      </c>
      <c r="G6" s="6">
        <f>(F6-D6)/F6</f>
        <v>0.96699029126213587</v>
      </c>
      <c r="H6" s="2">
        <v>103</v>
      </c>
      <c r="I6" t="s">
        <v>102</v>
      </c>
      <c r="J6" s="2" t="s">
        <v>82</v>
      </c>
      <c r="K6" s="13" t="s">
        <v>188</v>
      </c>
      <c r="L6" t="s">
        <v>182</v>
      </c>
    </row>
    <row r="7" spans="1:12" ht="17" x14ac:dyDescent="0.2">
      <c r="A7" t="s">
        <v>1</v>
      </c>
      <c r="B7" s="1" t="s">
        <v>8</v>
      </c>
      <c r="C7" s="1" t="s">
        <v>9</v>
      </c>
      <c r="D7">
        <v>24</v>
      </c>
      <c r="F7">
        <f>H7*5</f>
        <v>505</v>
      </c>
      <c r="G7" s="6">
        <f>(F7-D7)/F7</f>
        <v>0.95247524752475243</v>
      </c>
      <c r="H7" s="2">
        <v>101</v>
      </c>
      <c r="I7" t="s">
        <v>103</v>
      </c>
      <c r="J7" s="2" t="s">
        <v>82</v>
      </c>
      <c r="K7" s="13" t="s">
        <v>188</v>
      </c>
      <c r="L7" t="s">
        <v>182</v>
      </c>
    </row>
    <row r="8" spans="1:12" ht="17" x14ac:dyDescent="0.2">
      <c r="A8" t="s">
        <v>1</v>
      </c>
      <c r="B8" s="1" t="s">
        <v>9</v>
      </c>
      <c r="C8" s="1" t="s">
        <v>10</v>
      </c>
      <c r="D8">
        <v>7</v>
      </c>
      <c r="F8">
        <f>H8*5</f>
        <v>500</v>
      </c>
      <c r="G8" s="6">
        <f>(F8-D8)/F8</f>
        <v>0.98599999999999999</v>
      </c>
      <c r="H8" s="2">
        <v>100</v>
      </c>
      <c r="I8" t="s">
        <v>104</v>
      </c>
      <c r="J8" s="2" t="s">
        <v>82</v>
      </c>
      <c r="K8" s="13" t="s">
        <v>188</v>
      </c>
      <c r="L8" t="s">
        <v>182</v>
      </c>
    </row>
    <row r="9" spans="1:12" ht="17" x14ac:dyDescent="0.2">
      <c r="A9" t="s">
        <v>1</v>
      </c>
      <c r="B9" s="1" t="s">
        <v>10</v>
      </c>
      <c r="C9" s="1" t="s">
        <v>11</v>
      </c>
      <c r="D9">
        <v>102</v>
      </c>
      <c r="F9">
        <f>H9*5</f>
        <v>505</v>
      </c>
      <c r="G9" s="6">
        <f>(F9-D9)/F9</f>
        <v>0.79801980198019806</v>
      </c>
      <c r="H9" s="2">
        <v>101</v>
      </c>
      <c r="I9" t="s">
        <v>105</v>
      </c>
      <c r="J9" s="2" t="s">
        <v>82</v>
      </c>
      <c r="K9" s="13" t="s">
        <v>188</v>
      </c>
      <c r="L9" t="s">
        <v>182</v>
      </c>
    </row>
    <row r="10" spans="1:12" ht="17" x14ac:dyDescent="0.2">
      <c r="A10" t="s">
        <v>1</v>
      </c>
      <c r="B10" s="1" t="s">
        <v>11</v>
      </c>
      <c r="C10" s="1" t="s">
        <v>12</v>
      </c>
      <c r="D10">
        <f>36+25+59+34</f>
        <v>154</v>
      </c>
      <c r="F10">
        <f>H10*5</f>
        <v>500</v>
      </c>
      <c r="G10" s="6">
        <f>(F10-D10)/F10</f>
        <v>0.69199999999999995</v>
      </c>
      <c r="H10" s="2">
        <v>100</v>
      </c>
      <c r="I10" t="s">
        <v>106</v>
      </c>
      <c r="J10" s="2" t="s">
        <v>82</v>
      </c>
      <c r="K10" s="13" t="s">
        <v>188</v>
      </c>
      <c r="L10" t="s">
        <v>182</v>
      </c>
    </row>
    <row r="11" spans="1:12" ht="17" x14ac:dyDescent="0.2">
      <c r="A11" t="s">
        <v>1</v>
      </c>
      <c r="B11" s="1" t="s">
        <v>12</v>
      </c>
      <c r="C11" s="1" t="s">
        <v>13</v>
      </c>
      <c r="D11">
        <f>(13.9*5)+25+(17.6*5)</f>
        <v>182.5</v>
      </c>
      <c r="F11">
        <f>H11*5</f>
        <v>500</v>
      </c>
      <c r="G11" s="6">
        <f>(F11-D11)/F11</f>
        <v>0.63500000000000001</v>
      </c>
      <c r="H11" s="2">
        <v>100</v>
      </c>
      <c r="I11" t="s">
        <v>107</v>
      </c>
      <c r="J11" s="2" t="s">
        <v>82</v>
      </c>
      <c r="K11" s="13" t="s">
        <v>188</v>
      </c>
      <c r="L11" t="s">
        <v>182</v>
      </c>
    </row>
    <row r="12" spans="1:12" ht="17" x14ac:dyDescent="0.2">
      <c r="A12" t="s">
        <v>1</v>
      </c>
      <c r="B12" s="1" t="s">
        <v>13</v>
      </c>
      <c r="C12" s="1" t="s">
        <v>14</v>
      </c>
      <c r="D12">
        <v>20</v>
      </c>
      <c r="F12">
        <f>H12*5</f>
        <v>500</v>
      </c>
      <c r="G12" s="6">
        <f>(F12-D12)/F12</f>
        <v>0.96</v>
      </c>
      <c r="H12" s="2">
        <v>100</v>
      </c>
      <c r="I12" t="s">
        <v>108</v>
      </c>
      <c r="J12" s="2" t="s">
        <v>82</v>
      </c>
      <c r="K12" s="13" t="s">
        <v>188</v>
      </c>
      <c r="L12" t="s">
        <v>182</v>
      </c>
    </row>
    <row r="13" spans="1:12" ht="17" x14ac:dyDescent="0.2">
      <c r="A13" t="s">
        <v>1</v>
      </c>
      <c r="B13" s="1" t="s">
        <v>14</v>
      </c>
      <c r="C13" s="1" t="s">
        <v>15</v>
      </c>
      <c r="D13">
        <f>(7+11+6)*5</f>
        <v>120</v>
      </c>
      <c r="F13">
        <f>H13*5</f>
        <v>500</v>
      </c>
      <c r="G13" s="6">
        <f>(F13-D13)/F13</f>
        <v>0.76</v>
      </c>
      <c r="H13" s="2">
        <v>100</v>
      </c>
      <c r="I13" t="s">
        <v>109</v>
      </c>
      <c r="J13" s="2" t="s">
        <v>82</v>
      </c>
      <c r="K13" s="13" t="s">
        <v>188</v>
      </c>
      <c r="L13" t="s">
        <v>182</v>
      </c>
    </row>
    <row r="14" spans="1:12" ht="17" x14ac:dyDescent="0.2">
      <c r="A14" t="s">
        <v>1</v>
      </c>
      <c r="B14" s="1" t="s">
        <v>15</v>
      </c>
      <c r="C14" s="1" t="s">
        <v>16</v>
      </c>
      <c r="D14">
        <f>(9*5)+27</f>
        <v>72</v>
      </c>
      <c r="F14">
        <f>H14*5</f>
        <v>500</v>
      </c>
      <c r="G14" s="6">
        <f>(F14-D14)/F14</f>
        <v>0.85599999999999998</v>
      </c>
      <c r="H14" s="2">
        <v>100</v>
      </c>
      <c r="I14" t="s">
        <v>110</v>
      </c>
      <c r="J14" s="2" t="s">
        <v>82</v>
      </c>
      <c r="K14" s="13" t="s">
        <v>188</v>
      </c>
      <c r="L14" t="s">
        <v>182</v>
      </c>
    </row>
    <row r="15" spans="1:12" ht="17" x14ac:dyDescent="0.2">
      <c r="A15" t="s">
        <v>1</v>
      </c>
      <c r="B15" s="1" t="s">
        <v>16</v>
      </c>
      <c r="C15" s="1" t="s">
        <v>17</v>
      </c>
      <c r="D15">
        <v>23</v>
      </c>
      <c r="F15">
        <f>H15*5</f>
        <v>495</v>
      </c>
      <c r="G15" s="6">
        <f>(F15-D15)/F15</f>
        <v>0.95353535353535357</v>
      </c>
      <c r="H15" s="2">
        <v>99</v>
      </c>
      <c r="I15" t="s">
        <v>111</v>
      </c>
      <c r="J15" s="2" t="s">
        <v>82</v>
      </c>
      <c r="K15" s="13" t="s">
        <v>188</v>
      </c>
      <c r="L15" t="s">
        <v>182</v>
      </c>
    </row>
    <row r="16" spans="1:12" ht="17" x14ac:dyDescent="0.2">
      <c r="A16" t="s">
        <v>1</v>
      </c>
      <c r="B16" s="1" t="s">
        <v>17</v>
      </c>
      <c r="C16" s="1" t="s">
        <v>18</v>
      </c>
      <c r="D16">
        <f>21*5</f>
        <v>105</v>
      </c>
      <c r="F16">
        <f>H16*5</f>
        <v>490</v>
      </c>
      <c r="G16" s="6">
        <f>(F16-D16)/F16</f>
        <v>0.7857142857142857</v>
      </c>
      <c r="H16" s="2">
        <v>98</v>
      </c>
      <c r="I16" t="s">
        <v>112</v>
      </c>
      <c r="J16" s="2" t="s">
        <v>82</v>
      </c>
      <c r="K16" s="13" t="s">
        <v>188</v>
      </c>
      <c r="L16" t="s">
        <v>182</v>
      </c>
    </row>
    <row r="17" spans="1:12" ht="17" x14ac:dyDescent="0.2">
      <c r="A17" t="s">
        <v>1</v>
      </c>
      <c r="B17" s="1" t="s">
        <v>18</v>
      </c>
      <c r="C17" s="1" t="s">
        <v>19</v>
      </c>
      <c r="D17">
        <f>28*5</f>
        <v>140</v>
      </c>
      <c r="F17">
        <f>H17*5</f>
        <v>505</v>
      </c>
      <c r="G17" s="6">
        <f>(F17-D17)/F17</f>
        <v>0.72277227722772275</v>
      </c>
      <c r="H17" s="2">
        <v>101</v>
      </c>
      <c r="I17" t="s">
        <v>113</v>
      </c>
      <c r="J17" s="2" t="s">
        <v>82</v>
      </c>
      <c r="K17" s="13" t="s">
        <v>188</v>
      </c>
      <c r="L17" t="s">
        <v>182</v>
      </c>
    </row>
    <row r="18" spans="1:12" ht="17" x14ac:dyDescent="0.2">
      <c r="A18" t="s">
        <v>1</v>
      </c>
      <c r="B18" s="1" t="s">
        <v>19</v>
      </c>
      <c r="C18" s="1" t="s">
        <v>20</v>
      </c>
      <c r="D18">
        <f>47*5</f>
        <v>235</v>
      </c>
      <c r="F18">
        <f>H18*5</f>
        <v>520</v>
      </c>
      <c r="G18" s="6">
        <f>(F18-D18)/F18</f>
        <v>0.54807692307692313</v>
      </c>
      <c r="H18" s="2">
        <v>104</v>
      </c>
      <c r="I18" t="s">
        <v>114</v>
      </c>
      <c r="J18" s="2" t="s">
        <v>82</v>
      </c>
      <c r="K18" s="13" t="s">
        <v>188</v>
      </c>
      <c r="L18" t="s">
        <v>183</v>
      </c>
    </row>
    <row r="19" spans="1:12" ht="17" x14ac:dyDescent="0.2">
      <c r="A19" t="s">
        <v>1</v>
      </c>
      <c r="B19" s="1" t="s">
        <v>20</v>
      </c>
      <c r="C19" s="1" t="s">
        <v>21</v>
      </c>
      <c r="D19">
        <f>77*5</f>
        <v>385</v>
      </c>
      <c r="F19">
        <f>H19*5</f>
        <v>500</v>
      </c>
      <c r="G19" s="6">
        <f>(F19-D19)/F19</f>
        <v>0.23</v>
      </c>
      <c r="H19" s="2">
        <v>100</v>
      </c>
      <c r="I19" t="s">
        <v>115</v>
      </c>
      <c r="J19" s="2" t="s">
        <v>82</v>
      </c>
      <c r="K19" s="13" t="s">
        <v>188</v>
      </c>
      <c r="L19" t="s">
        <v>184</v>
      </c>
    </row>
    <row r="20" spans="1:12" ht="17" x14ac:dyDescent="0.2">
      <c r="A20" t="s">
        <v>1</v>
      </c>
      <c r="B20" s="1" t="s">
        <v>21</v>
      </c>
      <c r="C20" s="1" t="s">
        <v>22</v>
      </c>
      <c r="D20">
        <f>14*5</f>
        <v>70</v>
      </c>
      <c r="F20">
        <f>H20*5</f>
        <v>500</v>
      </c>
      <c r="G20" s="6">
        <f>(F20-D20)/F20</f>
        <v>0.86</v>
      </c>
      <c r="H20" s="2">
        <v>100</v>
      </c>
      <c r="I20" t="s">
        <v>116</v>
      </c>
      <c r="J20" s="2" t="s">
        <v>82</v>
      </c>
      <c r="K20" s="13" t="s">
        <v>188</v>
      </c>
      <c r="L20" t="s">
        <v>182</v>
      </c>
    </row>
    <row r="21" spans="1:12" ht="17" x14ac:dyDescent="0.2">
      <c r="A21" t="s">
        <v>1</v>
      </c>
      <c r="B21" s="1" t="s">
        <v>22</v>
      </c>
      <c r="C21" s="1" t="s">
        <v>23</v>
      </c>
      <c r="D21">
        <f>59*5</f>
        <v>295</v>
      </c>
      <c r="F21">
        <f>H21*5</f>
        <v>520</v>
      </c>
      <c r="G21" s="6">
        <f>(F21-D21)/F21</f>
        <v>0.43269230769230771</v>
      </c>
      <c r="H21" s="2">
        <v>104</v>
      </c>
      <c r="I21" t="s">
        <v>117</v>
      </c>
      <c r="J21" s="2" t="s">
        <v>82</v>
      </c>
      <c r="K21" s="13" t="s">
        <v>188</v>
      </c>
      <c r="L21" t="s">
        <v>182</v>
      </c>
    </row>
    <row r="22" spans="1:12" ht="17" x14ac:dyDescent="0.2">
      <c r="A22" t="s">
        <v>1</v>
      </c>
      <c r="B22" s="1" t="s">
        <v>23</v>
      </c>
      <c r="C22" s="1" t="s">
        <v>24</v>
      </c>
      <c r="D22">
        <f>70*5</f>
        <v>350</v>
      </c>
      <c r="F22">
        <f>H22*5</f>
        <v>510</v>
      </c>
      <c r="G22" s="6">
        <f>(F22-D22)/F22</f>
        <v>0.31372549019607843</v>
      </c>
      <c r="H22" s="2">
        <v>102</v>
      </c>
      <c r="I22" t="s">
        <v>118</v>
      </c>
      <c r="J22" s="2" t="s">
        <v>82</v>
      </c>
      <c r="K22" s="13" t="s">
        <v>188</v>
      </c>
      <c r="L22" t="s">
        <v>182</v>
      </c>
    </row>
    <row r="23" spans="1:12" ht="17" x14ac:dyDescent="0.2">
      <c r="A23" t="s">
        <v>1</v>
      </c>
      <c r="B23" s="1" t="s">
        <v>24</v>
      </c>
      <c r="C23" s="1" t="s">
        <v>25</v>
      </c>
      <c r="D23">
        <v>25</v>
      </c>
      <c r="F23">
        <f>H23*5</f>
        <v>500</v>
      </c>
      <c r="G23" s="6">
        <f>(F23-D23)/F23</f>
        <v>0.95</v>
      </c>
      <c r="H23" s="2">
        <v>100</v>
      </c>
      <c r="I23" t="s">
        <v>119</v>
      </c>
      <c r="J23" s="2" t="s">
        <v>82</v>
      </c>
      <c r="K23" s="13" t="s">
        <v>188</v>
      </c>
      <c r="L23" t="s">
        <v>182</v>
      </c>
    </row>
    <row r="24" spans="1:12" ht="17" x14ac:dyDescent="0.2">
      <c r="A24" t="s">
        <v>1</v>
      </c>
      <c r="B24" s="1" t="s">
        <v>25</v>
      </c>
      <c r="C24" s="1" t="s">
        <v>26</v>
      </c>
      <c r="D24">
        <f>13*5</f>
        <v>65</v>
      </c>
      <c r="F24">
        <f>H24*5</f>
        <v>520</v>
      </c>
      <c r="G24" s="6">
        <f>(F24-D24)/F24</f>
        <v>0.875</v>
      </c>
      <c r="H24" s="2">
        <v>104</v>
      </c>
      <c r="I24" t="s">
        <v>120</v>
      </c>
      <c r="J24" s="2" t="s">
        <v>82</v>
      </c>
      <c r="K24" s="13" t="s">
        <v>188</v>
      </c>
      <c r="L24" t="s">
        <v>182</v>
      </c>
    </row>
    <row r="25" spans="1:12" x14ac:dyDescent="0.2">
      <c r="A25" t="s">
        <v>1</v>
      </c>
      <c r="B25" s="1" t="s">
        <v>26</v>
      </c>
      <c r="C25" s="1" t="s">
        <v>27</v>
      </c>
      <c r="D25">
        <f>19*5</f>
        <v>95</v>
      </c>
      <c r="F25">
        <f>H25*5</f>
        <v>515</v>
      </c>
      <c r="G25" s="6">
        <f>(F25-D25)/F25</f>
        <v>0.81553398058252424</v>
      </c>
      <c r="H25" s="2">
        <v>103</v>
      </c>
      <c r="I25" t="s">
        <v>121</v>
      </c>
      <c r="J25" s="2" t="s">
        <v>82</v>
      </c>
      <c r="K25" t="s">
        <v>189</v>
      </c>
      <c r="L25" t="s">
        <v>182</v>
      </c>
    </row>
    <row r="26" spans="1:12" x14ac:dyDescent="0.2">
      <c r="A26" t="s">
        <v>1</v>
      </c>
      <c r="B26" s="1" t="s">
        <v>27</v>
      </c>
      <c r="C26" s="1" t="s">
        <v>28</v>
      </c>
      <c r="D26">
        <f>13*5</f>
        <v>65</v>
      </c>
      <c r="F26">
        <f>H26*5</f>
        <v>505</v>
      </c>
      <c r="G26" s="6">
        <f>(F26-D26)/F26</f>
        <v>0.87128712871287128</v>
      </c>
      <c r="H26" s="2">
        <v>101</v>
      </c>
      <c r="I26" t="s">
        <v>122</v>
      </c>
      <c r="J26" s="2" t="s">
        <v>82</v>
      </c>
      <c r="K26" t="s">
        <v>189</v>
      </c>
      <c r="L26" t="s">
        <v>182</v>
      </c>
    </row>
    <row r="27" spans="1:12" x14ac:dyDescent="0.2">
      <c r="A27" t="s">
        <v>1</v>
      </c>
      <c r="B27" s="1" t="s">
        <v>28</v>
      </c>
      <c r="C27" s="1" t="s">
        <v>29</v>
      </c>
      <c r="D27">
        <f>19*5</f>
        <v>95</v>
      </c>
      <c r="F27">
        <f>H27*5</f>
        <v>500</v>
      </c>
      <c r="G27" s="6">
        <f>(F27-D27)/F27</f>
        <v>0.81</v>
      </c>
      <c r="H27" s="2">
        <v>100</v>
      </c>
      <c r="I27" t="s">
        <v>123</v>
      </c>
      <c r="J27" s="2" t="s">
        <v>82</v>
      </c>
      <c r="K27" t="s">
        <v>189</v>
      </c>
      <c r="L27" t="s">
        <v>184</v>
      </c>
    </row>
    <row r="28" spans="1:12" x14ac:dyDescent="0.2">
      <c r="A28" t="s">
        <v>1</v>
      </c>
      <c r="B28" s="1" t="s">
        <v>29</v>
      </c>
      <c r="C28" s="1" t="s">
        <v>30</v>
      </c>
      <c r="D28">
        <f>(8+35+6)*5</f>
        <v>245</v>
      </c>
      <c r="F28">
        <f>H28*5</f>
        <v>510</v>
      </c>
      <c r="G28" s="6">
        <f>(F28-D28)/F28</f>
        <v>0.51960784313725494</v>
      </c>
      <c r="H28" s="2">
        <v>102</v>
      </c>
      <c r="I28" t="s">
        <v>124</v>
      </c>
      <c r="J28" s="2" t="s">
        <v>82</v>
      </c>
      <c r="K28" t="s">
        <v>189</v>
      </c>
      <c r="L28" t="s">
        <v>183</v>
      </c>
    </row>
    <row r="29" spans="1:12" x14ac:dyDescent="0.2">
      <c r="A29" t="s">
        <v>1</v>
      </c>
      <c r="B29" s="1" t="s">
        <v>30</v>
      </c>
      <c r="C29" s="1" t="s">
        <v>31</v>
      </c>
      <c r="D29">
        <f>26*5</f>
        <v>130</v>
      </c>
      <c r="F29">
        <f>H29*5</f>
        <v>495</v>
      </c>
      <c r="G29" s="6">
        <f>(F29-D29)/F29</f>
        <v>0.73737373737373735</v>
      </c>
      <c r="H29" s="2">
        <v>99</v>
      </c>
      <c r="I29" t="s">
        <v>125</v>
      </c>
      <c r="J29" s="2" t="s">
        <v>82</v>
      </c>
      <c r="K29" t="s">
        <v>189</v>
      </c>
      <c r="L29" t="s">
        <v>182</v>
      </c>
    </row>
    <row r="30" spans="1:12" x14ac:dyDescent="0.2">
      <c r="A30" t="s">
        <v>1</v>
      </c>
      <c r="B30" s="1" t="s">
        <v>31</v>
      </c>
      <c r="C30" s="1" t="s">
        <v>32</v>
      </c>
      <c r="D30">
        <f>20*5</f>
        <v>100</v>
      </c>
      <c r="F30">
        <f>H30*5</f>
        <v>505</v>
      </c>
      <c r="G30" s="6">
        <f>(F30-D30)/F30</f>
        <v>0.80198019801980203</v>
      </c>
      <c r="H30" s="2">
        <v>101</v>
      </c>
      <c r="I30" t="s">
        <v>126</v>
      </c>
      <c r="J30" s="2" t="s">
        <v>82</v>
      </c>
      <c r="K30" t="s">
        <v>189</v>
      </c>
      <c r="L30" t="s">
        <v>182</v>
      </c>
    </row>
    <row r="31" spans="1:12" x14ac:dyDescent="0.2">
      <c r="A31" t="s">
        <v>1</v>
      </c>
      <c r="B31" s="1" t="s">
        <v>32</v>
      </c>
      <c r="C31" s="1" t="s">
        <v>33</v>
      </c>
      <c r="D31">
        <f>(27+12)*5</f>
        <v>195</v>
      </c>
      <c r="F31">
        <f>H31*5</f>
        <v>505</v>
      </c>
      <c r="G31" s="6">
        <f>(F31-D31)/F31</f>
        <v>0.61386138613861385</v>
      </c>
      <c r="H31" s="2">
        <v>101</v>
      </c>
      <c r="I31" t="s">
        <v>127</v>
      </c>
      <c r="J31" s="2" t="s">
        <v>82</v>
      </c>
      <c r="K31" t="s">
        <v>189</v>
      </c>
      <c r="L31" t="s">
        <v>182</v>
      </c>
    </row>
    <row r="32" spans="1:12" x14ac:dyDescent="0.2">
      <c r="A32" t="s">
        <v>1</v>
      </c>
      <c r="B32" s="1" t="s">
        <v>33</v>
      </c>
      <c r="C32" s="1" t="s">
        <v>34</v>
      </c>
      <c r="D32">
        <v>0</v>
      </c>
      <c r="F32">
        <f>H32*5</f>
        <v>500</v>
      </c>
      <c r="G32" s="6">
        <f>(F32-D32)/F32</f>
        <v>1</v>
      </c>
      <c r="H32" s="2">
        <v>100</v>
      </c>
      <c r="I32" t="s">
        <v>128</v>
      </c>
      <c r="J32" s="2" t="s">
        <v>82</v>
      </c>
      <c r="K32" t="s">
        <v>189</v>
      </c>
      <c r="L32" t="s">
        <v>182</v>
      </c>
    </row>
    <row r="33" spans="1:12" x14ac:dyDescent="0.2">
      <c r="A33" t="s">
        <v>1</v>
      </c>
      <c r="B33" s="1" t="s">
        <v>34</v>
      </c>
      <c r="C33" s="1" t="s">
        <v>35</v>
      </c>
      <c r="D33">
        <f>6*5</f>
        <v>30</v>
      </c>
      <c r="F33">
        <f>H33*5</f>
        <v>495</v>
      </c>
      <c r="G33" s="6">
        <f>(F33-D33)/F33</f>
        <v>0.93939393939393945</v>
      </c>
      <c r="H33" s="2">
        <v>99</v>
      </c>
      <c r="I33" t="s">
        <v>129</v>
      </c>
      <c r="J33" s="2" t="s">
        <v>82</v>
      </c>
      <c r="K33" t="s">
        <v>189</v>
      </c>
      <c r="L33" t="s">
        <v>182</v>
      </c>
    </row>
    <row r="34" spans="1:12" x14ac:dyDescent="0.2">
      <c r="A34" t="s">
        <v>1</v>
      </c>
      <c r="B34" s="1" t="s">
        <v>35</v>
      </c>
      <c r="C34" s="1" t="s">
        <v>36</v>
      </c>
      <c r="D34">
        <f>5*5</f>
        <v>25</v>
      </c>
      <c r="F34">
        <f>H34*5</f>
        <v>495</v>
      </c>
      <c r="G34" s="6">
        <f>(F34-D34)/F34</f>
        <v>0.9494949494949495</v>
      </c>
      <c r="H34" s="2">
        <v>99</v>
      </c>
      <c r="I34" t="s">
        <v>130</v>
      </c>
      <c r="J34" s="2" t="s">
        <v>82</v>
      </c>
      <c r="K34" t="s">
        <v>189</v>
      </c>
      <c r="L34" t="s">
        <v>182</v>
      </c>
    </row>
    <row r="35" spans="1:12" x14ac:dyDescent="0.2">
      <c r="A35" t="s">
        <v>1</v>
      </c>
      <c r="B35" s="1" t="s">
        <v>36</v>
      </c>
      <c r="C35" s="1" t="s">
        <v>37</v>
      </c>
      <c r="D35">
        <f>(11+6)*5</f>
        <v>85</v>
      </c>
      <c r="F35">
        <f>H35*5</f>
        <v>360</v>
      </c>
      <c r="G35" s="6">
        <f>(F35-D35)/F35</f>
        <v>0.76388888888888884</v>
      </c>
      <c r="H35" s="2">
        <v>72</v>
      </c>
      <c r="I35" t="s">
        <v>131</v>
      </c>
      <c r="J35" s="2" t="s">
        <v>82</v>
      </c>
      <c r="K35" t="s">
        <v>189</v>
      </c>
      <c r="L35" t="s">
        <v>182</v>
      </c>
    </row>
    <row r="36" spans="1:12" ht="17" x14ac:dyDescent="0.2">
      <c r="A36" t="s">
        <v>55</v>
      </c>
      <c r="B36" s="1" t="s">
        <v>56</v>
      </c>
      <c r="C36" s="1" t="s">
        <v>57</v>
      </c>
      <c r="E36">
        <f>110+(7*5)</f>
        <v>145</v>
      </c>
      <c r="F36">
        <f>H36*5</f>
        <v>500</v>
      </c>
      <c r="G36" s="6">
        <f>E36/F36</f>
        <v>0.28999999999999998</v>
      </c>
      <c r="H36" s="2">
        <v>100</v>
      </c>
      <c r="I36" t="s">
        <v>149</v>
      </c>
      <c r="J36" s="2" t="s">
        <v>82</v>
      </c>
      <c r="K36" s="13" t="s">
        <v>188</v>
      </c>
      <c r="L36" t="s">
        <v>182</v>
      </c>
    </row>
    <row r="37" spans="1:12" ht="17" x14ac:dyDescent="0.2">
      <c r="A37" t="s">
        <v>55</v>
      </c>
      <c r="B37" s="1" t="s">
        <v>57</v>
      </c>
      <c r="C37" s="1" t="s">
        <v>58</v>
      </c>
      <c r="D37">
        <f>53*5</f>
        <v>265</v>
      </c>
      <c r="F37">
        <f>H37*5</f>
        <v>525</v>
      </c>
      <c r="G37" s="6">
        <f>(F37-D37)/F37</f>
        <v>0.49523809523809526</v>
      </c>
      <c r="H37" s="2">
        <v>105</v>
      </c>
      <c r="I37" t="s">
        <v>150</v>
      </c>
      <c r="J37" s="2" t="s">
        <v>82</v>
      </c>
      <c r="K37" s="13" t="s">
        <v>188</v>
      </c>
      <c r="L37" t="s">
        <v>182</v>
      </c>
    </row>
    <row r="38" spans="1:12" ht="17" x14ac:dyDescent="0.2">
      <c r="A38" t="s">
        <v>55</v>
      </c>
      <c r="B38" s="1" t="s">
        <v>58</v>
      </c>
      <c r="C38" s="1" t="s">
        <v>59</v>
      </c>
      <c r="E38">
        <f>15*5</f>
        <v>75</v>
      </c>
      <c r="F38">
        <f>H38*5</f>
        <v>505</v>
      </c>
      <c r="G38" s="6">
        <f>E38/F38</f>
        <v>0.14851485148514851</v>
      </c>
      <c r="H38" s="2">
        <v>101</v>
      </c>
      <c r="I38" t="s">
        <v>151</v>
      </c>
      <c r="J38" s="2" t="s">
        <v>82</v>
      </c>
      <c r="K38" s="13" t="s">
        <v>188</v>
      </c>
      <c r="L38" t="s">
        <v>182</v>
      </c>
    </row>
    <row r="39" spans="1:12" x14ac:dyDescent="0.2">
      <c r="A39" s="2" t="s">
        <v>79</v>
      </c>
      <c r="B39" s="3" t="s">
        <v>80</v>
      </c>
      <c r="C39" s="3" t="s">
        <v>81</v>
      </c>
      <c r="E39">
        <v>0</v>
      </c>
      <c r="G39" s="6">
        <v>0</v>
      </c>
      <c r="H39" s="2">
        <v>96</v>
      </c>
      <c r="I39" t="s">
        <v>168</v>
      </c>
      <c r="J39" s="2" t="s">
        <v>82</v>
      </c>
      <c r="K39" t="s">
        <v>181</v>
      </c>
      <c r="L39" t="s">
        <v>182</v>
      </c>
    </row>
    <row r="40" spans="1:12" x14ac:dyDescent="0.2">
      <c r="A40" s="2" t="s">
        <v>79</v>
      </c>
      <c r="B40" s="3" t="s">
        <v>83</v>
      </c>
      <c r="C40" s="3" t="s">
        <v>84</v>
      </c>
      <c r="E40">
        <v>0</v>
      </c>
      <c r="G40" s="6">
        <v>0</v>
      </c>
      <c r="H40" s="2">
        <v>106</v>
      </c>
      <c r="I40" t="s">
        <v>171</v>
      </c>
      <c r="J40" s="2" t="s">
        <v>82</v>
      </c>
      <c r="K40" t="s">
        <v>181</v>
      </c>
      <c r="L40" t="s">
        <v>183</v>
      </c>
    </row>
    <row r="41" spans="1:12" x14ac:dyDescent="0.2">
      <c r="A41" s="2" t="s">
        <v>79</v>
      </c>
      <c r="B41" s="3" t="s">
        <v>84</v>
      </c>
      <c r="C41" s="3" t="s">
        <v>85</v>
      </c>
      <c r="E41">
        <v>0</v>
      </c>
      <c r="G41" s="6">
        <v>0</v>
      </c>
      <c r="H41" s="2">
        <v>71</v>
      </c>
      <c r="I41" t="s">
        <v>172</v>
      </c>
      <c r="J41" s="2" t="s">
        <v>82</v>
      </c>
      <c r="K41" t="s">
        <v>181</v>
      </c>
      <c r="L41" t="s">
        <v>184</v>
      </c>
    </row>
    <row r="42" spans="1:12" x14ac:dyDescent="0.2">
      <c r="A42" s="2" t="s">
        <v>79</v>
      </c>
      <c r="B42" s="3" t="s">
        <v>85</v>
      </c>
      <c r="C42" s="3" t="s">
        <v>86</v>
      </c>
      <c r="E42">
        <v>0</v>
      </c>
      <c r="G42" s="6">
        <v>0</v>
      </c>
      <c r="H42" s="2">
        <v>118</v>
      </c>
      <c r="I42" t="s">
        <v>173</v>
      </c>
      <c r="J42" s="2" t="s">
        <v>82</v>
      </c>
      <c r="K42" t="s">
        <v>185</v>
      </c>
      <c r="L42" t="s">
        <v>182</v>
      </c>
    </row>
    <row r="43" spans="1:12" x14ac:dyDescent="0.2">
      <c r="A43" s="2" t="s">
        <v>79</v>
      </c>
      <c r="B43" s="3" t="s">
        <v>86</v>
      </c>
      <c r="C43" s="3" t="s">
        <v>87</v>
      </c>
      <c r="E43">
        <v>0</v>
      </c>
      <c r="G43" s="6">
        <v>0</v>
      </c>
      <c r="H43" s="2">
        <v>115</v>
      </c>
      <c r="I43" t="s">
        <v>174</v>
      </c>
      <c r="J43" s="2" t="s">
        <v>82</v>
      </c>
      <c r="K43" t="s">
        <v>185</v>
      </c>
      <c r="L43" t="s">
        <v>184</v>
      </c>
    </row>
    <row r="44" spans="1:12" x14ac:dyDescent="0.2">
      <c r="A44" s="2" t="s">
        <v>79</v>
      </c>
      <c r="B44" s="3" t="s">
        <v>87</v>
      </c>
      <c r="C44" s="3" t="s">
        <v>80</v>
      </c>
      <c r="E44">
        <v>0</v>
      </c>
      <c r="G44" s="6">
        <v>0</v>
      </c>
      <c r="H44" s="2">
        <v>126</v>
      </c>
      <c r="I44" t="s">
        <v>175</v>
      </c>
      <c r="J44" s="2" t="s">
        <v>82</v>
      </c>
      <c r="K44" t="s">
        <v>185</v>
      </c>
      <c r="L44" t="s">
        <v>183</v>
      </c>
    </row>
    <row r="45" spans="1:12" ht="17" x14ac:dyDescent="0.2">
      <c r="A45" t="s">
        <v>55</v>
      </c>
      <c r="B45" s="1" t="s">
        <v>59</v>
      </c>
      <c r="C45" s="1" t="s">
        <v>60</v>
      </c>
      <c r="E45">
        <f>6+9</f>
        <v>15</v>
      </c>
      <c r="F45">
        <f>H45*5</f>
        <v>535</v>
      </c>
      <c r="G45" s="6">
        <f>E45/F45</f>
        <v>2.8037383177570093E-2</v>
      </c>
      <c r="H45" s="2">
        <v>107</v>
      </c>
      <c r="I45" t="s">
        <v>152</v>
      </c>
      <c r="J45" s="2" t="s">
        <v>82</v>
      </c>
      <c r="K45" s="13" t="s">
        <v>188</v>
      </c>
      <c r="L45" t="s">
        <v>182</v>
      </c>
    </row>
    <row r="46" spans="1:12" ht="17" x14ac:dyDescent="0.2">
      <c r="A46" t="s">
        <v>55</v>
      </c>
      <c r="B46" s="1" t="s">
        <v>60</v>
      </c>
      <c r="C46" s="1" t="s">
        <v>61</v>
      </c>
      <c r="E46">
        <v>5</v>
      </c>
      <c r="F46">
        <f>H46*5</f>
        <v>510</v>
      </c>
      <c r="G46" s="6">
        <f>E46/F46</f>
        <v>9.8039215686274508E-3</v>
      </c>
      <c r="H46" s="2">
        <v>102</v>
      </c>
      <c r="I46" t="s">
        <v>153</v>
      </c>
      <c r="J46" s="2" t="s">
        <v>82</v>
      </c>
      <c r="K46" s="13" t="s">
        <v>188</v>
      </c>
      <c r="L46" t="s">
        <v>184</v>
      </c>
    </row>
    <row r="47" spans="1:12" ht="17" x14ac:dyDescent="0.2">
      <c r="A47" t="s">
        <v>55</v>
      </c>
      <c r="B47" s="1" t="s">
        <v>61</v>
      </c>
      <c r="C47" s="1" t="s">
        <v>63</v>
      </c>
      <c r="E47">
        <v>0</v>
      </c>
      <c r="F47">
        <f>H47*5</f>
        <v>520</v>
      </c>
      <c r="G47" s="6">
        <f>E47/F47</f>
        <v>0</v>
      </c>
      <c r="H47" s="2">
        <v>104</v>
      </c>
      <c r="I47" t="s">
        <v>154</v>
      </c>
      <c r="J47" s="2" t="s">
        <v>82</v>
      </c>
      <c r="K47" s="13" t="s">
        <v>188</v>
      </c>
      <c r="L47" t="s">
        <v>183</v>
      </c>
    </row>
    <row r="48" spans="1:12" ht="17" x14ac:dyDescent="0.2">
      <c r="A48" t="s">
        <v>55</v>
      </c>
      <c r="B48" s="1" t="s">
        <v>63</v>
      </c>
      <c r="C48" s="1" t="s">
        <v>64</v>
      </c>
      <c r="E48">
        <v>11</v>
      </c>
      <c r="F48">
        <f>H48*5</f>
        <v>500</v>
      </c>
      <c r="G48" s="6">
        <f>E48/F48</f>
        <v>2.1999999999999999E-2</v>
      </c>
      <c r="H48" s="2">
        <v>100</v>
      </c>
      <c r="I48" t="s">
        <v>155</v>
      </c>
      <c r="J48" s="2" t="s">
        <v>82</v>
      </c>
      <c r="K48" s="13" t="s">
        <v>188</v>
      </c>
      <c r="L48" t="s">
        <v>182</v>
      </c>
    </row>
    <row r="49" spans="1:12" ht="17" x14ac:dyDescent="0.2">
      <c r="A49" t="s">
        <v>55</v>
      </c>
      <c r="B49" s="1" t="s">
        <v>64</v>
      </c>
      <c r="C49" s="1" t="s">
        <v>65</v>
      </c>
      <c r="E49">
        <f>4*5</f>
        <v>20</v>
      </c>
      <c r="F49">
        <f>H49*5</f>
        <v>505</v>
      </c>
      <c r="G49" s="6">
        <f>E49/F49</f>
        <v>3.9603960396039604E-2</v>
      </c>
      <c r="H49" s="2">
        <v>101</v>
      </c>
      <c r="I49" t="s">
        <v>156</v>
      </c>
      <c r="J49" s="2" t="s">
        <v>82</v>
      </c>
      <c r="K49" s="13" t="s">
        <v>188</v>
      </c>
      <c r="L49" t="s">
        <v>182</v>
      </c>
    </row>
    <row r="50" spans="1:12" ht="17" x14ac:dyDescent="0.2">
      <c r="A50" t="s">
        <v>55</v>
      </c>
      <c r="B50" s="1" t="s">
        <v>65</v>
      </c>
      <c r="C50" s="1" t="s">
        <v>66</v>
      </c>
      <c r="E50">
        <f>11*5</f>
        <v>55</v>
      </c>
      <c r="F50">
        <f>H50*5</f>
        <v>550</v>
      </c>
      <c r="G50" s="6">
        <f>E50/F50</f>
        <v>0.1</v>
      </c>
      <c r="H50" s="2">
        <v>110</v>
      </c>
      <c r="I50" t="s">
        <v>157</v>
      </c>
      <c r="J50" s="2" t="s">
        <v>82</v>
      </c>
      <c r="K50" s="13" t="s">
        <v>188</v>
      </c>
      <c r="L50" t="s">
        <v>182</v>
      </c>
    </row>
    <row r="51" spans="1:12" ht="17" x14ac:dyDescent="0.2">
      <c r="A51" t="s">
        <v>55</v>
      </c>
      <c r="B51" s="1" t="s">
        <v>66</v>
      </c>
      <c r="C51" s="1" t="s">
        <v>67</v>
      </c>
      <c r="E51">
        <v>0</v>
      </c>
      <c r="F51">
        <f>H51*5</f>
        <v>510</v>
      </c>
      <c r="G51" s="6">
        <f>E51/F51</f>
        <v>0</v>
      </c>
      <c r="H51" s="2">
        <v>102</v>
      </c>
      <c r="I51" t="s">
        <v>158</v>
      </c>
      <c r="J51" s="2" t="s">
        <v>82</v>
      </c>
      <c r="K51" s="13" t="s">
        <v>189</v>
      </c>
      <c r="L51" t="s">
        <v>182</v>
      </c>
    </row>
    <row r="52" spans="1:12" ht="17" x14ac:dyDescent="0.2">
      <c r="A52" t="s">
        <v>55</v>
      </c>
      <c r="B52" s="1" t="s">
        <v>67</v>
      </c>
      <c r="C52" s="1" t="s">
        <v>68</v>
      </c>
      <c r="E52">
        <v>0</v>
      </c>
      <c r="F52">
        <f>H52*5</f>
        <v>510</v>
      </c>
      <c r="G52" s="6">
        <f>E52/F52</f>
        <v>0</v>
      </c>
      <c r="H52" s="2">
        <v>102</v>
      </c>
      <c r="I52" t="s">
        <v>159</v>
      </c>
      <c r="J52" s="2" t="s">
        <v>82</v>
      </c>
      <c r="K52" s="13" t="s">
        <v>189</v>
      </c>
      <c r="L52" t="s">
        <v>182</v>
      </c>
    </row>
    <row r="53" spans="1:12" ht="17" x14ac:dyDescent="0.2">
      <c r="A53" t="s">
        <v>55</v>
      </c>
      <c r="B53" s="1" t="s">
        <v>68</v>
      </c>
      <c r="C53" s="1" t="s">
        <v>69</v>
      </c>
      <c r="E53">
        <v>0</v>
      </c>
      <c r="F53">
        <f>H53*5</f>
        <v>530</v>
      </c>
      <c r="G53" s="6">
        <f>E53/F53</f>
        <v>0</v>
      </c>
      <c r="H53" s="2">
        <v>106</v>
      </c>
      <c r="I53" t="s">
        <v>160</v>
      </c>
      <c r="J53" s="2" t="s">
        <v>82</v>
      </c>
      <c r="K53" s="13" t="s">
        <v>189</v>
      </c>
      <c r="L53" t="s">
        <v>182</v>
      </c>
    </row>
    <row r="54" spans="1:12" ht="17" x14ac:dyDescent="0.2">
      <c r="A54" t="s">
        <v>55</v>
      </c>
      <c r="B54" s="1" t="s">
        <v>69</v>
      </c>
      <c r="C54" s="1" t="s">
        <v>70</v>
      </c>
      <c r="E54">
        <v>12</v>
      </c>
      <c r="F54">
        <f>H54*5</f>
        <v>500</v>
      </c>
      <c r="G54" s="6">
        <f>E54/F54</f>
        <v>2.4E-2</v>
      </c>
      <c r="H54" s="2">
        <v>100</v>
      </c>
      <c r="I54" t="s">
        <v>161</v>
      </c>
      <c r="J54" s="2" t="s">
        <v>82</v>
      </c>
      <c r="K54" s="13" t="s">
        <v>189</v>
      </c>
      <c r="L54" t="s">
        <v>182</v>
      </c>
    </row>
    <row r="55" spans="1:12" ht="17" x14ac:dyDescent="0.2">
      <c r="A55" t="s">
        <v>55</v>
      </c>
      <c r="B55" s="1" t="s">
        <v>70</v>
      </c>
      <c r="C55" s="1" t="s">
        <v>71</v>
      </c>
      <c r="E55">
        <v>0</v>
      </c>
      <c r="F55">
        <f>H55*5</f>
        <v>495</v>
      </c>
      <c r="G55" s="6">
        <f>E55/F55</f>
        <v>0</v>
      </c>
      <c r="H55" s="2">
        <v>99</v>
      </c>
      <c r="I55" t="s">
        <v>162</v>
      </c>
      <c r="J55" s="2" t="s">
        <v>82</v>
      </c>
      <c r="K55" s="13" t="s">
        <v>189</v>
      </c>
      <c r="L55" t="s">
        <v>182</v>
      </c>
    </row>
    <row r="56" spans="1:12" ht="17" x14ac:dyDescent="0.2">
      <c r="A56" t="s">
        <v>55</v>
      </c>
      <c r="B56" s="1" t="s">
        <v>71</v>
      </c>
      <c r="C56" s="1" t="s">
        <v>72</v>
      </c>
      <c r="E56">
        <v>0</v>
      </c>
      <c r="F56">
        <f>H56*5</f>
        <v>500</v>
      </c>
      <c r="G56" s="6">
        <f>E56/F56</f>
        <v>0</v>
      </c>
      <c r="H56" s="2">
        <v>100</v>
      </c>
      <c r="I56" t="s">
        <v>163</v>
      </c>
      <c r="J56" s="2" t="s">
        <v>82</v>
      </c>
      <c r="K56" s="13" t="s">
        <v>189</v>
      </c>
      <c r="L56" t="s">
        <v>184</v>
      </c>
    </row>
    <row r="57" spans="1:12" ht="17" x14ac:dyDescent="0.2">
      <c r="A57" t="s">
        <v>55</v>
      </c>
      <c r="B57" s="1" t="s">
        <v>72</v>
      </c>
      <c r="C57" s="1" t="s">
        <v>73</v>
      </c>
      <c r="E57">
        <v>0</v>
      </c>
      <c r="F57">
        <f>H57*5</f>
        <v>505</v>
      </c>
      <c r="G57" s="6">
        <f>E57/F57</f>
        <v>0</v>
      </c>
      <c r="H57" s="2">
        <v>101</v>
      </c>
      <c r="I57" t="s">
        <v>164</v>
      </c>
      <c r="J57" s="2" t="s">
        <v>82</v>
      </c>
      <c r="K57" s="13" t="s">
        <v>189</v>
      </c>
      <c r="L57" t="s">
        <v>183</v>
      </c>
    </row>
    <row r="58" spans="1:12" ht="17" x14ac:dyDescent="0.2">
      <c r="A58" t="s">
        <v>55</v>
      </c>
      <c r="B58" s="1" t="s">
        <v>73</v>
      </c>
      <c r="C58" s="1" t="s">
        <v>74</v>
      </c>
      <c r="E58">
        <v>0</v>
      </c>
      <c r="F58">
        <f>H58*5</f>
        <v>500</v>
      </c>
      <c r="G58" s="6">
        <f>E58/F58</f>
        <v>0</v>
      </c>
      <c r="H58" s="2">
        <v>100</v>
      </c>
      <c r="I58" t="s">
        <v>165</v>
      </c>
      <c r="J58" s="2" t="s">
        <v>82</v>
      </c>
      <c r="K58" s="13" t="s">
        <v>189</v>
      </c>
      <c r="L58" t="s">
        <v>182</v>
      </c>
    </row>
    <row r="59" spans="1:12" ht="17" x14ac:dyDescent="0.2">
      <c r="A59" t="s">
        <v>55</v>
      </c>
      <c r="B59" s="1" t="s">
        <v>74</v>
      </c>
      <c r="C59" s="1" t="s">
        <v>75</v>
      </c>
      <c r="E59">
        <v>6</v>
      </c>
      <c r="F59">
        <f>H59*5</f>
        <v>540</v>
      </c>
      <c r="G59" s="6">
        <f>E59/F59</f>
        <v>1.1111111111111112E-2</v>
      </c>
      <c r="H59" s="2">
        <v>108</v>
      </c>
      <c r="I59" t="s">
        <v>166</v>
      </c>
      <c r="J59" s="2" t="s">
        <v>82</v>
      </c>
      <c r="K59" s="13" t="s">
        <v>189</v>
      </c>
      <c r="L59" t="s">
        <v>182</v>
      </c>
    </row>
    <row r="60" spans="1:12" ht="17" x14ac:dyDescent="0.2">
      <c r="A60" t="s">
        <v>55</v>
      </c>
      <c r="B60" s="1" t="s">
        <v>75</v>
      </c>
      <c r="C60" s="1" t="s">
        <v>56</v>
      </c>
      <c r="E60">
        <v>0</v>
      </c>
      <c r="F60">
        <f>H60*5</f>
        <v>525</v>
      </c>
      <c r="G60" s="6">
        <f>E60/F60</f>
        <v>0</v>
      </c>
      <c r="H60" s="2">
        <v>105</v>
      </c>
      <c r="I60" t="s">
        <v>167</v>
      </c>
      <c r="J60" s="2" t="s">
        <v>82</v>
      </c>
      <c r="K60" s="13" t="s">
        <v>186</v>
      </c>
      <c r="L60" t="s">
        <v>187</v>
      </c>
    </row>
  </sheetData>
  <sortState xmlns:xlrd2="http://schemas.microsoft.com/office/spreadsheetml/2017/richdata2" ref="A2:L60">
    <sortCondition ref="B2:B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CAE0-7776-8343-9C28-63CF3F20A5E0}">
  <dimension ref="A2:I52"/>
  <sheetViews>
    <sheetView workbookViewId="0">
      <selection activeCell="H50" sqref="H50:I50"/>
    </sheetView>
  </sheetViews>
  <sheetFormatPr baseColWidth="10" defaultRowHeight="16" x14ac:dyDescent="0.2"/>
  <cols>
    <col min="1" max="1" width="27.83203125" bestFit="1" customWidth="1"/>
    <col min="2" max="2" width="26.1640625" bestFit="1" customWidth="1"/>
    <col min="8" max="8" width="25.1640625" bestFit="1" customWidth="1"/>
  </cols>
  <sheetData>
    <row r="2" spans="1:9" x14ac:dyDescent="0.2">
      <c r="H2" s="6" t="s">
        <v>190</v>
      </c>
      <c r="I2" s="15" t="s">
        <v>178</v>
      </c>
    </row>
    <row r="3" spans="1:9" x14ac:dyDescent="0.2">
      <c r="A3" s="10" t="s">
        <v>176</v>
      </c>
      <c r="B3" t="s">
        <v>178</v>
      </c>
      <c r="H3" s="16" t="s">
        <v>79</v>
      </c>
      <c r="I3" s="14">
        <v>0</v>
      </c>
    </row>
    <row r="4" spans="1:9" x14ac:dyDescent="0.2">
      <c r="A4" s="11" t="s">
        <v>79</v>
      </c>
      <c r="B4" s="12">
        <v>0</v>
      </c>
      <c r="H4" s="16" t="s">
        <v>55</v>
      </c>
      <c r="I4" s="14">
        <v>6.1489964000000001E-2</v>
      </c>
    </row>
    <row r="5" spans="1:9" x14ac:dyDescent="0.2">
      <c r="A5" s="17" t="s">
        <v>181</v>
      </c>
      <c r="B5" s="12">
        <v>0</v>
      </c>
      <c r="H5" s="16" t="s">
        <v>1</v>
      </c>
      <c r="I5" s="14">
        <v>0.77916185699999996</v>
      </c>
    </row>
    <row r="6" spans="1:9" x14ac:dyDescent="0.2">
      <c r="A6" s="24" t="s">
        <v>184</v>
      </c>
      <c r="B6" s="12">
        <v>0</v>
      </c>
    </row>
    <row r="7" spans="1:9" x14ac:dyDescent="0.2">
      <c r="A7" s="24" t="s">
        <v>182</v>
      </c>
      <c r="B7" s="12">
        <v>0</v>
      </c>
    </row>
    <row r="8" spans="1:9" x14ac:dyDescent="0.2">
      <c r="A8" s="24" t="s">
        <v>183</v>
      </c>
      <c r="B8" s="12">
        <v>0</v>
      </c>
      <c r="H8" s="21" t="s">
        <v>191</v>
      </c>
      <c r="I8" s="15" t="s">
        <v>178</v>
      </c>
    </row>
    <row r="9" spans="1:9" x14ac:dyDescent="0.2">
      <c r="A9" s="17" t="s">
        <v>185</v>
      </c>
      <c r="B9" s="12">
        <v>0</v>
      </c>
      <c r="H9" s="18" t="s">
        <v>79</v>
      </c>
      <c r="I9" s="19">
        <v>0</v>
      </c>
    </row>
    <row r="10" spans="1:9" x14ac:dyDescent="0.2">
      <c r="A10" s="24" t="s">
        <v>184</v>
      </c>
      <c r="B10" s="12">
        <v>0</v>
      </c>
      <c r="H10" s="20" t="s">
        <v>181</v>
      </c>
      <c r="I10" s="14">
        <v>0</v>
      </c>
    </row>
    <row r="11" spans="1:9" x14ac:dyDescent="0.2">
      <c r="A11" s="24" t="s">
        <v>182</v>
      </c>
      <c r="B11" s="12">
        <v>0</v>
      </c>
      <c r="H11" s="20" t="s">
        <v>185</v>
      </c>
      <c r="I11" s="14">
        <v>0</v>
      </c>
    </row>
    <row r="12" spans="1:9" x14ac:dyDescent="0.2">
      <c r="A12" s="24" t="s">
        <v>183</v>
      </c>
      <c r="B12" s="12">
        <v>0</v>
      </c>
      <c r="H12" s="18" t="s">
        <v>55</v>
      </c>
      <c r="I12" s="19">
        <v>6.1489964000000001E-2</v>
      </c>
    </row>
    <row r="13" spans="1:9" x14ac:dyDescent="0.2">
      <c r="A13" s="11" t="s">
        <v>55</v>
      </c>
      <c r="B13" s="12">
        <v>6.1489964367189065E-2</v>
      </c>
      <c r="H13" s="22" t="s">
        <v>189</v>
      </c>
      <c r="I13" s="23">
        <v>3.9012349999999999E-3</v>
      </c>
    </row>
    <row r="14" spans="1:9" x14ac:dyDescent="0.2">
      <c r="A14" s="17" t="s">
        <v>189</v>
      </c>
      <c r="B14" s="12">
        <v>3.9012345679012347E-3</v>
      </c>
      <c r="H14" s="22" t="s">
        <v>188</v>
      </c>
      <c r="I14" s="23">
        <v>0.12591091200000001</v>
      </c>
    </row>
    <row r="15" spans="1:9" x14ac:dyDescent="0.2">
      <c r="A15" s="24" t="s">
        <v>184</v>
      </c>
      <c r="B15" s="12">
        <v>0</v>
      </c>
      <c r="H15" s="20" t="s">
        <v>186</v>
      </c>
      <c r="I15" s="14">
        <v>0</v>
      </c>
    </row>
    <row r="16" spans="1:9" x14ac:dyDescent="0.2">
      <c r="A16" s="24" t="s">
        <v>182</v>
      </c>
      <c r="B16" s="12">
        <v>5.0158730158730161E-3</v>
      </c>
      <c r="H16" s="18" t="s">
        <v>1</v>
      </c>
      <c r="I16" s="19">
        <v>0.77916185699999996</v>
      </c>
    </row>
    <row r="17" spans="1:9" x14ac:dyDescent="0.2">
      <c r="A17" s="24" t="s">
        <v>183</v>
      </c>
      <c r="B17" s="12">
        <v>0</v>
      </c>
      <c r="H17" s="20" t="s">
        <v>189</v>
      </c>
      <c r="I17" s="14">
        <v>0.80203836799999995</v>
      </c>
    </row>
    <row r="18" spans="1:9" x14ac:dyDescent="0.2">
      <c r="A18" s="17" t="s">
        <v>188</v>
      </c>
      <c r="B18" s="12">
        <v>0.1259109124294979</v>
      </c>
      <c r="H18" s="20" t="s">
        <v>188</v>
      </c>
      <c r="I18" s="14">
        <v>0.75147378799999998</v>
      </c>
    </row>
    <row r="19" spans="1:9" x14ac:dyDescent="0.2">
      <c r="A19" s="24" t="s">
        <v>184</v>
      </c>
      <c r="B19" s="12">
        <v>9.8039215686274508E-3</v>
      </c>
      <c r="H19" s="20" t="s">
        <v>186</v>
      </c>
      <c r="I19" s="14">
        <v>0.847769777</v>
      </c>
    </row>
    <row r="20" spans="1:9" x14ac:dyDescent="0.2">
      <c r="A20" s="24" t="s">
        <v>182</v>
      </c>
      <c r="B20" s="12">
        <v>0.16048489861383625</v>
      </c>
    </row>
    <row r="21" spans="1:9" x14ac:dyDescent="0.2">
      <c r="A21" s="24" t="s">
        <v>183</v>
      </c>
      <c r="B21" s="12">
        <v>0</v>
      </c>
      <c r="H21" s="21" t="s">
        <v>192</v>
      </c>
      <c r="I21" s="15" t="s">
        <v>178</v>
      </c>
    </row>
    <row r="22" spans="1:9" x14ac:dyDescent="0.2">
      <c r="A22" s="17" t="s">
        <v>186</v>
      </c>
      <c r="B22" s="12">
        <v>0</v>
      </c>
      <c r="H22" s="25" t="s">
        <v>79</v>
      </c>
      <c r="I22" s="26">
        <v>0</v>
      </c>
    </row>
    <row r="23" spans="1:9" x14ac:dyDescent="0.2">
      <c r="A23" s="24" t="s">
        <v>187</v>
      </c>
      <c r="B23" s="12">
        <v>0</v>
      </c>
      <c r="H23" s="27" t="s">
        <v>181</v>
      </c>
      <c r="I23" s="28">
        <v>0</v>
      </c>
    </row>
    <row r="24" spans="1:9" x14ac:dyDescent="0.2">
      <c r="A24" s="11" t="s">
        <v>1</v>
      </c>
      <c r="B24" s="12">
        <v>0.77916185699597429</v>
      </c>
      <c r="H24" s="24" t="s">
        <v>184</v>
      </c>
      <c r="I24" s="12">
        <v>0</v>
      </c>
    </row>
    <row r="25" spans="1:9" x14ac:dyDescent="0.2">
      <c r="A25" s="17" t="s">
        <v>189</v>
      </c>
      <c r="B25" s="12">
        <v>0.80203836834023468</v>
      </c>
      <c r="H25" s="24" t="s">
        <v>182</v>
      </c>
      <c r="I25" s="12">
        <v>0</v>
      </c>
    </row>
    <row r="26" spans="1:9" x14ac:dyDescent="0.2">
      <c r="A26" s="24" t="s">
        <v>184</v>
      </c>
      <c r="B26" s="12">
        <v>0.81</v>
      </c>
      <c r="H26" s="24" t="s">
        <v>183</v>
      </c>
      <c r="I26" s="12">
        <v>0</v>
      </c>
    </row>
    <row r="27" spans="1:9" x14ac:dyDescent="0.2">
      <c r="A27" s="24" t="s">
        <v>182</v>
      </c>
      <c r="B27" s="12">
        <v>0.8325349120672586</v>
      </c>
      <c r="H27" s="27" t="s">
        <v>185</v>
      </c>
      <c r="I27" s="28">
        <v>0</v>
      </c>
    </row>
    <row r="28" spans="1:9" x14ac:dyDescent="0.2">
      <c r="A28" s="24" t="s">
        <v>183</v>
      </c>
      <c r="B28" s="12">
        <v>0.51960784313725494</v>
      </c>
      <c r="H28" s="24" t="s">
        <v>184</v>
      </c>
      <c r="I28" s="12">
        <v>0</v>
      </c>
    </row>
    <row r="29" spans="1:9" x14ac:dyDescent="0.2">
      <c r="A29" s="17" t="s">
        <v>188</v>
      </c>
      <c r="B29" s="12">
        <v>0.75147378832682943</v>
      </c>
      <c r="H29" s="24" t="s">
        <v>182</v>
      </c>
      <c r="I29" s="12">
        <v>0</v>
      </c>
    </row>
    <row r="30" spans="1:9" x14ac:dyDescent="0.2">
      <c r="A30" s="24" t="s">
        <v>184</v>
      </c>
      <c r="B30" s="12">
        <v>0.23</v>
      </c>
      <c r="H30" s="24" t="s">
        <v>183</v>
      </c>
      <c r="I30" s="12">
        <v>0</v>
      </c>
    </row>
    <row r="31" spans="1:9" x14ac:dyDescent="0.2">
      <c r="A31" s="24" t="s">
        <v>182</v>
      </c>
      <c r="B31" s="12">
        <v>0.7941132385372256</v>
      </c>
      <c r="H31" s="25" t="s">
        <v>55</v>
      </c>
      <c r="I31" s="26">
        <v>6.1489964367189065E-2</v>
      </c>
    </row>
    <row r="32" spans="1:9" x14ac:dyDescent="0.2">
      <c r="A32" s="24" t="s">
        <v>183</v>
      </c>
      <c r="B32" s="12">
        <v>0.54807692307692313</v>
      </c>
      <c r="H32" s="27" t="s">
        <v>189</v>
      </c>
      <c r="I32" s="28">
        <v>3.9012345679012347E-3</v>
      </c>
    </row>
    <row r="33" spans="1:9" x14ac:dyDescent="0.2">
      <c r="A33" s="17" t="s">
        <v>186</v>
      </c>
      <c r="B33" s="12">
        <v>0.84776977697769773</v>
      </c>
      <c r="H33" s="24" t="s">
        <v>184</v>
      </c>
      <c r="I33" s="12">
        <v>0</v>
      </c>
    </row>
    <row r="34" spans="1:9" x14ac:dyDescent="0.2">
      <c r="A34" s="24" t="s">
        <v>187</v>
      </c>
      <c r="B34" s="12">
        <v>0.84776977697769773</v>
      </c>
      <c r="H34" s="24" t="s">
        <v>182</v>
      </c>
      <c r="I34" s="12">
        <v>5.0158730158730161E-3</v>
      </c>
    </row>
    <row r="35" spans="1:9" x14ac:dyDescent="0.2">
      <c r="A35" s="11" t="s">
        <v>177</v>
      </c>
      <c r="B35" s="12">
        <v>0.46881038069219866</v>
      </c>
      <c r="H35" s="24" t="s">
        <v>183</v>
      </c>
      <c r="I35" s="12">
        <v>0</v>
      </c>
    </row>
    <row r="36" spans="1:9" x14ac:dyDescent="0.2">
      <c r="H36" s="27" t="s">
        <v>188</v>
      </c>
      <c r="I36" s="28">
        <v>0.1259109124294979</v>
      </c>
    </row>
    <row r="37" spans="1:9" x14ac:dyDescent="0.2">
      <c r="H37" s="24" t="s">
        <v>184</v>
      </c>
      <c r="I37" s="12">
        <v>9.8039215686274508E-3</v>
      </c>
    </row>
    <row r="38" spans="1:9" x14ac:dyDescent="0.2">
      <c r="H38" s="29" t="s">
        <v>182</v>
      </c>
      <c r="I38" s="30">
        <v>0.16048489861383625</v>
      </c>
    </row>
    <row r="39" spans="1:9" x14ac:dyDescent="0.2">
      <c r="H39" s="24" t="s">
        <v>183</v>
      </c>
      <c r="I39" s="12">
        <v>0</v>
      </c>
    </row>
    <row r="40" spans="1:9" x14ac:dyDescent="0.2">
      <c r="H40" s="27" t="s">
        <v>186</v>
      </c>
      <c r="I40" s="28">
        <v>0</v>
      </c>
    </row>
    <row r="41" spans="1:9" x14ac:dyDescent="0.2">
      <c r="H41" s="24" t="s">
        <v>187</v>
      </c>
      <c r="I41" s="12">
        <v>0</v>
      </c>
    </row>
    <row r="42" spans="1:9" x14ac:dyDescent="0.2">
      <c r="H42" s="25" t="s">
        <v>1</v>
      </c>
      <c r="I42" s="26">
        <v>0.77916185699597429</v>
      </c>
    </row>
    <row r="43" spans="1:9" x14ac:dyDescent="0.2">
      <c r="H43" s="27" t="s">
        <v>189</v>
      </c>
      <c r="I43" s="28">
        <v>0.80203836834023468</v>
      </c>
    </row>
    <row r="44" spans="1:9" x14ac:dyDescent="0.2">
      <c r="H44" s="24" t="s">
        <v>184</v>
      </c>
      <c r="I44" s="12">
        <v>0.81</v>
      </c>
    </row>
    <row r="45" spans="1:9" x14ac:dyDescent="0.2">
      <c r="H45" s="24" t="s">
        <v>182</v>
      </c>
      <c r="I45" s="12">
        <v>0.8325349120672586</v>
      </c>
    </row>
    <row r="46" spans="1:9" x14ac:dyDescent="0.2">
      <c r="H46" s="24" t="s">
        <v>183</v>
      </c>
      <c r="I46" s="12">
        <v>0.51960784313725494</v>
      </c>
    </row>
    <row r="47" spans="1:9" x14ac:dyDescent="0.2">
      <c r="H47" s="27" t="s">
        <v>188</v>
      </c>
      <c r="I47" s="28">
        <v>0.75147378832682943</v>
      </c>
    </row>
    <row r="48" spans="1:9" x14ac:dyDescent="0.2">
      <c r="H48" s="24" t="s">
        <v>184</v>
      </c>
      <c r="I48" s="12">
        <v>0.23</v>
      </c>
    </row>
    <row r="49" spans="8:9" x14ac:dyDescent="0.2">
      <c r="H49" s="24" t="s">
        <v>182</v>
      </c>
      <c r="I49" s="12">
        <v>0.7941132385372256</v>
      </c>
    </row>
    <row r="50" spans="8:9" x14ac:dyDescent="0.2">
      <c r="H50" s="24" t="s">
        <v>183</v>
      </c>
      <c r="I50" s="12">
        <v>0.54807692307692313</v>
      </c>
    </row>
    <row r="51" spans="8:9" x14ac:dyDescent="0.2">
      <c r="H51" s="27" t="s">
        <v>186</v>
      </c>
      <c r="I51" s="28">
        <v>0.84776977697769773</v>
      </c>
    </row>
    <row r="52" spans="8:9" x14ac:dyDescent="0.2">
      <c r="H52" s="24" t="s">
        <v>187</v>
      </c>
      <c r="I52" s="12">
        <v>0.84776977697769773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all_transects</vt:lpstr>
      <vt:lpstr>pivot_all</vt:lpstr>
      <vt:lpstr>used_transects</vt:lpstr>
      <vt:lpstr>pivot_used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Jayna DeVore</dc:creator>
  <cp:lastModifiedBy>Benkwitt, Casey</cp:lastModifiedBy>
  <dcterms:created xsi:type="dcterms:W3CDTF">2024-07-07T14:44:33Z</dcterms:created>
  <dcterms:modified xsi:type="dcterms:W3CDTF">2024-07-11T21:23:21Z</dcterms:modified>
</cp:coreProperties>
</file>