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 OF THE FAMILY" sheetId="1" r:id="rId5"/>
    <sheet state="visible" name="CHILDREN" sheetId="2" r:id="rId6"/>
    <sheet state="visible" name="OVERVIEWS" sheetId="3" r:id="rId7"/>
    <sheet state="visible" name="CATEGORY FILTER" sheetId="4" r:id="rId8"/>
    <sheet state="visible" name="SEARCH PROTOTYPE" sheetId="5" r:id="rId9"/>
    <sheet state="visible" name="CHILDREN PER BLOCK" sheetId="6" r:id="rId10"/>
    <sheet state="visible" name="PH OR R" sheetId="7" r:id="rId11"/>
    <sheet state="visible" name="BLOCK FILTER" sheetId="8" r:id="rId12"/>
  </sheets>
  <definedNames>
    <definedName name="HEADOFTHEFAM">'HEAD OF THE FAMILY'!$B$5:$P$805</definedName>
    <definedName name="CHILDREN">CHILDREN!$A$5:$I$1851</definedName>
    <definedName hidden="1" localSheetId="0" name="_xlnm._FilterDatabase">'HEAD OF THE FAMILY'!$B$5:$O$824</definedName>
    <definedName hidden="1" localSheetId="5" name="_xlnm._FilterDatabase">'CHILDREN PER BLOCK'!$A$6:$E$1435</definedName>
    <definedName hidden="1" localSheetId="7" name="_xlnm._FilterDatabase">'BLOCK FILTER'!$A$5:$J$158</definedName>
  </definedNames>
  <calcPr/>
</workbook>
</file>

<file path=xl/sharedStrings.xml><?xml version="1.0" encoding="utf-8"?>
<sst xmlns="http://schemas.openxmlformats.org/spreadsheetml/2006/main" count="10220" uniqueCount="3289">
  <si>
    <t>BARANGAY SAN MIGUEL II DATA GATHERING FOR THE HEAD OF THE FAMILY</t>
  </si>
  <si>
    <t>BARANGAY SAN MIGUEL II DATA GATHERING FOR THE CHILDREN</t>
  </si>
  <si>
    <t>CATEGORY:</t>
  </si>
  <si>
    <t xml:space="preserve">PLEASE DONT TOUCH ANYTHING </t>
  </si>
  <si>
    <t>BARANGAY SAN MIGUEL 2 TOTAL</t>
  </si>
  <si>
    <t>SENIOR</t>
  </si>
  <si>
    <t>COUNT</t>
  </si>
  <si>
    <t>HEAD OF THE FAMILY:</t>
  </si>
  <si>
    <t>HEAD OF THE FAMILY / FULL NAME</t>
  </si>
  <si>
    <t>BRGY. OFFICIALS</t>
  </si>
  <si>
    <t>FULL NAME</t>
  </si>
  <si>
    <t>BRGY. OFFICIALS / SENIOR / 4PS / SOLO PARENT / PWD / KDBM / THIRD GEN.</t>
  </si>
  <si>
    <t>MM/DD/YYYY</t>
  </si>
  <si>
    <t>BRGY. OFFICIALS / 4PS / SOLO PARENT / PWD / KDBM / THIRD GEN.</t>
  </si>
  <si>
    <t>VOTER REGISTER</t>
  </si>
  <si>
    <t xml:space="preserve">VOTER REGISTRATION </t>
  </si>
  <si>
    <t>PH - PAMASONG HANDOG / R - RICE</t>
  </si>
  <si>
    <t>PARTNER / FULLNAME</t>
  </si>
  <si>
    <t>ADDRESS</t>
  </si>
  <si>
    <t>FOR CHECKING</t>
  </si>
  <si>
    <t>BLK</t>
  </si>
  <si>
    <t>HEAD OF THE FAMILY</t>
  </si>
  <si>
    <t>NO.</t>
  </si>
  <si>
    <t>CHILDREN:</t>
  </si>
  <si>
    <t>PARTNER</t>
  </si>
  <si>
    <t>SURNAME</t>
  </si>
  <si>
    <t>FIRSTNAME</t>
  </si>
  <si>
    <t>MI</t>
  </si>
  <si>
    <t>QUANTITY</t>
  </si>
  <si>
    <t>NOTICE!</t>
  </si>
  <si>
    <t>NAME</t>
  </si>
  <si>
    <t>CATEGORY</t>
  </si>
  <si>
    <t>BIRTHDAY</t>
  </si>
  <si>
    <t>PRECINT NO.</t>
  </si>
  <si>
    <t>STATUS</t>
  </si>
  <si>
    <t>FIRST NAME / MI. / LAST NAME</t>
  </si>
  <si>
    <t>REMARKS</t>
  </si>
  <si>
    <t>SENIOR:</t>
  </si>
  <si>
    <t>PH OR R</t>
  </si>
  <si>
    <t>BILLONES</t>
  </si>
  <si>
    <t>NELJOHN</t>
  </si>
  <si>
    <t>LOT</t>
  </si>
  <si>
    <t>NELVIN BILLONES</t>
  </si>
  <si>
    <t>ACTIVE</t>
  </si>
  <si>
    <t>REGISTRATION</t>
  </si>
  <si>
    <t>BLOCK:</t>
  </si>
  <si>
    <t>AARON CARL EJANDRA</t>
  </si>
  <si>
    <t>BLK 1</t>
  </si>
  <si>
    <t>HEAD</t>
  </si>
  <si>
    <t>N/A</t>
  </si>
  <si>
    <t>PRECIUS YHANA</t>
  </si>
  <si>
    <t>BLK 41</t>
  </si>
  <si>
    <t>PRINCE YUAN</t>
  </si>
  <si>
    <t>R</t>
  </si>
  <si>
    <t>MA. LOUELLA L. EJANDRA</t>
  </si>
  <si>
    <t>BLK 3</t>
  </si>
  <si>
    <t>TOTAL</t>
  </si>
  <si>
    <t>NERISSA</t>
  </si>
  <si>
    <t>P.</t>
  </si>
  <si>
    <t>SENIOR/FOR CHECKING</t>
  </si>
  <si>
    <t>UNREGISTERED</t>
  </si>
  <si>
    <t>MARK GIL AERON</t>
  </si>
  <si>
    <t>ROGELIO S. BILLONES</t>
  </si>
  <si>
    <t xml:space="preserve">ABEL CARIAS </t>
  </si>
  <si>
    <t xml:space="preserve">MARTIN </t>
  </si>
  <si>
    <t>MARIANNE MILES</t>
  </si>
  <si>
    <t>NORMAN BILLONES</t>
  </si>
  <si>
    <t>RACHELLE JOYA CARIAS</t>
  </si>
  <si>
    <t>BLK 5</t>
  </si>
  <si>
    <t>PWD</t>
  </si>
  <si>
    <t>JOHN VILLMAR</t>
  </si>
  <si>
    <t>M.</t>
  </si>
  <si>
    <t>4PS</t>
  </si>
  <si>
    <t>SHARESCA MILES</t>
  </si>
  <si>
    <t>AYRA NAINE</t>
  </si>
  <si>
    <t>ACE ANGELO A. SANTOS</t>
  </si>
  <si>
    <t>SOLO PARENT</t>
  </si>
  <si>
    <t>STEPHEN GAEL</t>
  </si>
  <si>
    <t>LEA TAGUM</t>
  </si>
  <si>
    <t>OFFICIALS</t>
  </si>
  <si>
    <t>E.R</t>
  </si>
  <si>
    <t>BRGY. OFFICIALS, SENIOR</t>
  </si>
  <si>
    <t>ADELAIDA O. PULGA</t>
  </si>
  <si>
    <t xml:space="preserve">LABUTIN </t>
  </si>
  <si>
    <t>JHONROGELIO</t>
  </si>
  <si>
    <t>B.</t>
  </si>
  <si>
    <t>ROGELIO A. LABUTIN</t>
  </si>
  <si>
    <t>PH</t>
  </si>
  <si>
    <t>KDBM</t>
  </si>
  <si>
    <t>BLOCK 4</t>
  </si>
  <si>
    <t>ARZEL</t>
  </si>
  <si>
    <t>ADORACION LLENO</t>
  </si>
  <si>
    <t>3RD GEN</t>
  </si>
  <si>
    <t>AYUDAN</t>
  </si>
  <si>
    <t>MARIA PAULIN</t>
  </si>
  <si>
    <t>C.</t>
  </si>
  <si>
    <t>BLK 46</t>
  </si>
  <si>
    <t>RENATO AYUDAN</t>
  </si>
  <si>
    <t>ADRIAN SIRAY SR.</t>
  </si>
  <si>
    <t>BLK 45</t>
  </si>
  <si>
    <t>LAOLA</t>
  </si>
  <si>
    <t>ELLA</t>
  </si>
  <si>
    <t>MA. TERESA REYES</t>
  </si>
  <si>
    <t>SALAMAT</t>
  </si>
  <si>
    <t>SHAWN JAYVE</t>
  </si>
  <si>
    <t>SHERWIN JAY SALAMAT</t>
  </si>
  <si>
    <t>AERON DE GORO</t>
  </si>
  <si>
    <t>SHAMARA JHADE</t>
  </si>
  <si>
    <t>VADILEE MAGNO</t>
  </si>
  <si>
    <t>MIRASOL</t>
  </si>
  <si>
    <t>JEFFREY S. MIRASOL</t>
  </si>
  <si>
    <t>AGAPITO A. HILARIO</t>
  </si>
  <si>
    <t>BADAGUAS</t>
  </si>
  <si>
    <t>JASMIR ALI</t>
  </si>
  <si>
    <t>JENNALYN S. MIRASOL</t>
  </si>
  <si>
    <t>0867B</t>
  </si>
  <si>
    <t>EVANGELINA S. HILARIO</t>
  </si>
  <si>
    <t>LEBOSADA</t>
  </si>
  <si>
    <t>JANEGELLE</t>
  </si>
  <si>
    <t>H.</t>
  </si>
  <si>
    <t>CABRERA</t>
  </si>
  <si>
    <t>JAYCEERYN</t>
  </si>
  <si>
    <t>AGOSTO ESTILLANA</t>
  </si>
  <si>
    <t>AMASA</t>
  </si>
  <si>
    <t>PRIMO KIEL</t>
  </si>
  <si>
    <t>ROSITA ESTILLANA</t>
  </si>
  <si>
    <t>PRINCE NHIMWELL L. AMASA</t>
  </si>
  <si>
    <t xml:space="preserve">PRINCE NHIMWELL </t>
  </si>
  <si>
    <t>L.</t>
  </si>
  <si>
    <t>AILEEN S. VILLARINO</t>
  </si>
  <si>
    <t>NHOEL D. AMASA</t>
  </si>
  <si>
    <t>NHICOLE</t>
  </si>
  <si>
    <t>NHATALEE</t>
  </si>
  <si>
    <t>AIRA VILLARINO</t>
  </si>
  <si>
    <t>ANGELITO</t>
  </si>
  <si>
    <t>AL DESPABELADERAS</t>
  </si>
  <si>
    <t>ROY</t>
  </si>
  <si>
    <t>NELSON D. AMASA</t>
  </si>
  <si>
    <t>SUSANA DESPABELADERAS</t>
  </si>
  <si>
    <t xml:space="preserve">AMASA </t>
  </si>
  <si>
    <t>JOSEPH</t>
  </si>
  <si>
    <t>I.</t>
  </si>
  <si>
    <t>JOSHUA D. AMASA</t>
  </si>
  <si>
    <t>ALBERT ARCILLA</t>
  </si>
  <si>
    <t>BULOS</t>
  </si>
  <si>
    <t>DAPHNE CHLOE</t>
  </si>
  <si>
    <t>AILEEN ARCILLA</t>
  </si>
  <si>
    <t>JENNY C. HUGO</t>
  </si>
  <si>
    <t>DAMIANE JHON</t>
  </si>
  <si>
    <t>ALBERT MANANGAT</t>
  </si>
  <si>
    <t>NORALIN MERIN</t>
  </si>
  <si>
    <t>DARRISE JUDIEL</t>
  </si>
  <si>
    <t>PARAS</t>
  </si>
  <si>
    <t>JANICE</t>
  </si>
  <si>
    <t>ALBERT SANTOS</t>
  </si>
  <si>
    <t>DILLON PARAS</t>
  </si>
  <si>
    <t>MARY ANNE BALADAD</t>
  </si>
  <si>
    <t>ESTIAN</t>
  </si>
  <si>
    <t>ALBERTO A MACABENTA</t>
  </si>
  <si>
    <t>CHRISTIAN</t>
  </si>
  <si>
    <t>JOSON</t>
  </si>
  <si>
    <t>VIRGILIO JOSON</t>
  </si>
  <si>
    <t>DISCORA T MACABENTA</t>
  </si>
  <si>
    <t>FAITH</t>
  </si>
  <si>
    <t>MICHELLE PARAS</t>
  </si>
  <si>
    <t>ALBERTO E DE GUZMAN</t>
  </si>
  <si>
    <t>ALICE DE GUZMAN</t>
  </si>
  <si>
    <t>RAFIÑAN</t>
  </si>
  <si>
    <t>KING STANLEY</t>
  </si>
  <si>
    <t>JONATHAN RAFIÑAN</t>
  </si>
  <si>
    <t xml:space="preserve">JACK NATHAN </t>
  </si>
  <si>
    <t>ALBERTO LOBRIO JR.</t>
  </si>
  <si>
    <t>THIRD GEN</t>
  </si>
  <si>
    <t>LETECIA LOBRIO</t>
  </si>
  <si>
    <t>BLK 49</t>
  </si>
  <si>
    <t>SHYLONA</t>
  </si>
  <si>
    <t>ALBERTO LOBRIO SR.</t>
  </si>
  <si>
    <t>TAJARAN</t>
  </si>
  <si>
    <t>JOHN MICHAEL</t>
  </si>
  <si>
    <t>JUANITO TAJARAN</t>
  </si>
  <si>
    <t>CECILA LOBRIO</t>
  </si>
  <si>
    <t>PEREZ</t>
  </si>
  <si>
    <t>YVANNA LOUISE</t>
  </si>
  <si>
    <t>JASMINE PERES</t>
  </si>
  <si>
    <t>ALBERTO MANUEL</t>
  </si>
  <si>
    <t>LETECIA AMORIN</t>
  </si>
  <si>
    <t>MARC BENEDICT</t>
  </si>
  <si>
    <t>ALBERTO R. CAMPOS</t>
  </si>
  <si>
    <t>MARC BENNET</t>
  </si>
  <si>
    <t>MARY JOY A CAMPOS</t>
  </si>
  <si>
    <t>DOMINGO</t>
  </si>
  <si>
    <t>ALEXANDRA MEI</t>
  </si>
  <si>
    <t>CHARLIE S. DOMINGO</t>
  </si>
  <si>
    <t xml:space="preserve">ALEJANDRO G GALLARDO JR. </t>
  </si>
  <si>
    <t>LUZVIMINDA L GALLARDO</t>
  </si>
  <si>
    <t xml:space="preserve">MARC IVAN </t>
  </si>
  <si>
    <t>9A</t>
  </si>
  <si>
    <t>FLORES</t>
  </si>
  <si>
    <t>JEROME</t>
  </si>
  <si>
    <t>ALEX CHENG</t>
  </si>
  <si>
    <t>J.</t>
  </si>
  <si>
    <t>SALVADOR M. FLORES</t>
  </si>
  <si>
    <t>BRGY. OFFICIALS, THIRD GEN</t>
  </si>
  <si>
    <t>INACTIVE</t>
  </si>
  <si>
    <t>ROSEMARIE LLANERA</t>
  </si>
  <si>
    <t>JOMAR</t>
  </si>
  <si>
    <t>ALEXANDER ALONZO</t>
  </si>
  <si>
    <t>JERMAINE</t>
  </si>
  <si>
    <t>ALEXANDER CAMPAÑA</t>
  </si>
  <si>
    <t>MAGDALENA D. CAMPAÑA</t>
  </si>
  <si>
    <t>QUIMBAO</t>
  </si>
  <si>
    <t>LUCAS ELAIJA</t>
  </si>
  <si>
    <t>F.</t>
  </si>
  <si>
    <t>NATALIE JOYCE</t>
  </si>
  <si>
    <t>ALFRED IVAN EJANDRA</t>
  </si>
  <si>
    <t>LEANDRA L. EJANDRA</t>
  </si>
  <si>
    <t>ANATALIA J. RAFIÑAN</t>
  </si>
  <si>
    <t>LIMBARING</t>
  </si>
  <si>
    <t>ARRITRA GAIA</t>
  </si>
  <si>
    <t>ALICIA D. REYES</t>
  </si>
  <si>
    <t>GALEON</t>
  </si>
  <si>
    <t>ANA MARIA</t>
  </si>
  <si>
    <t>MARIA DOLORES L. GALEON</t>
  </si>
  <si>
    <t>ALICIA R. MAGBANUA</t>
  </si>
  <si>
    <t>MARIANNA</t>
  </si>
  <si>
    <t>VALERIO</t>
  </si>
  <si>
    <t>SOPHIA</t>
  </si>
  <si>
    <t>JOSEPH ANTHONY L. VALERIO</t>
  </si>
  <si>
    <t>ALLAN DAVE D. EVANGELISTA</t>
  </si>
  <si>
    <t>SHIA URDINADO</t>
  </si>
  <si>
    <t>PAPA</t>
  </si>
  <si>
    <t>LADY FHERCIA MHARIZ PAPA</t>
  </si>
  <si>
    <t>FERDINAND PAPA</t>
  </si>
  <si>
    <t>ALLAN MAGNO</t>
  </si>
  <si>
    <t>THIRDIE</t>
  </si>
  <si>
    <t>ALLAN N. HIPOLITO JR.</t>
  </si>
  <si>
    <t>ANTHONY</t>
  </si>
  <si>
    <t>CARLOS PAPA</t>
  </si>
  <si>
    <t>ALEXIS C. RONDILLA</t>
  </si>
  <si>
    <t>ALYSSA CARLA</t>
  </si>
  <si>
    <t>ALLAN P. HIPOLITO SR.</t>
  </si>
  <si>
    <t>ELSIE HIPOLITO</t>
  </si>
  <si>
    <t>ZAKIA</t>
  </si>
  <si>
    <t>FREDDIE PAPA</t>
  </si>
  <si>
    <t>CIPRIANO</t>
  </si>
  <si>
    <t>CHLOE</t>
  </si>
  <si>
    <t xml:space="preserve">ALLAN S. PUSING </t>
  </si>
  <si>
    <t>CLIFFORD CIPRIAMNO</t>
  </si>
  <si>
    <t>NAVARRO</t>
  </si>
  <si>
    <t>JHON NAVARRO</t>
  </si>
  <si>
    <t>EMILY G. NAVARRO</t>
  </si>
  <si>
    <t>ALLEN EDWARD T. MONCES</t>
  </si>
  <si>
    <t>PRECY MAE L. BULO</t>
  </si>
  <si>
    <t>THERES</t>
  </si>
  <si>
    <t>CATY</t>
  </si>
  <si>
    <t>ALVIN BAREZA</t>
  </si>
  <si>
    <t>ELAINE ROSE RONASE</t>
  </si>
  <si>
    <t>SUNNY</t>
  </si>
  <si>
    <t>AMBROSO ALZAGA</t>
  </si>
  <si>
    <t>PIEDAD ALZAGA</t>
  </si>
  <si>
    <t>GRACE</t>
  </si>
  <si>
    <t xml:space="preserve">AMPARO L. MARCOS </t>
  </si>
  <si>
    <t>MYKEL</t>
  </si>
  <si>
    <t>28-B</t>
  </si>
  <si>
    <t>RESURRECCION</t>
  </si>
  <si>
    <t>JOHN REY</t>
  </si>
  <si>
    <t>ANNA LIZA HAYAG</t>
  </si>
  <si>
    <t>JOHN RED</t>
  </si>
  <si>
    <t>ANCHITA P. ORCASITAS</t>
  </si>
  <si>
    <t>HAYAG</t>
  </si>
  <si>
    <t>TRIXIE</t>
  </si>
  <si>
    <t>RESHTIAN HAYAG</t>
  </si>
  <si>
    <t xml:space="preserve">RESH JOHN </t>
  </si>
  <si>
    <t>ANELIE ANN GATON</t>
  </si>
  <si>
    <t>PAJE</t>
  </si>
  <si>
    <t>PRINCE HENRY</t>
  </si>
  <si>
    <t xml:space="preserve">ELISABETH H. PAJE </t>
  </si>
  <si>
    <t>ANGEL GALOSO DELA CRUZ</t>
  </si>
  <si>
    <t>KIM GALOSO PALMES</t>
  </si>
  <si>
    <t>SISON</t>
  </si>
  <si>
    <t>ELLIE CATHLYN</t>
  </si>
  <si>
    <t>TRISHA SISON</t>
  </si>
  <si>
    <t>ANGELA C. NACASABUG</t>
  </si>
  <si>
    <t>RESTY</t>
  </si>
  <si>
    <t>TERESITA HAYAG</t>
  </si>
  <si>
    <t>MORANTE</t>
  </si>
  <si>
    <t>CHRISTIAN JEFF</t>
  </si>
  <si>
    <t>DOMINADOR MORANTE JR.</t>
  </si>
  <si>
    <t>ANGELITA E. QUIRIT</t>
  </si>
  <si>
    <t>JERRICK</t>
  </si>
  <si>
    <t xml:space="preserve">MORANTE </t>
  </si>
  <si>
    <t>MARIA ARUELICA</t>
  </si>
  <si>
    <t>ANGELITO S ESTABILLO</t>
  </si>
  <si>
    <t>MADELINE</t>
  </si>
  <si>
    <t>BIMBO ACUZAR</t>
  </si>
  <si>
    <t>ANGELITO STO TOMAS</t>
  </si>
  <si>
    <t>CEDRICK</t>
  </si>
  <si>
    <t>JOSELITO MORANTE</t>
  </si>
  <si>
    <t>LAHAY LAHAY</t>
  </si>
  <si>
    <t>MARVIN</t>
  </si>
  <si>
    <t>ANISON GUEVARA</t>
  </si>
  <si>
    <t>MARIA ELERA GUEVARA</t>
  </si>
  <si>
    <t>PASCO</t>
  </si>
  <si>
    <t>RICK JAY</t>
  </si>
  <si>
    <t>JERICK PASCO</t>
  </si>
  <si>
    <t>ANJO A CRISTOBAL</t>
  </si>
  <si>
    <t>RICK JOHN</t>
  </si>
  <si>
    <t>APRIL JOY B DE FELIX/2ENTRY</t>
  </si>
  <si>
    <t>ROSE ANN JOY</t>
  </si>
  <si>
    <t>RICK JOSHUA</t>
  </si>
  <si>
    <t>ANNA LIZA DE GUZMAN</t>
  </si>
  <si>
    <t>RICK JAZTINE</t>
  </si>
  <si>
    <t xml:space="preserve">RAZIE JANE </t>
  </si>
  <si>
    <t>VICTORIANO</t>
  </si>
  <si>
    <t>ARJHEN NICOLE</t>
  </si>
  <si>
    <t>ARIEL C. VICTORIANO</t>
  </si>
  <si>
    <t>ANNA LIZA TRINIDAD</t>
  </si>
  <si>
    <t>MAGHANOY</t>
  </si>
  <si>
    <t xml:space="preserve">GIAN ARRIANE </t>
  </si>
  <si>
    <t>ROBERT B. MALAZARTE</t>
  </si>
  <si>
    <t>SAMONTE</t>
  </si>
  <si>
    <t>FRANCIS DION</t>
  </si>
  <si>
    <t>ANNILYN ROBLES</t>
  </si>
  <si>
    <t>PRETTY PET M. SAMONTE</t>
  </si>
  <si>
    <t>RANCIO</t>
  </si>
  <si>
    <t>ALYNNA CIELA</t>
  </si>
  <si>
    <t>KAREN L. CRUZ</t>
  </si>
  <si>
    <t>PATALINGHUG</t>
  </si>
  <si>
    <t xml:space="preserve">ELISHA </t>
  </si>
  <si>
    <t>R.</t>
  </si>
  <si>
    <t>ANTHONY C MOLINA</t>
  </si>
  <si>
    <t>MELISSA V MOLINA</t>
  </si>
  <si>
    <t>BELTRAN</t>
  </si>
  <si>
    <t>YUEN AYESHA</t>
  </si>
  <si>
    <t xml:space="preserve"> NEILSON M. BELTRAN</t>
  </si>
  <si>
    <t>ANTHONY CARL ANCHETA</t>
  </si>
  <si>
    <t>YOHANN ZYRUS</t>
  </si>
  <si>
    <t>YSON ZEN</t>
  </si>
  <si>
    <t>ANTHONY EUGENIO</t>
  </si>
  <si>
    <t>CAMPAÑA</t>
  </si>
  <si>
    <t>ALMA</t>
  </si>
  <si>
    <t>CAROLINA DE GUZMAN</t>
  </si>
  <si>
    <t>ALEXIS MIGUEL</t>
  </si>
  <si>
    <t>ANTHONY MARK SAMSON</t>
  </si>
  <si>
    <t>LUCIA ABRIA</t>
  </si>
  <si>
    <t>PAMFS BRYLE ANDREI</t>
  </si>
  <si>
    <t>LORENA BELTRAN</t>
  </si>
  <si>
    <t>ANTONETTE SAMSON</t>
  </si>
  <si>
    <t>CABIS</t>
  </si>
  <si>
    <t>PHEONA ANDREA MAE</t>
  </si>
  <si>
    <t>PRINCESS ALHANE</t>
  </si>
  <si>
    <t>ANTONIO CABER</t>
  </si>
  <si>
    <t>CENIZAL</t>
  </si>
  <si>
    <t>MANNY</t>
  </si>
  <si>
    <t>DIOSCORA CABER</t>
  </si>
  <si>
    <t>DELA CUEVA</t>
  </si>
  <si>
    <t xml:space="preserve">GIAN HARLEY </t>
  </si>
  <si>
    <t>SHERILYN M. BELTRAN</t>
  </si>
  <si>
    <t>TAPACLOW</t>
  </si>
  <si>
    <t>ANTONIO ENRIQUEZ JR.</t>
  </si>
  <si>
    <t>ABIH</t>
  </si>
  <si>
    <t>JENILLYN B RILLO</t>
  </si>
  <si>
    <t>TOROAW</t>
  </si>
  <si>
    <t>AMAKA</t>
  </si>
  <si>
    <t>SAMSON</t>
  </si>
  <si>
    <t>AIKO</t>
  </si>
  <si>
    <t>PACITA SAMSON</t>
  </si>
  <si>
    <t>ANTONIO HAMOR</t>
  </si>
  <si>
    <t>GUEVARA</t>
  </si>
  <si>
    <t>JANNAH NICOLE</t>
  </si>
  <si>
    <t>GUEAVRA</t>
  </si>
  <si>
    <t>JASMINE QUINN</t>
  </si>
  <si>
    <t>APRIL JOY DE FELIX</t>
  </si>
  <si>
    <t>JOHN GABRIEL</t>
  </si>
  <si>
    <t>OLIVA</t>
  </si>
  <si>
    <t>JHUSTIN JHURT</t>
  </si>
  <si>
    <t>CARLITO OLIVA</t>
  </si>
  <si>
    <t>ALIYAH KATE</t>
  </si>
  <si>
    <t>ARCADIO M. CRUZ</t>
  </si>
  <si>
    <t>MOJAR</t>
  </si>
  <si>
    <t>RICHARD</t>
  </si>
  <si>
    <t>RENE MOJAR</t>
  </si>
  <si>
    <t>JENNIFER S. PASCO</t>
  </si>
  <si>
    <t>RAEVEN</t>
  </si>
  <si>
    <t>ARIEL LIMBO</t>
  </si>
  <si>
    <t>RAYMOND</t>
  </si>
  <si>
    <t>EMILITA RIVERA</t>
  </si>
  <si>
    <t>CANAPIT</t>
  </si>
  <si>
    <t>JUSTINE VASHTI</t>
  </si>
  <si>
    <t>JOSELITO CANAPIT</t>
  </si>
  <si>
    <t>ARIEL O. DEL ROSARIO</t>
  </si>
  <si>
    <t>27C</t>
  </si>
  <si>
    <t>GLULIANA BEATRIX</t>
  </si>
  <si>
    <t>ARIEL TAROY</t>
  </si>
  <si>
    <t>TOMALE</t>
  </si>
  <si>
    <t>GEORGIANA AINSLEY</t>
  </si>
  <si>
    <t>JOVELYN ANDAYA</t>
  </si>
  <si>
    <t>AISLINN</t>
  </si>
  <si>
    <t>ARISTEO MIRANDA</t>
  </si>
  <si>
    <t>EMMA DUCAY</t>
  </si>
  <si>
    <t>ROLDAN</t>
  </si>
  <si>
    <t>ALANIS LOVI</t>
  </si>
  <si>
    <t>LAURICE H. ROLDAN</t>
  </si>
  <si>
    <t>ARISTOTLE M. PASCUAL</t>
  </si>
  <si>
    <t>LIAN ARASHEL</t>
  </si>
  <si>
    <t>LIGAYA V. PASCUAL</t>
  </si>
  <si>
    <t>SILAS GREY</t>
  </si>
  <si>
    <t>ARLIE SALAMAT</t>
  </si>
  <si>
    <t>SANTOS</t>
  </si>
  <si>
    <t>IHAN KRISHNA</t>
  </si>
  <si>
    <t>TRICIA HUPALAR</t>
  </si>
  <si>
    <t>ARCELI SALAMAT</t>
  </si>
  <si>
    <t>KRIS NOAH</t>
  </si>
  <si>
    <t>ARLITO OIRA</t>
  </si>
  <si>
    <t>ROWENA S. BILLONES</t>
  </si>
  <si>
    <t>NASHI KRISCIA</t>
  </si>
  <si>
    <t>HUPALAR</t>
  </si>
  <si>
    <t>LANCE ABRIEL</t>
  </si>
  <si>
    <t>REBECCA C. HUPALAR</t>
  </si>
  <si>
    <t>ARMANDO GUILLEN</t>
  </si>
  <si>
    <t>MARISSA NARRIDO</t>
  </si>
  <si>
    <t>LUIGI ADAM</t>
  </si>
  <si>
    <t>ARNALDO QUIÑONES SR.</t>
  </si>
  <si>
    <t>MA. TERESA QUIÑONES</t>
  </si>
  <si>
    <t>LOPINIA</t>
  </si>
  <si>
    <t>EXEE</t>
  </si>
  <si>
    <t>JANET LOPINIA</t>
  </si>
  <si>
    <t>ARNANDO CLAWIN</t>
  </si>
  <si>
    <t>MICAELA</t>
  </si>
  <si>
    <t>ARNIE ANCHETA</t>
  </si>
  <si>
    <t>CALADIAO</t>
  </si>
  <si>
    <t>VEENA LALAINE</t>
  </si>
  <si>
    <t>LOURDES C. CALADIAO</t>
  </si>
  <si>
    <t>MARISSA ANCHETA</t>
  </si>
  <si>
    <t>CATA</t>
  </si>
  <si>
    <t>MA. SAMUELA</t>
  </si>
  <si>
    <t>MELITA DAUS PASCUA</t>
  </si>
  <si>
    <t xml:space="preserve">ARNIE LOZANDE </t>
  </si>
  <si>
    <t>ANDREY MALIBIRAN</t>
  </si>
  <si>
    <t>MA. ANGELA</t>
  </si>
  <si>
    <t>ARNOLD A. SANTOS JR.</t>
  </si>
  <si>
    <t>PASCUA</t>
  </si>
  <si>
    <t>MA. SAMANTHA MARIZ</t>
  </si>
  <si>
    <t>SUMAGDON</t>
  </si>
  <si>
    <t>DIOMEL</t>
  </si>
  <si>
    <t>ARNOLD M.  COLINARES</t>
  </si>
  <si>
    <t>GELLYN B. PUNZALAN</t>
  </si>
  <si>
    <t>VILLARUZ</t>
  </si>
  <si>
    <t>DARVIC</t>
  </si>
  <si>
    <t>JAMES ADAM S. VILLARUZ</t>
  </si>
  <si>
    <t>ARNOLD PICORRO</t>
  </si>
  <si>
    <t>MERANO</t>
  </si>
  <si>
    <t>RAVEN JOHN</t>
  </si>
  <si>
    <t>MERCEDITA YAP MERANO</t>
  </si>
  <si>
    <t>RUBY ANA PICORRO</t>
  </si>
  <si>
    <t>4A</t>
  </si>
  <si>
    <t>CHEENE</t>
  </si>
  <si>
    <t>ARNOLD SANTOS</t>
  </si>
  <si>
    <t>REMEDIOS SANTOS</t>
  </si>
  <si>
    <t>TRINIDAD</t>
  </si>
  <si>
    <t>CHRISTINE JO</t>
  </si>
  <si>
    <t>ARNULFO DAVID</t>
  </si>
  <si>
    <t>ASHLEY JANE</t>
  </si>
  <si>
    <t>ANIESA DAVID</t>
  </si>
  <si>
    <t>PRINCE JO</t>
  </si>
  <si>
    <t>AROB CHRISTOPHER S. AVILES</t>
  </si>
  <si>
    <t>HIPOLITO</t>
  </si>
  <si>
    <t>CHRISTINE TORIO AVILES</t>
  </si>
  <si>
    <t xml:space="preserve">ASH </t>
  </si>
  <si>
    <t>N.</t>
  </si>
  <si>
    <t>YANAH</t>
  </si>
  <si>
    <t>ARTURO M DAGAL</t>
  </si>
  <si>
    <t>CAROLINA M DAGAL</t>
  </si>
  <si>
    <t>11B</t>
  </si>
  <si>
    <t>AMIEL</t>
  </si>
  <si>
    <t>ARTURO RIVERA</t>
  </si>
  <si>
    <t>ALAINE MAIREEN</t>
  </si>
  <si>
    <t>JOY GUILLEN</t>
  </si>
  <si>
    <t xml:space="preserve">AIRISH </t>
  </si>
  <si>
    <t>ARVIE F. SELORIO</t>
  </si>
  <si>
    <t>MARIBETH SELORIO</t>
  </si>
  <si>
    <t>ARGOTA</t>
  </si>
  <si>
    <t>ELEANA JEN</t>
  </si>
  <si>
    <t>JENNY M. ARGOTA</t>
  </si>
  <si>
    <t>ZAMORA</t>
  </si>
  <si>
    <t>ARVIN P. BALOFIÑOS</t>
  </si>
  <si>
    <t>AVIGAIL</t>
  </si>
  <si>
    <t>JONIS A. BALOFIÑOS</t>
  </si>
  <si>
    <t>PRECIOUS GIANNA</t>
  </si>
  <si>
    <t>ARWILL FULONG</t>
  </si>
  <si>
    <t>JOMEL ARGOTA</t>
  </si>
  <si>
    <t>HAZEL L ESCUDERO</t>
  </si>
  <si>
    <t>WITE</t>
  </si>
  <si>
    <t>JUAN MIGUEL</t>
  </si>
  <si>
    <t>D.</t>
  </si>
  <si>
    <t>RICHARD ORO WITE</t>
  </si>
  <si>
    <t>AUGUSTO D. ARCILLA</t>
  </si>
  <si>
    <t>ALTHEA NICOLE</t>
  </si>
  <si>
    <t>EVANGELISTA</t>
  </si>
  <si>
    <t>JUSTINE DYWING</t>
  </si>
  <si>
    <t>AURORA LAZARO</t>
  </si>
  <si>
    <t>FREDERICO A. FLORANO</t>
  </si>
  <si>
    <t>CLYDE EXEQUIEL</t>
  </si>
  <si>
    <t>AXL JOHN  M. SORIANO</t>
  </si>
  <si>
    <t>MELYN ANN M. BENIS</t>
  </si>
  <si>
    <t>FLORANDO</t>
  </si>
  <si>
    <t>ANGELO</t>
  </si>
  <si>
    <t>JOANAMAE</t>
  </si>
  <si>
    <t>BALIJINDER KUMAR</t>
  </si>
  <si>
    <t>TEODORICO G. ARGOTA JR.</t>
  </si>
  <si>
    <t>RONALYN KUMAR</t>
  </si>
  <si>
    <t>JOYCE ANNE</t>
  </si>
  <si>
    <t>BAMBINO P. PAZ</t>
  </si>
  <si>
    <t>DEL ROSARIO</t>
  </si>
  <si>
    <t>BELLA</t>
  </si>
  <si>
    <t>EDITA L. PAZ</t>
  </si>
  <si>
    <t>JAYSON DEL ROSARIO</t>
  </si>
  <si>
    <t>KELLA</t>
  </si>
  <si>
    <t>BENEDICTO SALAMAT</t>
  </si>
  <si>
    <t>NAZARETH</t>
  </si>
  <si>
    <t>BENIDICT L GALLARDO</t>
  </si>
  <si>
    <t>JHERSEY</t>
  </si>
  <si>
    <t>MAECHELLE LABANTOCIA</t>
  </si>
  <si>
    <t>JEROME DEL ROSARIO</t>
  </si>
  <si>
    <t>PHIL JAMES</t>
  </si>
  <si>
    <t>BENJAMIN DUCA</t>
  </si>
  <si>
    <t>CALEVE TYROY</t>
  </si>
  <si>
    <t>GERALD DEL ROSARIO</t>
  </si>
  <si>
    <t>BENJAMIN H. GUTIERREZ</t>
  </si>
  <si>
    <t>ANNALYN IBARRA</t>
  </si>
  <si>
    <t>LEINA EVANA</t>
  </si>
  <si>
    <t>BENJIE PALABAY</t>
  </si>
  <si>
    <t>RICA PALABAY</t>
  </si>
  <si>
    <t>TAGLE</t>
  </si>
  <si>
    <t>CHLOE ANN</t>
  </si>
  <si>
    <t>GELBERT MARANTAL</t>
  </si>
  <si>
    <t>MARANTAL</t>
  </si>
  <si>
    <t>BERNADETHE T. MACABENTA</t>
  </si>
  <si>
    <t>PRINCE NYGEL</t>
  </si>
  <si>
    <t>MARK KEVIN</t>
  </si>
  <si>
    <t>BERNARD SARMIENTO</t>
  </si>
  <si>
    <t>JOSHUA GABRIEL</t>
  </si>
  <si>
    <t>ARLINE LIGAYAN</t>
  </si>
  <si>
    <t>DUMPIT</t>
  </si>
  <si>
    <t>LUCIA DIOR</t>
  </si>
  <si>
    <t>VANESSA MARANTAL</t>
  </si>
  <si>
    <t>BERNARDO N. LONTOC</t>
  </si>
  <si>
    <t>EVA B LONTOC</t>
  </si>
  <si>
    <t>PRADO</t>
  </si>
  <si>
    <t>JAMES</t>
  </si>
  <si>
    <t>ROMEO PRADO</t>
  </si>
  <si>
    <t>VILA</t>
  </si>
  <si>
    <t>DAN ARVIN</t>
  </si>
  <si>
    <t>BERNARDO PEREZ</t>
  </si>
  <si>
    <t>DENNIS E. VILA</t>
  </si>
  <si>
    <t>DEN MARK</t>
  </si>
  <si>
    <t>BERNIE C. OREJANA SR.</t>
  </si>
  <si>
    <t>LEONARDO</t>
  </si>
  <si>
    <t>VINCE AARON</t>
  </si>
  <si>
    <t>NARDO A. LEONARDO</t>
  </si>
  <si>
    <t>PRINCE</t>
  </si>
  <si>
    <t xml:space="preserve">BIENVENIDO C. VITORIA SR. </t>
  </si>
  <si>
    <t>DOLORES S. VICTORIA</t>
  </si>
  <si>
    <t xml:space="preserve">PRINCESS </t>
  </si>
  <si>
    <t>ROSEMARIE SALAMAT</t>
  </si>
  <si>
    <t>ORONGAN</t>
  </si>
  <si>
    <t>AKIESHIA</t>
  </si>
  <si>
    <t>ERWIN CANLAS</t>
  </si>
  <si>
    <t>CANLAS</t>
  </si>
  <si>
    <t>ERICKA MAE</t>
  </si>
  <si>
    <t>BISMARC C. MALAIT</t>
  </si>
  <si>
    <t>JOANNA TREVIA</t>
  </si>
  <si>
    <t>ROMANO</t>
  </si>
  <si>
    <t>JADE MATTHEW</t>
  </si>
  <si>
    <t>BLEZILDA MAGNO</t>
  </si>
  <si>
    <t>ERL YHVAN GAVIN</t>
  </si>
  <si>
    <t>PAYUNAN</t>
  </si>
  <si>
    <t>CJ</t>
  </si>
  <si>
    <t>JHON M. PAYUNAN</t>
  </si>
  <si>
    <t>BRANDO MALAIT</t>
  </si>
  <si>
    <t>N/A, SENIOR</t>
  </si>
  <si>
    <t>IMELDA MALAIT</t>
  </si>
  <si>
    <t>JHONNEA</t>
  </si>
  <si>
    <t>BRUNO TUCO</t>
  </si>
  <si>
    <t>SOLANA</t>
  </si>
  <si>
    <t>AGUANTA</t>
  </si>
  <si>
    <t>LHERICA JOY</t>
  </si>
  <si>
    <t>BRYAN CHESTER D. EVANGELISTA</t>
  </si>
  <si>
    <t>ROBINSON AGUANTA</t>
  </si>
  <si>
    <t>ERICA JOY</t>
  </si>
  <si>
    <t>BRYAN RENZ VELASQUEZ</t>
  </si>
  <si>
    <t>ORICIA</t>
  </si>
  <si>
    <t>AJ CHLORID</t>
  </si>
  <si>
    <t>JULIE ANNE TERENCIO</t>
  </si>
  <si>
    <t>ISABEL AGUANTA</t>
  </si>
  <si>
    <t>CALIVER ARMAS</t>
  </si>
  <si>
    <t>INGGRID SERAFFIN</t>
  </si>
  <si>
    <t>PATRICIA TABIRARA</t>
  </si>
  <si>
    <t>HERNANDEZ</t>
  </si>
  <si>
    <t>ISIAH JOHN</t>
  </si>
  <si>
    <t>CALVIN BUNAG</t>
  </si>
  <si>
    <t>ANALYN MASULA</t>
  </si>
  <si>
    <t>BALOFIÑOS</t>
  </si>
  <si>
    <t>JOHN ALDRIN</t>
  </si>
  <si>
    <t>JOHN ARVIE</t>
  </si>
  <si>
    <t>CARL JAMES D. HABITAN</t>
  </si>
  <si>
    <t>PRINCESS ELYZ</t>
  </si>
  <si>
    <t>CARLITO C. QUIÑONES</t>
  </si>
  <si>
    <t>MARGIE O. PEREZ</t>
  </si>
  <si>
    <t>FELISMINO</t>
  </si>
  <si>
    <t>MAIKHA JHOY</t>
  </si>
  <si>
    <t>TOTO PURUFICACION</t>
  </si>
  <si>
    <t>GREGORIO</t>
  </si>
  <si>
    <t>MARY YNDELLCELLE</t>
  </si>
  <si>
    <t>MARSEDILLO GREGORIO</t>
  </si>
  <si>
    <t>MARIVIC CAMPOS</t>
  </si>
  <si>
    <t>EXCESS LOT</t>
  </si>
  <si>
    <t>MC BRYLLE</t>
  </si>
  <si>
    <t>CARLITO T VARGAS</t>
  </si>
  <si>
    <t>IMELDA WAYWAY</t>
  </si>
  <si>
    <t>LIZZIE ROSE</t>
  </si>
  <si>
    <t xml:space="preserve">CARLO H. PUNZALAN </t>
  </si>
  <si>
    <t>LOBRIO</t>
  </si>
  <si>
    <t>JHUNE ALBERT</t>
  </si>
  <si>
    <t>EDNA B. PUNZALAN</t>
  </si>
  <si>
    <t>RUBELYN</t>
  </si>
  <si>
    <t>ANABELLE PAPA</t>
  </si>
  <si>
    <t>ALQUEDA</t>
  </si>
  <si>
    <t>CARMELITA MAAGNO</t>
  </si>
  <si>
    <t>CABO</t>
  </si>
  <si>
    <t>LEURI JEXTER</t>
  </si>
  <si>
    <t>LIZA LOBRIO</t>
  </si>
  <si>
    <t>LEURI KEXCEL</t>
  </si>
  <si>
    <t>CARMELO G. DE GUZMAN</t>
  </si>
  <si>
    <t>ROSALINDA V. DE GUZMAN</t>
  </si>
  <si>
    <t>ARIÑO</t>
  </si>
  <si>
    <t>METH LUCAS</t>
  </si>
  <si>
    <t>JHON DANIEL C. ARIÑO</t>
  </si>
  <si>
    <t>CAROL D. REYES</t>
  </si>
  <si>
    <t>YANINA WENDY</t>
  </si>
  <si>
    <t>JANN ERICK</t>
  </si>
  <si>
    <t>JOSELITO LOBRIO</t>
  </si>
  <si>
    <t>CAROL DEL ROSARIO</t>
  </si>
  <si>
    <t>JHOE NNE ERICKA</t>
  </si>
  <si>
    <t>CAROLINA TALASTAS</t>
  </si>
  <si>
    <t>ALONZO MIKAEL</t>
  </si>
  <si>
    <t>WALA ADDRESS</t>
  </si>
  <si>
    <t>ATAJAR</t>
  </si>
  <si>
    <t>BOBBY</t>
  </si>
  <si>
    <t>ROMEO ATAJAR</t>
  </si>
  <si>
    <t>CEDRIC L. CANAN</t>
  </si>
  <si>
    <t xml:space="preserve">MARY JOYCE B. TIN </t>
  </si>
  <si>
    <t>CUNANAN</t>
  </si>
  <si>
    <t xml:space="preserve">LUKE ARKIN </t>
  </si>
  <si>
    <t>JEFFREY D. CUNANAN</t>
  </si>
  <si>
    <t>CELEDONIIO C. DE FELIX</t>
  </si>
  <si>
    <t>CAREN</t>
  </si>
  <si>
    <t>O.</t>
  </si>
  <si>
    <t>EFREN B. DEL ROSARIO</t>
  </si>
  <si>
    <t>MYRNA B DE FELIX</t>
  </si>
  <si>
    <t>MYLENE</t>
  </si>
  <si>
    <t>CELERINA SAÑEZ</t>
  </si>
  <si>
    <t>MARY GRACE</t>
  </si>
  <si>
    <t>VINCENT</t>
  </si>
  <si>
    <t>CELSO OREJANA</t>
  </si>
  <si>
    <t>CHARITO A. OREJANA</t>
  </si>
  <si>
    <t>SAMUELLE LAURIENNE</t>
  </si>
  <si>
    <t>LAURIANO P. SANTOS JR.</t>
  </si>
  <si>
    <t>CESAR GALLARDO</t>
  </si>
  <si>
    <t xml:space="preserve">ASHER </t>
  </si>
  <si>
    <t>BAREZA</t>
  </si>
  <si>
    <t>CESAR P. PUNZZALAN</t>
  </si>
  <si>
    <t>ALEA KIM</t>
  </si>
  <si>
    <t>CARMELITA H. PUNZALAN</t>
  </si>
  <si>
    <t>LIBED</t>
  </si>
  <si>
    <t>ELDEN</t>
  </si>
  <si>
    <t>ELEMER LIBED</t>
  </si>
  <si>
    <t>CHARLES CONRAD C. NACASABUG</t>
  </si>
  <si>
    <t>EUGIE</t>
  </si>
  <si>
    <t>RONASE</t>
  </si>
  <si>
    <t>ELAINE ROSE</t>
  </si>
  <si>
    <t>A.</t>
  </si>
  <si>
    <t>ROSIE RONASE</t>
  </si>
  <si>
    <t>CHARLIE B. CASTULO</t>
  </si>
  <si>
    <t>APALLA</t>
  </si>
  <si>
    <t xml:space="preserve">ROSE  </t>
  </si>
  <si>
    <t>JENNY JANE R. CASTULO</t>
  </si>
  <si>
    <t>TERESITA APALLA</t>
  </si>
  <si>
    <t xml:space="preserve">JOY  </t>
  </si>
  <si>
    <t>JANICE P. DOMINGO</t>
  </si>
  <si>
    <t>OLAES</t>
  </si>
  <si>
    <t>ELVIRA D. OLAES</t>
  </si>
  <si>
    <t>JAY-R</t>
  </si>
  <si>
    <t>DOMINGO LOBRIO</t>
  </si>
  <si>
    <t>CHERRYLYN GALLARDO</t>
  </si>
  <si>
    <t>JEYRAH</t>
  </si>
  <si>
    <t>9K</t>
  </si>
  <si>
    <t>CHRISTIAN NATARTE</t>
  </si>
  <si>
    <t>JEYKIA</t>
  </si>
  <si>
    <t>AILEEN BELTRAN</t>
  </si>
  <si>
    <t>JAICO MHICO</t>
  </si>
  <si>
    <t>CHRISTIAN SEGUNDO</t>
  </si>
  <si>
    <t>JARRO KENT</t>
  </si>
  <si>
    <t>JANET SEGUNDO</t>
  </si>
  <si>
    <t>MAÑAS</t>
  </si>
  <si>
    <t>ELISE</t>
  </si>
  <si>
    <t>JANNE MARBERT MAÑAS</t>
  </si>
  <si>
    <t>CHRISTOPHER C. FERNANDEZ</t>
  </si>
  <si>
    <t>OLIVERA</t>
  </si>
  <si>
    <t>DAVE RAGS</t>
  </si>
  <si>
    <t>LENI FERNANDEZ</t>
  </si>
  <si>
    <t>DIMA OLIVERA</t>
  </si>
  <si>
    <t>LABUTIN</t>
  </si>
  <si>
    <t>GLENDA</t>
  </si>
  <si>
    <t>CHRISTOPHER PARAYNO</t>
  </si>
  <si>
    <t>MARIA BRENDA R. AGOTE</t>
  </si>
  <si>
    <t>RIZA LIZA PARAYNO</t>
  </si>
  <si>
    <t>APRIL</t>
  </si>
  <si>
    <t>ELGRICO</t>
  </si>
  <si>
    <t xml:space="preserve">CHU AQUINO </t>
  </si>
  <si>
    <t>ALEYA</t>
  </si>
  <si>
    <t>HANZEY AQUINO</t>
  </si>
  <si>
    <t>KHWAN</t>
  </si>
  <si>
    <t>CLEMENTE LLENO JR</t>
  </si>
  <si>
    <t>ANGELEA</t>
  </si>
  <si>
    <t>ESPIRITU</t>
  </si>
  <si>
    <t>REYNANTE</t>
  </si>
  <si>
    <t>LOLITA ESPIRITU</t>
  </si>
  <si>
    <t>ROWENA RAET</t>
  </si>
  <si>
    <t>LANDA</t>
  </si>
  <si>
    <t>THRAIA</t>
  </si>
  <si>
    <t>DENNIS LANDA</t>
  </si>
  <si>
    <t>CONCEPCION ALONZO</t>
  </si>
  <si>
    <t>CONDE</t>
  </si>
  <si>
    <t>CRISTINA</t>
  </si>
  <si>
    <t>ROSA CONDE</t>
  </si>
  <si>
    <t>ANDRES</t>
  </si>
  <si>
    <t>JUAN CARLOS</t>
  </si>
  <si>
    <t>CONRADO DE FELIX</t>
  </si>
  <si>
    <t>PEÑAFLOR</t>
  </si>
  <si>
    <t>ROLANDO</t>
  </si>
  <si>
    <t>SOLIVEN</t>
  </si>
  <si>
    <t>MARK</t>
  </si>
  <si>
    <t>CORAZON C. DE GUZMAN</t>
  </si>
  <si>
    <t>TERESITA SOLIVEN</t>
  </si>
  <si>
    <t>MARK WILLXANHDER</t>
  </si>
  <si>
    <t>CORAZON PEREZ</t>
  </si>
  <si>
    <t>MONICA THEREEZE</t>
  </si>
  <si>
    <t>RIZAZZINA</t>
  </si>
  <si>
    <t>CRESTITO BAGUNAS</t>
  </si>
  <si>
    <t>MELANIE MONIQUE</t>
  </si>
  <si>
    <t>GENE LOVE AMPOWGAN</t>
  </si>
  <si>
    <t>AÑOVERO</t>
  </si>
  <si>
    <t>KIRSTEN REESE</t>
  </si>
  <si>
    <t>KENY AÑONVERO</t>
  </si>
  <si>
    <t>CRISANTO LARIN</t>
  </si>
  <si>
    <t>AMAYRA YSABELLE</t>
  </si>
  <si>
    <t>CRISTINA CONDE</t>
  </si>
  <si>
    <t>MAGNO</t>
  </si>
  <si>
    <t>JIELLA RAE</t>
  </si>
  <si>
    <t>GUNS MAGNO</t>
  </si>
  <si>
    <t>CJ CONDE</t>
  </si>
  <si>
    <t>MIRALLES</t>
  </si>
  <si>
    <t>SEAN</t>
  </si>
  <si>
    <t>GEELYN MAGNO</t>
  </si>
  <si>
    <t>CRISTINA LAMANG</t>
  </si>
  <si>
    <t>ASHIE</t>
  </si>
  <si>
    <t>CRISTY ELLANA</t>
  </si>
  <si>
    <t>CAI</t>
  </si>
  <si>
    <t>MONTERO</t>
  </si>
  <si>
    <t>JAYRO ZEUS</t>
  </si>
  <si>
    <t>ZEBASTIAN</t>
  </si>
  <si>
    <t>MELLYN</t>
  </si>
  <si>
    <t>MELVIN MAGNO</t>
  </si>
  <si>
    <t>CRIZELDA ANCHETA</t>
  </si>
  <si>
    <t>GEELYN</t>
  </si>
  <si>
    <t>GENVIN</t>
  </si>
  <si>
    <t>GUNS</t>
  </si>
  <si>
    <t>CYNER MATEO</t>
  </si>
  <si>
    <t>MELVINA</t>
  </si>
  <si>
    <t>SUZZANE</t>
  </si>
  <si>
    <t>LUZZY ANNE</t>
  </si>
  <si>
    <t>CYNTHIA G. PASCUAL</t>
  </si>
  <si>
    <t>ALLEN</t>
  </si>
  <si>
    <t>ANDREW</t>
  </si>
  <si>
    <t>WILFREDO PASCUAL</t>
  </si>
  <si>
    <t xml:space="preserve">JUAN </t>
  </si>
  <si>
    <t xml:space="preserve">ZAYN CALIX </t>
  </si>
  <si>
    <t>JOHN JUAN</t>
  </si>
  <si>
    <t>CZARINA PEREZ</t>
  </si>
  <si>
    <t>SYDNEY</t>
  </si>
  <si>
    <t>CANTIMBUHAN</t>
  </si>
  <si>
    <t>SAISAI</t>
  </si>
  <si>
    <t>DAEYVE GENABE</t>
  </si>
  <si>
    <t>THOMAS</t>
  </si>
  <si>
    <t>DANIEL</t>
  </si>
  <si>
    <t>ALLAINE MAURIZ</t>
  </si>
  <si>
    <t>PAULA CAMILLE TASLASTAS</t>
  </si>
  <si>
    <t>DAISY GUTIERREZ</t>
  </si>
  <si>
    <t>AVAN</t>
  </si>
  <si>
    <t>TORLAO</t>
  </si>
  <si>
    <t>DAISY SANTOS</t>
  </si>
  <si>
    <t>KLEA ANISHA</t>
  </si>
  <si>
    <t>RONALD TORLAO</t>
  </si>
  <si>
    <t xml:space="preserve">PRINCESS ALANA </t>
  </si>
  <si>
    <t xml:space="preserve">DANIEL HUGH R. GAMER </t>
  </si>
  <si>
    <t xml:space="preserve">SORIANO </t>
  </si>
  <si>
    <t>JEOFFREY  BRYLE SORIANO</t>
  </si>
  <si>
    <t>JEFFREY L. SORIANO</t>
  </si>
  <si>
    <t>HANINA KYLE</t>
  </si>
  <si>
    <t>DANILO A. MERCADO</t>
  </si>
  <si>
    <t>MARIA MINILEA D. MERCADO</t>
  </si>
  <si>
    <t>MARGOUX ZIALHYNE</t>
  </si>
  <si>
    <t>DANILO A. TUMAGAN</t>
  </si>
  <si>
    <t>LUZVIMINDA V. TUMAGAN</t>
  </si>
  <si>
    <t xml:space="preserve">AVIANNAH ZYRA </t>
  </si>
  <si>
    <t>LAZARO</t>
  </si>
  <si>
    <t>JHAMAICA</t>
  </si>
  <si>
    <t>DANILO B PAGUDAR</t>
  </si>
  <si>
    <t>MICHAEL BRYLLE NIEVAS</t>
  </si>
  <si>
    <t>MA. EDNA PAGUDAR</t>
  </si>
  <si>
    <t>ANGEL GRACE</t>
  </si>
  <si>
    <t>NIEVAS</t>
  </si>
  <si>
    <t>DANILO GUATES</t>
  </si>
  <si>
    <t>MICHAELLA BLYTHE</t>
  </si>
  <si>
    <t>ROWENA GUATES</t>
  </si>
  <si>
    <t>ECLLICTY MICHAELLA</t>
  </si>
  <si>
    <t>DANILO P. VICTA</t>
  </si>
  <si>
    <t>PAANO</t>
  </si>
  <si>
    <t xml:space="preserve">YEONA LEE NICOLE </t>
  </si>
  <si>
    <t>SHERICA ERYLL A GEREZ</t>
  </si>
  <si>
    <t>DANILO P. VILLAR</t>
  </si>
  <si>
    <t>JOHN CLYDE</t>
  </si>
  <si>
    <t>JOHN MARK MIRASOL</t>
  </si>
  <si>
    <t>DISEASE</t>
  </si>
  <si>
    <t>ROSEMARIE MERANO</t>
  </si>
  <si>
    <t>CARUMBA</t>
  </si>
  <si>
    <t>THELMA</t>
  </si>
  <si>
    <t>NELBERT AZARCON</t>
  </si>
  <si>
    <t>DANILO PAUL P. BARBACENA</t>
  </si>
  <si>
    <t>JULIET P. BARBACENA</t>
  </si>
  <si>
    <t>CAMILLE JOY</t>
  </si>
  <si>
    <t>AZARCON</t>
  </si>
  <si>
    <t>RANEL</t>
  </si>
  <si>
    <t xml:space="preserve">DANTE H. BENIS </t>
  </si>
  <si>
    <t>DELOS REYES</t>
  </si>
  <si>
    <t>SAEL</t>
  </si>
  <si>
    <t>JANUS DELOS REYES</t>
  </si>
  <si>
    <t>DARWIN C PAGUDAR</t>
  </si>
  <si>
    <t>CHESKA</t>
  </si>
  <si>
    <t>KRYSTEL MARIE V TORRES</t>
  </si>
  <si>
    <t>ZETH</t>
  </si>
  <si>
    <t>DARWIN CONDES</t>
  </si>
  <si>
    <t>MASBATE</t>
  </si>
  <si>
    <t>KAREN NAVARETTE</t>
  </si>
  <si>
    <t xml:space="preserve">ALEXY EUNICE </t>
  </si>
  <si>
    <t>JESUS MASBATE JR.</t>
  </si>
  <si>
    <t>DARWIN J. AMORIN</t>
  </si>
  <si>
    <t>DE GUIA</t>
  </si>
  <si>
    <t>ALODIA FAITH</t>
  </si>
  <si>
    <t xml:space="preserve">ROSEWELL DE GUIA </t>
  </si>
  <si>
    <t>AUDREY</t>
  </si>
  <si>
    <t>DARWIN R. OCAMPO</t>
  </si>
  <si>
    <t>OCAMPO</t>
  </si>
  <si>
    <t>ADIAN CARLOS</t>
  </si>
  <si>
    <t>DELIA P CERBITO</t>
  </si>
  <si>
    <t>SILVETRE</t>
  </si>
  <si>
    <t>JOHN RYAAN</t>
  </si>
  <si>
    <t>DELIA SILVESTRE</t>
  </si>
  <si>
    <t>ROBLES</t>
  </si>
  <si>
    <t>RODYLYN</t>
  </si>
  <si>
    <t>XYRYLL YHUUKY</t>
  </si>
  <si>
    <t xml:space="preserve">DENNIS B. CALLOS </t>
  </si>
  <si>
    <t>ELISA S. CALLOS</t>
  </si>
  <si>
    <t>XYLLO ZION</t>
  </si>
  <si>
    <t>JANPHIL</t>
  </si>
  <si>
    <t>MARY GRACE D. VILA</t>
  </si>
  <si>
    <t>SILVESTRE</t>
  </si>
  <si>
    <t xml:space="preserve">JHANN KYLE </t>
  </si>
  <si>
    <t>RICHARD B. SILVESTRE</t>
  </si>
  <si>
    <t>ADION MARC</t>
  </si>
  <si>
    <t>LABAJO</t>
  </si>
  <si>
    <t>ALESSANDRA JOYCE</t>
  </si>
  <si>
    <t>JOY SILVESTRE</t>
  </si>
  <si>
    <t>DENNIS TAROY</t>
  </si>
  <si>
    <t>JOAN ANDAYA</t>
  </si>
  <si>
    <t>SOPHIA VICTORIA</t>
  </si>
  <si>
    <t>DESIDERIO VELASQUEZ</t>
  </si>
  <si>
    <t>VALDEZ</t>
  </si>
  <si>
    <t>VON RYAN</t>
  </si>
  <si>
    <t>MARLON VALDEZ</t>
  </si>
  <si>
    <t>DEXTER D DIHAYCO</t>
  </si>
  <si>
    <t>PASQUAL</t>
  </si>
  <si>
    <t>ALEXANDER</t>
  </si>
  <si>
    <t>V.</t>
  </si>
  <si>
    <t>BELLITA T DIHAYCO</t>
  </si>
  <si>
    <t>JAN MARKO</t>
  </si>
  <si>
    <t>DIANNE DALMA</t>
  </si>
  <si>
    <t>PANUELOS</t>
  </si>
  <si>
    <t>JUVELA SHANE</t>
  </si>
  <si>
    <t>JEFFREY PANUELOS</t>
  </si>
  <si>
    <t>JANEA LORAINE</t>
  </si>
  <si>
    <t>JIRA LIANNA</t>
  </si>
  <si>
    <t>ROSALIE PARAS</t>
  </si>
  <si>
    <t>PASCUAL</t>
  </si>
  <si>
    <t>ELGINE</t>
  </si>
  <si>
    <t>EMMANUEL PASCUAL</t>
  </si>
  <si>
    <t>DINA B FRONDA</t>
  </si>
  <si>
    <t>MARIEL</t>
  </si>
  <si>
    <t>DINA OLIVERA</t>
  </si>
  <si>
    <t>IGASAN</t>
  </si>
  <si>
    <t>JESSALYN</t>
  </si>
  <si>
    <t>JAIME BELTRAN JARIN</t>
  </si>
  <si>
    <t>NAGAC</t>
  </si>
  <si>
    <t xml:space="preserve">JONNALYN </t>
  </si>
  <si>
    <t>DOLORES  B.  CALLOS</t>
  </si>
  <si>
    <t>JERICCO</t>
  </si>
  <si>
    <t>ALMER M. PASCUAL</t>
  </si>
  <si>
    <t>DOLORES D ORIDO</t>
  </si>
  <si>
    <t>JOHANA</t>
  </si>
  <si>
    <t>ELMIRA</t>
  </si>
  <si>
    <t>DOLORES TALASTAS</t>
  </si>
  <si>
    <t>CHAVEZ</t>
  </si>
  <si>
    <t>ANGELICA</t>
  </si>
  <si>
    <t>LED G. CHAVEZ</t>
  </si>
  <si>
    <t xml:space="preserve">DOMINADOR ALBEZA </t>
  </si>
  <si>
    <t>SARAH JOI</t>
  </si>
  <si>
    <t>RAMONA ALBEZA</t>
  </si>
  <si>
    <t xml:space="preserve">QUEEN SCARLET </t>
  </si>
  <si>
    <t>JULIEN PAUL  L. CHAVEZ</t>
  </si>
  <si>
    <t>DOMINADOR GUTIERREZ</t>
  </si>
  <si>
    <t>ROSEMARIE GUTIERREZ</t>
  </si>
  <si>
    <t>PERALES</t>
  </si>
  <si>
    <t>JOHN CEDRIC</t>
  </si>
  <si>
    <t xml:space="preserve">MA. CRISTINA M. PERALES </t>
  </si>
  <si>
    <t>RODIL</t>
  </si>
  <si>
    <t>NASH NATHANIEL</t>
  </si>
  <si>
    <t>EMMA MORANTE</t>
  </si>
  <si>
    <t>CHRISTENSEN</t>
  </si>
  <si>
    <t>MALAIT</t>
  </si>
  <si>
    <t>VLADIMIR</t>
  </si>
  <si>
    <t>DOMINGO DESDIR</t>
  </si>
  <si>
    <t>ROSEMARIE DESDIR</t>
  </si>
  <si>
    <t>TYRON POWER</t>
  </si>
  <si>
    <t>DOMINGO H. QUIJADO</t>
  </si>
  <si>
    <t>JARED</t>
  </si>
  <si>
    <t>ELBA DOLORES E. QUIJADO</t>
  </si>
  <si>
    <t xml:space="preserve">SAVANNAH </t>
  </si>
  <si>
    <t>DOMINGO L. BONO</t>
  </si>
  <si>
    <t>NACASABUG</t>
  </si>
  <si>
    <t>SHAIRA</t>
  </si>
  <si>
    <t>YOLANDA C. NACASABUG</t>
  </si>
  <si>
    <t>GERTRUDES G. BONO</t>
  </si>
  <si>
    <t>DIANA</t>
  </si>
  <si>
    <t>BELINDA</t>
  </si>
  <si>
    <t>ANGELA</t>
  </si>
  <si>
    <t>BEN</t>
  </si>
  <si>
    <t>C. JR.</t>
  </si>
  <si>
    <t>ROWENA LOBRIO</t>
  </si>
  <si>
    <t xml:space="preserve">NICOLE ANDREI </t>
  </si>
  <si>
    <t>DOMINGO QUIJADO</t>
  </si>
  <si>
    <t>JENNYFER F. PABILLO</t>
  </si>
  <si>
    <t>SEGUNDO</t>
  </si>
  <si>
    <t>MERIAM</t>
  </si>
  <si>
    <t>FORTUNATO SEGUNDO</t>
  </si>
  <si>
    <t>DOMINIC SORILLA</t>
  </si>
  <si>
    <t>MARY JANE O. SORILLA</t>
  </si>
  <si>
    <t>DINESSE</t>
  </si>
  <si>
    <t>S.</t>
  </si>
  <si>
    <t>FRANCIS SEGUNDO</t>
  </si>
  <si>
    <t>FRANZ DARREL</t>
  </si>
  <si>
    <t>EDGAR LLAMES</t>
  </si>
  <si>
    <t>RENA CORTINA</t>
  </si>
  <si>
    <t>FRANCINE  DHANE</t>
  </si>
  <si>
    <t>EDGARDO M. GUTIERREZ</t>
  </si>
  <si>
    <t xml:space="preserve">CHRYZHER JHET </t>
  </si>
  <si>
    <t>CRIZHIAN JHOST</t>
  </si>
  <si>
    <t>EDILBERTO B. REÑA</t>
  </si>
  <si>
    <t>LILIBETH A. REÑA</t>
  </si>
  <si>
    <t xml:space="preserve">NATHAN </t>
  </si>
  <si>
    <t>MACAS</t>
  </si>
  <si>
    <t>REHIANNE AMBER</t>
  </si>
  <si>
    <t>RHENAL NEPP V. MACAS</t>
  </si>
  <si>
    <t>EDMOND A. EDRALIN</t>
  </si>
  <si>
    <t>LEONORA J. EDRALIN</t>
  </si>
  <si>
    <t>REIHN ANDRE</t>
  </si>
  <si>
    <t>REJIEANNE</t>
  </si>
  <si>
    <t>EDMOND N. ROMA</t>
  </si>
  <si>
    <t>MARYLYN DUMASAL</t>
  </si>
  <si>
    <t>REJIE ANGELO</t>
  </si>
  <si>
    <t>EDNA D BARCO</t>
  </si>
  <si>
    <t>REIHN AXEL</t>
  </si>
  <si>
    <t>9B</t>
  </si>
  <si>
    <t xml:space="preserve">GALIT </t>
  </si>
  <si>
    <t>SHAIRA LEIGH</t>
  </si>
  <si>
    <t>ROMEO L. GALIT JR.</t>
  </si>
  <si>
    <t>EDWARD T. GOROSPE</t>
  </si>
  <si>
    <t>EPHRAIM JUDE</t>
  </si>
  <si>
    <t>RIZALINA S. GOROSPE</t>
  </si>
  <si>
    <t>BARJONA</t>
  </si>
  <si>
    <t>EDWIN EUNICE ORCASITAS</t>
  </si>
  <si>
    <t>LUCIA ORCASITADS</t>
  </si>
  <si>
    <t>SHINEJAH</t>
  </si>
  <si>
    <t>ABISH SUZANNE</t>
  </si>
  <si>
    <t>EDWIN F. PANLAQUI</t>
  </si>
  <si>
    <t>CRISTINA FLORES</t>
  </si>
  <si>
    <t>GERALD AUGUSTINE</t>
  </si>
  <si>
    <t>EDWIN PERALTA</t>
  </si>
  <si>
    <t>MAHONRI</t>
  </si>
  <si>
    <t>MATIONG</t>
  </si>
  <si>
    <t>PRINCE JOSHUA</t>
  </si>
  <si>
    <t>NIÑO M. MATIONG</t>
  </si>
  <si>
    <t>CLARITA D. DEL ROSARIO</t>
  </si>
  <si>
    <t>LIL ROSNIN</t>
  </si>
  <si>
    <t>EFREN B. GAMBAN</t>
  </si>
  <si>
    <t>DELIGAN</t>
  </si>
  <si>
    <t>GLORIA M. GAMBAN</t>
  </si>
  <si>
    <t>JUNIE DELIGAN</t>
  </si>
  <si>
    <t>JUZZ DAVID</t>
  </si>
  <si>
    <t>EFREN G. ORCASITAS</t>
  </si>
  <si>
    <t>MA.CRISELDA Y. ORCASITAS</t>
  </si>
  <si>
    <t>JOSE MARIE</t>
  </si>
  <si>
    <t>EFREN PALLER</t>
  </si>
  <si>
    <t>TUMAGAN</t>
  </si>
  <si>
    <t>DEONNE CARLO</t>
  </si>
  <si>
    <t>EVELYN PALLER / JOHN MICHAEL PALLER</t>
  </si>
  <si>
    <t>LALAINE GRACE</t>
  </si>
  <si>
    <t>MARC LAURENCE</t>
  </si>
  <si>
    <t>EDENROSE APALLA</t>
  </si>
  <si>
    <t>RAFHAEL</t>
  </si>
  <si>
    <t>LORNA ESPIRITU</t>
  </si>
  <si>
    <t>ELENSIEIN P FLANDEZ</t>
  </si>
  <si>
    <t>RYAN</t>
  </si>
  <si>
    <t>6D</t>
  </si>
  <si>
    <t>YOONA</t>
  </si>
  <si>
    <t xml:space="preserve">JONALYN OLAES </t>
  </si>
  <si>
    <t>SEANMEL</t>
  </si>
  <si>
    <t>ELISEO OLAES</t>
  </si>
  <si>
    <t>AQUINO</t>
  </si>
  <si>
    <t>LENGLENG</t>
  </si>
  <si>
    <t>PORFERIA B. ESPUERTA</t>
  </si>
  <si>
    <t>PINGPING</t>
  </si>
  <si>
    <t>ELIZA DESPABELADERAS</t>
  </si>
  <si>
    <t>TINTIN</t>
  </si>
  <si>
    <t>ELIZABETH BENIGNO</t>
  </si>
  <si>
    <t>KWON</t>
  </si>
  <si>
    <t>SHANE BONA</t>
  </si>
  <si>
    <t>SHANE BONA KWON</t>
  </si>
  <si>
    <t>CLEMENTE</t>
  </si>
  <si>
    <t>JAZZY RYE</t>
  </si>
  <si>
    <t>RANDY KLEMENTE</t>
  </si>
  <si>
    <t>ELIZABETH BERTULFO</t>
  </si>
  <si>
    <t>RACHELLE</t>
  </si>
  <si>
    <t>DE GUZZMAN</t>
  </si>
  <si>
    <t xml:space="preserve">C. </t>
  </si>
  <si>
    <t>ELIZABETH CANAPIT</t>
  </si>
  <si>
    <t xml:space="preserve">DE GUZMAN </t>
  </si>
  <si>
    <t>RHEXEINYLL</t>
  </si>
  <si>
    <t>REGIDOR BUSCAGAN</t>
  </si>
  <si>
    <t>SALES</t>
  </si>
  <si>
    <t>LEVI RYEXEN</t>
  </si>
  <si>
    <t>RHEXEINE REGINALD  DE GUZMAN</t>
  </si>
  <si>
    <t>ELLEN G. SERAPIA</t>
  </si>
  <si>
    <t>GONZALES</t>
  </si>
  <si>
    <t>JACOB</t>
  </si>
  <si>
    <t>V</t>
  </si>
  <si>
    <t>HENRY P. GONZALES</t>
  </si>
  <si>
    <t>ELMER M. PASCUAL</t>
  </si>
  <si>
    <t>CORNELIO</t>
  </si>
  <si>
    <t>WELDELYN</t>
  </si>
  <si>
    <t>MIRRIAM N. PASCUAL</t>
  </si>
  <si>
    <t>JOEL CORNELIO</t>
  </si>
  <si>
    <t>11-A</t>
  </si>
  <si>
    <t>WELLA MAE</t>
  </si>
  <si>
    <t>ELMER VALDEZ</t>
  </si>
  <si>
    <t>LICIEL CRUZ</t>
  </si>
  <si>
    <t>ELPIDIO M. GRANDE JR.</t>
  </si>
  <si>
    <t>DELA CRUZ</t>
  </si>
  <si>
    <t>ALEXANDRA</t>
  </si>
  <si>
    <t xml:space="preserve">MARJHUN DELA CRUZ </t>
  </si>
  <si>
    <t>VIOLETA B. HABLA</t>
  </si>
  <si>
    <t>CASSANDRA</t>
  </si>
  <si>
    <t>ELPIDIO M. GRANDE SR.</t>
  </si>
  <si>
    <t>DOLORES B. GRANDE</t>
  </si>
  <si>
    <t>ALEXIS</t>
  </si>
  <si>
    <t>NHELO</t>
  </si>
  <si>
    <t>MARGARETH DELA CRUZ</t>
  </si>
  <si>
    <t xml:space="preserve">RALPH JAEY LLONE </t>
  </si>
  <si>
    <t>G.</t>
  </si>
  <si>
    <t>ROGELIO M. DE GUZMAN</t>
  </si>
  <si>
    <t>EM VILLARINO</t>
  </si>
  <si>
    <t xml:space="preserve">JOZELLE LYCA </t>
  </si>
  <si>
    <t>JUDE ROEAN</t>
  </si>
  <si>
    <t>CRIZELLE KATE</t>
  </si>
  <si>
    <t>LEISLY JHIENNE</t>
  </si>
  <si>
    <t>MARGIE PASCUAL</t>
  </si>
  <si>
    <t>ROCHELLYN RHEIGNNE</t>
  </si>
  <si>
    <t>EMY SALAZAR AGUILA</t>
  </si>
  <si>
    <t>LANDRITO</t>
  </si>
  <si>
    <t>MARY ROSE</t>
  </si>
  <si>
    <t>ABUEL</t>
  </si>
  <si>
    <t xml:space="preserve">JHAZTINE </t>
  </si>
  <si>
    <t>ALBEZA</t>
  </si>
  <si>
    <t xml:space="preserve">MARICEL ALBEZA ABUEL </t>
  </si>
  <si>
    <t>ENRIQUE DIZON SR</t>
  </si>
  <si>
    <t>ECEL MAE</t>
  </si>
  <si>
    <t>ERIC E. ADRICULA</t>
  </si>
  <si>
    <t>JOHN RACEL</t>
  </si>
  <si>
    <t>LADY HERSHEY BUSCAGAN</t>
  </si>
  <si>
    <t>ERIC HORTAL</t>
  </si>
  <si>
    <t xml:space="preserve">DOMINADOR JR. </t>
  </si>
  <si>
    <t xml:space="preserve">ALBEZA </t>
  </si>
  <si>
    <t>MARILOU</t>
  </si>
  <si>
    <t>ERIC P GEREZ</t>
  </si>
  <si>
    <t>MERCADO</t>
  </si>
  <si>
    <t>ZAIRUD</t>
  </si>
  <si>
    <t>PAUL ARDEN MERCADO</t>
  </si>
  <si>
    <t>ERIC URZABIA</t>
  </si>
  <si>
    <t>SELORIO</t>
  </si>
  <si>
    <t>MARC ARLU</t>
  </si>
  <si>
    <t>EDLA DELOS SANTOS</t>
  </si>
  <si>
    <t>MAVIE SOFIA</t>
  </si>
  <si>
    <t>ERLINDA CAJEPE</t>
  </si>
  <si>
    <t>MARC STEPHEN</t>
  </si>
  <si>
    <t>MARIBETH</t>
  </si>
  <si>
    <t>MARCO</t>
  </si>
  <si>
    <t>LUTGARDO C. MARCO</t>
  </si>
  <si>
    <t>ERLINDA NIEGAS</t>
  </si>
  <si>
    <t>MARILUTH</t>
  </si>
  <si>
    <t>MARVIN JULIUS</t>
  </si>
  <si>
    <t>ERNALD S. ABUEG</t>
  </si>
  <si>
    <t>BARANGAY SAN MIGUEL II DATA INFORMATION</t>
  </si>
  <si>
    <t xml:space="preserve">VICTORIA P. ABUEG </t>
  </si>
  <si>
    <t>30-A</t>
  </si>
  <si>
    <t>CLYDE DYME</t>
  </si>
  <si>
    <t>RICHARD DEAN O. MERCADO</t>
  </si>
  <si>
    <t>ERWIN BARBULO</t>
  </si>
  <si>
    <t>SCARLETPED</t>
  </si>
  <si>
    <t>PARTNER:</t>
  </si>
  <si>
    <t>DIMPLE LLAMES</t>
  </si>
  <si>
    <t xml:space="preserve">ANDREA  GAIL </t>
  </si>
  <si>
    <t>LORENA ORONGAN</t>
  </si>
  <si>
    <t xml:space="preserve">MAUREEN </t>
  </si>
  <si>
    <t xml:space="preserve">D. </t>
  </si>
  <si>
    <t>ERWIN EVANGELISTA</t>
  </si>
  <si>
    <t>BIRTHDAY:</t>
  </si>
  <si>
    <t xml:space="preserve">CHANDREA FAITH </t>
  </si>
  <si>
    <t>JOHN LAWRENCE GONZALES</t>
  </si>
  <si>
    <t>LORETA CORREA</t>
  </si>
  <si>
    <t>ZANE LHIAN</t>
  </si>
  <si>
    <t>LEANDRO D. MERCADO</t>
  </si>
  <si>
    <t>ERWIN ROMERO</t>
  </si>
  <si>
    <t>PRECINT NO.:</t>
  </si>
  <si>
    <t>CECILLIA ROMERO</t>
  </si>
  <si>
    <t xml:space="preserve">ELLERIE </t>
  </si>
  <si>
    <t>STATUS:</t>
  </si>
  <si>
    <t xml:space="preserve">ZOE ELLAINE </t>
  </si>
  <si>
    <t>ESTER CHAVEZ</t>
  </si>
  <si>
    <t>MARTINEZ</t>
  </si>
  <si>
    <t>WARREN</t>
  </si>
  <si>
    <t xml:space="preserve">JULIETA MARTINEZ </t>
  </si>
  <si>
    <t>CHILDREN FOUND:</t>
  </si>
  <si>
    <t>EUGENE L ESCUDERO</t>
  </si>
  <si>
    <t>ASHLEY CHANTLE</t>
  </si>
  <si>
    <t>SIENALYN OLAES</t>
  </si>
  <si>
    <t>ADDRESS:</t>
  </si>
  <si>
    <t>BLK:</t>
  </si>
  <si>
    <t>JASTIN DALE</t>
  </si>
  <si>
    <t>EUGENIA L AGUILAR</t>
  </si>
  <si>
    <t>LOT:</t>
  </si>
  <si>
    <t>ROLLEN DENISE</t>
  </si>
  <si>
    <t xml:space="preserve">ROLANDO OALES </t>
  </si>
  <si>
    <t>NAVARRETE</t>
  </si>
  <si>
    <t xml:space="preserve">YAREN ARKIN </t>
  </si>
  <si>
    <t xml:space="preserve">                                                                                                  </t>
  </si>
  <si>
    <t>VANESSA NAVARRETE</t>
  </si>
  <si>
    <t>EVELIO BOLLOZOS</t>
  </si>
  <si>
    <t>GWENDYLYN AIKO D. EVANGELISTA</t>
  </si>
  <si>
    <t xml:space="preserve">VANGEL AZREL </t>
  </si>
  <si>
    <t>HONTIVEROS</t>
  </si>
  <si>
    <t>WILSON</t>
  </si>
  <si>
    <t>FE RAMOS</t>
  </si>
  <si>
    <t>WILFREDO HONTIVEROS</t>
  </si>
  <si>
    <t>PACIA</t>
  </si>
  <si>
    <t xml:space="preserve">ASHLEY </t>
  </si>
  <si>
    <t>RHODORA PACIA</t>
  </si>
  <si>
    <t>FE SANTIAGO</t>
  </si>
  <si>
    <t>SHAN FORTUNE</t>
  </si>
  <si>
    <t>CASTILIO</t>
  </si>
  <si>
    <t>ETHAN JOSEPH</t>
  </si>
  <si>
    <t>FELIMON HONRADO JR.</t>
  </si>
  <si>
    <t>LUZVI MINDA HONRADO</t>
  </si>
  <si>
    <t>ELIJAH JILL CASTILLO</t>
  </si>
  <si>
    <t>BAÑADERA</t>
  </si>
  <si>
    <t>ANDRE</t>
  </si>
  <si>
    <t>FELIX BRIAN ALUMBRO</t>
  </si>
  <si>
    <t>MARY GRACE BAÑADERA</t>
  </si>
  <si>
    <t>MANILYN QUIJADO</t>
  </si>
  <si>
    <t>ADRIENNE</t>
  </si>
  <si>
    <t>FERDINAND G. ALONZO</t>
  </si>
  <si>
    <t>TIDALGO</t>
  </si>
  <si>
    <t>ASHANTI</t>
  </si>
  <si>
    <t>JOHN VERR MANGULABNAN</t>
  </si>
  <si>
    <t>GINA D. ALONZO</t>
  </si>
  <si>
    <t>GABUYA</t>
  </si>
  <si>
    <t>JULIET</t>
  </si>
  <si>
    <t>RODOLFO RABANG</t>
  </si>
  <si>
    <t>TRICIA MARIE PAPA</t>
  </si>
  <si>
    <t>RABANG</t>
  </si>
  <si>
    <t>JESSICA</t>
  </si>
  <si>
    <t>JERICK</t>
  </si>
  <si>
    <t>FERNANDO HIMAN</t>
  </si>
  <si>
    <t>BELEN ESPINA</t>
  </si>
  <si>
    <t>BERNARD</t>
  </si>
  <si>
    <t>FERNANDO HITOSIS</t>
  </si>
  <si>
    <t>HECTOR</t>
  </si>
  <si>
    <t>APRIL ROSE ZABALA</t>
  </si>
  <si>
    <t>DITCHE</t>
  </si>
  <si>
    <t xml:space="preserve">ETHAN </t>
  </si>
  <si>
    <t>FERNANDO IGAO</t>
  </si>
  <si>
    <t>LOUSE</t>
  </si>
  <si>
    <t>JENNIFER IGAO</t>
  </si>
  <si>
    <t>ORTIZ</t>
  </si>
  <si>
    <t>NESTOR ORTIZ</t>
  </si>
  <si>
    <t xml:space="preserve">FERNANDO VILLAR </t>
  </si>
  <si>
    <t>ARKHEIN</t>
  </si>
  <si>
    <t>CHE-CHE VILLAR</t>
  </si>
  <si>
    <t>AGATHA</t>
  </si>
  <si>
    <t>FLORENCIO E. QUIJADO</t>
  </si>
  <si>
    <t>ANGELINE ABEREA</t>
  </si>
  <si>
    <t>AXEL</t>
  </si>
  <si>
    <t>FLORENTINA GUTIERREZ</t>
  </si>
  <si>
    <t>NESTOR</t>
  </si>
  <si>
    <t>DIANNE DAIMA</t>
  </si>
  <si>
    <t>OBISPO</t>
  </si>
  <si>
    <t>JHEMREI AINNE</t>
  </si>
  <si>
    <t xml:space="preserve">FLORO R. ZULUETA </t>
  </si>
  <si>
    <t>VERON DELA CRUZ ZULUETA</t>
  </si>
  <si>
    <t>JHESNIAANE</t>
  </si>
  <si>
    <t>OBIS[[O</t>
  </si>
  <si>
    <t>JHERB ZAIPRINCE</t>
  </si>
  <si>
    <t>JHAZNEA CATHRIEN</t>
  </si>
  <si>
    <t xml:space="preserve">OLAES </t>
  </si>
  <si>
    <t>FRANCIS F. GERONA</t>
  </si>
  <si>
    <t>EMMA</t>
  </si>
  <si>
    <t>LUDIVINA OLAES</t>
  </si>
  <si>
    <t>RUZZEL CLYDE B. GERONA</t>
  </si>
  <si>
    <t>CAJEPE</t>
  </si>
  <si>
    <t>ELAIZA</t>
  </si>
  <si>
    <t>FRANCIS RICHARDSON</t>
  </si>
  <si>
    <t>JAYVEE</t>
  </si>
  <si>
    <t>VIRGINIA RICHARDSON</t>
  </si>
  <si>
    <t>AVENIDO</t>
  </si>
  <si>
    <t>GERILYN</t>
  </si>
  <si>
    <t>LOUELE D. GABUYA</t>
  </si>
  <si>
    <t>ELJAY</t>
  </si>
  <si>
    <t>IVY SEGUNDO</t>
  </si>
  <si>
    <t>ELIANA</t>
  </si>
  <si>
    <t>FRANCISCA D. AMASA</t>
  </si>
  <si>
    <t>JADE</t>
  </si>
  <si>
    <t xml:space="preserve">LARRY O. MALIBIRAN </t>
  </si>
  <si>
    <t>CAMILING</t>
  </si>
  <si>
    <t>JHESTER KAIZEN</t>
  </si>
  <si>
    <t>FRANKTONIE ACOSTA</t>
  </si>
  <si>
    <t>MALIBIRAN</t>
  </si>
  <si>
    <t>ADHRIEL</t>
  </si>
  <si>
    <t>ROWENA A ACOSTA</t>
  </si>
  <si>
    <t>13B</t>
  </si>
  <si>
    <t>LOZANDE</t>
  </si>
  <si>
    <t>AROLLO</t>
  </si>
  <si>
    <t>GENABR</t>
  </si>
  <si>
    <t>DAEYVE WRANDELLE</t>
  </si>
  <si>
    <t>ZAYDEE PAPA</t>
  </si>
  <si>
    <t>CORREA</t>
  </si>
  <si>
    <t xml:space="preserve">DARYN </t>
  </si>
  <si>
    <t>FREDERICK HERRERA BALILE</t>
  </si>
  <si>
    <t>JERDEN</t>
  </si>
  <si>
    <t>ANA MARIE P. MADRAZO</t>
  </si>
  <si>
    <t xml:space="preserve">JULIA MERITTE </t>
  </si>
  <si>
    <t xml:space="preserve">FREDERICK R. MAGBANUA </t>
  </si>
  <si>
    <t xml:space="preserve">JOYA </t>
  </si>
  <si>
    <t>KELVIN</t>
  </si>
  <si>
    <t xml:space="preserve">RENE T. JOYA </t>
  </si>
  <si>
    <t>CARIAS</t>
  </si>
  <si>
    <t xml:space="preserve">ATHENA QUINN </t>
  </si>
  <si>
    <t>FREDERICK SORIANO</t>
  </si>
  <si>
    <t>ZULUETA</t>
  </si>
  <si>
    <t>MARICAR</t>
  </si>
  <si>
    <t>JOCELYN SORIANO</t>
  </si>
  <si>
    <t>ROBERTO ZULLUETA</t>
  </si>
  <si>
    <t>SHA-SHA</t>
  </si>
  <si>
    <t>IRENE JOY JOVEN</t>
  </si>
  <si>
    <t>ARCILLA</t>
  </si>
  <si>
    <t xml:space="preserve">FRANZ DHARYLE </t>
  </si>
  <si>
    <t>ANCHETA</t>
  </si>
  <si>
    <t>CHIA</t>
  </si>
  <si>
    <t>FREGIN L IGAO</t>
  </si>
  <si>
    <t>ERNELIZA V IGAO</t>
  </si>
  <si>
    <t>SAMANTHA CASSEY</t>
  </si>
  <si>
    <t>ARKHIEN</t>
  </si>
  <si>
    <t xml:space="preserve">FROILAN CRUZ </t>
  </si>
  <si>
    <t>MA. ELENA Y. CRUZ</t>
  </si>
  <si>
    <t>27-C</t>
  </si>
  <si>
    <t xml:space="preserve">AERAHLL JACRE </t>
  </si>
  <si>
    <t xml:space="preserve">GABRIEL B. GRANDE </t>
  </si>
  <si>
    <t>ARJH ARIEN</t>
  </si>
  <si>
    <t xml:space="preserve">ROXANNE B. GRANDE </t>
  </si>
  <si>
    <t>ARJHIE LOUIS</t>
  </si>
  <si>
    <t>GABRIEL M SANTOS</t>
  </si>
  <si>
    <t>ARJHALYN MAE</t>
  </si>
  <si>
    <t>CHARITO D SANTOS</t>
  </si>
  <si>
    <t>VERGARA</t>
  </si>
  <si>
    <t>PRINCESS SHARENE</t>
  </si>
  <si>
    <t>GARDELIO B. GRANDE</t>
  </si>
  <si>
    <t>CHERRI ROSE TEMAJO</t>
  </si>
  <si>
    <t>ANTHONY CARL</t>
  </si>
  <si>
    <t>AICELLE CHLOE</t>
  </si>
  <si>
    <t>GATSS JEROME C ALCANTARA</t>
  </si>
  <si>
    <t>ABEGAIL I. ALCANTARA</t>
  </si>
  <si>
    <t>AYALA</t>
  </si>
  <si>
    <t>JALARE MEZAEL</t>
  </si>
  <si>
    <t>JOEFRE S. AYALA</t>
  </si>
  <si>
    <t xml:space="preserve">GEZIL </t>
  </si>
  <si>
    <t xml:space="preserve">AYLA GRACE </t>
  </si>
  <si>
    <t>JOSEPHENE MARANTAL</t>
  </si>
  <si>
    <t>GREFALDA</t>
  </si>
  <si>
    <t>ROMERO ROMMEL</t>
  </si>
  <si>
    <t>ROMERO ROMMEL GREFALDA</t>
  </si>
  <si>
    <t>GUTIERREZ</t>
  </si>
  <si>
    <t>ARMAN</t>
  </si>
  <si>
    <t>GENESIS A. VILLA</t>
  </si>
  <si>
    <t>CHRISTINA VILLA</t>
  </si>
  <si>
    <t>RONALD</t>
  </si>
  <si>
    <t>GEORGE I. BELTRAN</t>
  </si>
  <si>
    <t xml:space="preserve">MARIE DAWN </t>
  </si>
  <si>
    <t>NIEGAS</t>
  </si>
  <si>
    <t>JOANNE MARIE</t>
  </si>
  <si>
    <t xml:space="preserve">SUSAN NIEGAS </t>
  </si>
  <si>
    <t>MARY JOY GUINAN</t>
  </si>
  <si>
    <t>REBANA</t>
  </si>
  <si>
    <t>WILFREDO</t>
  </si>
  <si>
    <t>MARILOU REBANA</t>
  </si>
  <si>
    <t>GIL ALBERT OBAOB A. SASIS</t>
  </si>
  <si>
    <t>BERNADETTE A. SASIS</t>
  </si>
  <si>
    <t>CRUZ</t>
  </si>
  <si>
    <t>ELJOHN</t>
  </si>
  <si>
    <t>Y.</t>
  </si>
  <si>
    <t>30-B</t>
  </si>
  <si>
    <t>GAMBAN</t>
  </si>
  <si>
    <t>GLADYS DOMANAIS</t>
  </si>
  <si>
    <t>MAR FRANCIS</t>
  </si>
  <si>
    <t>GLOREN</t>
  </si>
  <si>
    <t>GLENN CABER</t>
  </si>
  <si>
    <t>MARCK LORENCE</t>
  </si>
  <si>
    <t>CALLOS</t>
  </si>
  <si>
    <t>NICOLE FAITH</t>
  </si>
  <si>
    <t>GLENN FIGUEROA</t>
  </si>
  <si>
    <t>RAMELA JANE BUSCAGAN</t>
  </si>
  <si>
    <t>CONSTANTE</t>
  </si>
  <si>
    <t>CLAEISSE</t>
  </si>
  <si>
    <t>MARIA CLARA CONSTANTE</t>
  </si>
  <si>
    <t>GLORIA C. DOMANAIS</t>
  </si>
  <si>
    <t>MIKE CLARENCE</t>
  </si>
  <si>
    <t>TIONGCO</t>
  </si>
  <si>
    <t>JOHN DEXTER</t>
  </si>
  <si>
    <t>NIEL JARED TIONGCO</t>
  </si>
  <si>
    <t>GREGORIO MAGONCIA SR.</t>
  </si>
  <si>
    <t>AIDA A. MAGONCIA</t>
  </si>
  <si>
    <t>NICHOLAI</t>
  </si>
  <si>
    <t>NEIL MATHEW</t>
  </si>
  <si>
    <t>GUELMER B. OREJANA</t>
  </si>
  <si>
    <t>ANGELICA MAY D. OREJANA</t>
  </si>
  <si>
    <t>LUCEÑO</t>
  </si>
  <si>
    <t>JERICHO</t>
  </si>
  <si>
    <t>HERNAN SAPNU</t>
  </si>
  <si>
    <t>CHERIE ANN</t>
  </si>
  <si>
    <t>CHENG DIAMRAY</t>
  </si>
  <si>
    <t>HILARIE</t>
  </si>
  <si>
    <t>GWYNETH MAGNO</t>
  </si>
  <si>
    <t>SAPNU JR.</t>
  </si>
  <si>
    <t>HERNAN</t>
  </si>
  <si>
    <t>ELYN</t>
  </si>
  <si>
    <t>RICO MERICO</t>
  </si>
  <si>
    <t>HALED P. PANONDI</t>
  </si>
  <si>
    <t>MACLEN</t>
  </si>
  <si>
    <t>LOVELY MARICEL QUIJADO</t>
  </si>
  <si>
    <t>EJANDRA</t>
  </si>
  <si>
    <t>RACE ANDREI</t>
  </si>
  <si>
    <t>HECTOR L. MARANAN</t>
  </si>
  <si>
    <t>RAJE OSHTON</t>
  </si>
  <si>
    <t>JAQUILIN P. MARANAN</t>
  </si>
  <si>
    <t>REIN MAXINE</t>
  </si>
  <si>
    <t>GINALYN V. GONZALES</t>
  </si>
  <si>
    <t>RONALD WINKY</t>
  </si>
  <si>
    <t>RUSSEL EJANDRA</t>
  </si>
  <si>
    <t>HERMINIGILDO N SALINAS</t>
  </si>
  <si>
    <t>ASHATI MAE</t>
  </si>
  <si>
    <t>ROBERT G. EJANDRA</t>
  </si>
  <si>
    <t>SHIRLEY SALINAS</t>
  </si>
  <si>
    <t>SOPHIA MAE</t>
  </si>
  <si>
    <t>VLADYMIR</t>
  </si>
  <si>
    <t>MARY ANN LUCEÑO</t>
  </si>
  <si>
    <t>TYRON</t>
  </si>
  <si>
    <t>HONNIE MENOZA</t>
  </si>
  <si>
    <t>ROSARIO DUITERIANO</t>
  </si>
  <si>
    <t>NEPHI</t>
  </si>
  <si>
    <t>HONORIO F. CHUNSIM</t>
  </si>
  <si>
    <t>KATE ANTONETH</t>
  </si>
  <si>
    <t>ROSENA R. CHUNSIM</t>
  </si>
  <si>
    <t>LUCAS IVAN</t>
  </si>
  <si>
    <t>IAN PUNZALAN</t>
  </si>
  <si>
    <t>AYESHA MAE</t>
  </si>
  <si>
    <t>MARY JANE PUNZALAN</t>
  </si>
  <si>
    <t>KURT JUSTINE EJANDRA</t>
  </si>
  <si>
    <t>ALLYSON ASTRID</t>
  </si>
  <si>
    <t>VINCENT POTAL</t>
  </si>
  <si>
    <t>IBARRA D. PUNZALAN</t>
  </si>
  <si>
    <t>JOAN A. PUNZALAN</t>
  </si>
  <si>
    <t>KING ISMAEL</t>
  </si>
  <si>
    <t>IRISH J SOBIDA</t>
  </si>
  <si>
    <t>GALAURAN</t>
  </si>
  <si>
    <t>LOVELY ROSE</t>
  </si>
  <si>
    <t>RODRIGO GALAURAN</t>
  </si>
  <si>
    <t>GALAURAN JR.</t>
  </si>
  <si>
    <t>RODRIGO</t>
  </si>
  <si>
    <t>RHIANNA</t>
  </si>
  <si>
    <t>HERNIA</t>
  </si>
  <si>
    <t>CHRYS ARYLL</t>
  </si>
  <si>
    <t>G</t>
  </si>
  <si>
    <t xml:space="preserve">ISAGANI PUNZALAN </t>
  </si>
  <si>
    <t>JOMEL CHRYSTIANNE HERNIA</t>
  </si>
  <si>
    <t>CIO JAZRIEL</t>
  </si>
  <si>
    <t>IVAN NICOLAS</t>
  </si>
  <si>
    <t>GOROSAS</t>
  </si>
  <si>
    <t>MHIKA MAE</t>
  </si>
  <si>
    <t>S</t>
  </si>
  <si>
    <t>EDLARD T. GOROSAS</t>
  </si>
  <si>
    <t>IRISH</t>
  </si>
  <si>
    <t>IVAN ROE S. PESIGAN</t>
  </si>
  <si>
    <t>PRINCESS DOLOR VICTORIA</t>
  </si>
  <si>
    <t>EDRAK</t>
  </si>
  <si>
    <t>AVILES</t>
  </si>
  <si>
    <t>ROAN CHRISTI</t>
  </si>
  <si>
    <t>ROBERT AVILES</t>
  </si>
  <si>
    <t>JACK LESTER P. QUIÑONES</t>
  </si>
  <si>
    <t>KATHERINE CRIZA G. PARAYNO</t>
  </si>
  <si>
    <t>YASHA</t>
  </si>
  <si>
    <t>KIAN ZANE</t>
  </si>
  <si>
    <t>JOHN PATRICK LLAMES</t>
  </si>
  <si>
    <t>DOLORES PASCUA JARIN</t>
  </si>
  <si>
    <t>URZABIA</t>
  </si>
  <si>
    <t>SHAWN ERICH</t>
  </si>
  <si>
    <t>SHAINA ERICKA</t>
  </si>
  <si>
    <t>JAMAECA D AGAWA</t>
  </si>
  <si>
    <t>SOPHIA ERINEA</t>
  </si>
  <si>
    <t>JAYCEEL</t>
  </si>
  <si>
    <t>SHARWIN MAY E. PASCUAL</t>
  </si>
  <si>
    <t>2B</t>
  </si>
  <si>
    <t>CABALLA</t>
  </si>
  <si>
    <t>MARIA ROSETTE</t>
  </si>
  <si>
    <t>RENATOO P. CABALLA</t>
  </si>
  <si>
    <t>JAMES BENIGNO</t>
  </si>
  <si>
    <t>ALLANIS CLAYJA</t>
  </si>
  <si>
    <t>A</t>
  </si>
  <si>
    <t>RAMONCITO S CABALLA</t>
  </si>
  <si>
    <t xml:space="preserve">JOAN TUAZON </t>
  </si>
  <si>
    <t>ARIAH LEXA</t>
  </si>
  <si>
    <t>JAMIL ANTHONY M. ENGALAN</t>
  </si>
  <si>
    <t>AXIEL</t>
  </si>
  <si>
    <t>HAZEL JOY B. OREJANA</t>
  </si>
  <si>
    <t>KUMAR</t>
  </si>
  <si>
    <t>BIRAJ</t>
  </si>
  <si>
    <t>C</t>
  </si>
  <si>
    <t>JAN FRITZ LICO</t>
  </si>
  <si>
    <t>ROWENA LICO</t>
  </si>
  <si>
    <t>LAKSH</t>
  </si>
  <si>
    <t>RED</t>
  </si>
  <si>
    <t>REDENTOR CABALLA</t>
  </si>
  <si>
    <t>JAN MICHAEL E. DE VERA III</t>
  </si>
  <si>
    <t>MARETIS G. DE VERA</t>
  </si>
  <si>
    <t>DEN</t>
  </si>
  <si>
    <t>JANALEE TY</t>
  </si>
  <si>
    <t>JONATHAN</t>
  </si>
  <si>
    <t>REYNALDO CABALLA</t>
  </si>
  <si>
    <t>CABALLA JR</t>
  </si>
  <si>
    <t>REYNALDO</t>
  </si>
  <si>
    <t>JANE I. BELTRAN</t>
  </si>
  <si>
    <t>ROSEMARIE</t>
  </si>
  <si>
    <t>LEGASPI</t>
  </si>
  <si>
    <t>JEIRA MAE</t>
  </si>
  <si>
    <t>JENNIFER OLIVA</t>
  </si>
  <si>
    <t>JENNICA</t>
  </si>
  <si>
    <t>BUTIAL</t>
  </si>
  <si>
    <t>AIDEN JAYCE</t>
  </si>
  <si>
    <t>MARK JAYSON BUTIAL</t>
  </si>
  <si>
    <t>JANETTE GAGARIN</t>
  </si>
  <si>
    <t>ALTHEA MAE</t>
  </si>
  <si>
    <t>L</t>
  </si>
  <si>
    <t>LEONCIO MADOGINOG III</t>
  </si>
  <si>
    <t>JANICE LABRO</t>
  </si>
  <si>
    <t>RHIANNA MAE</t>
  </si>
  <si>
    <t>MADOGINOG</t>
  </si>
  <si>
    <t>XHYLLENE</t>
  </si>
  <si>
    <t>YZABELLAEYHONE</t>
  </si>
  <si>
    <t>MAVIE RHYNE</t>
  </si>
  <si>
    <t>JOANNE MAGNO</t>
  </si>
  <si>
    <t>DIOQQINO</t>
  </si>
  <si>
    <t>ANNIECKA</t>
  </si>
  <si>
    <t>B</t>
  </si>
  <si>
    <t>RAQUEL G. BONO</t>
  </si>
  <si>
    <t>JASMINE PEREZ</t>
  </si>
  <si>
    <t>ANNE MARGARETH</t>
  </si>
  <si>
    <t>ARMEN</t>
  </si>
  <si>
    <t>JAY ARTH VILLAREAL</t>
  </si>
  <si>
    <t>HAZEL D. RODRIGUEZ</t>
  </si>
  <si>
    <t>HANNAH</t>
  </si>
  <si>
    <t>JAYJAY ARAMBULO</t>
  </si>
  <si>
    <t>BONO</t>
  </si>
  <si>
    <t>FATIMA LLAMES</t>
  </si>
  <si>
    <t>PUNZALAN</t>
  </si>
  <si>
    <t>JOHN REAGAN</t>
  </si>
  <si>
    <t>JAYRENE S. HILARIO</t>
  </si>
  <si>
    <t>JHOANAREA</t>
  </si>
  <si>
    <t>RISA</t>
  </si>
  <si>
    <t xml:space="preserve">JAYSON RIVERA </t>
  </si>
  <si>
    <t>RJ</t>
  </si>
  <si>
    <t>DIMPLE</t>
  </si>
  <si>
    <t>JB VILLARINO</t>
  </si>
  <si>
    <t>SORIANO</t>
  </si>
  <si>
    <t>ACELAS KHAIZER</t>
  </si>
  <si>
    <t>JOHN KENNETH SORIANO</t>
  </si>
  <si>
    <t>TESSA</t>
  </si>
  <si>
    <t xml:space="preserve">GARCIA </t>
  </si>
  <si>
    <t>CLARESSE MAE</t>
  </si>
  <si>
    <t>JEFF BECK M. ACUZAR</t>
  </si>
  <si>
    <t>MARLENE T ACUZAR</t>
  </si>
  <si>
    <t>ANN GOBRILLE</t>
  </si>
  <si>
    <t>RHAIZEL ZAILLE</t>
  </si>
  <si>
    <t>JEFF BERIO</t>
  </si>
  <si>
    <t>ANGIELYN</t>
  </si>
  <si>
    <t>ROGER GARCIA</t>
  </si>
  <si>
    <t>JOAN GAMBOA</t>
  </si>
  <si>
    <t xml:space="preserve">ROMA </t>
  </si>
  <si>
    <t>ELLEN BELLE</t>
  </si>
  <si>
    <t>VER N. ROMA JR</t>
  </si>
  <si>
    <t>EDMAR</t>
  </si>
  <si>
    <t>JEFFERSON G HERNANDEZ</t>
  </si>
  <si>
    <t>CONDES</t>
  </si>
  <si>
    <t>KALE DARREN</t>
  </si>
  <si>
    <t>N</t>
  </si>
  <si>
    <t>MARY JOY F. HERNANDEZ</t>
  </si>
  <si>
    <t>NAVARETTE</t>
  </si>
  <si>
    <t>KHYLIE FRANZ</t>
  </si>
  <si>
    <t>VILLAREAL</t>
  </si>
  <si>
    <t>SCARLET SELENE</t>
  </si>
  <si>
    <t>SEDRIC</t>
  </si>
  <si>
    <t>SEDER S. NAVARETTE</t>
  </si>
  <si>
    <t>ANALYN D. CUNANAN</t>
  </si>
  <si>
    <t>SEICA</t>
  </si>
  <si>
    <t>FRITZ</t>
  </si>
  <si>
    <t>RYANU MELERIO NAVARETTE</t>
  </si>
  <si>
    <t>JOMARIE</t>
  </si>
  <si>
    <t xml:space="preserve">JOSELITO CABALLA </t>
  </si>
  <si>
    <t xml:space="preserve">JEMERYL C. ROXAS </t>
  </si>
  <si>
    <t>MARJORIE</t>
  </si>
  <si>
    <t>MENOZA</t>
  </si>
  <si>
    <t>HONEY JECK</t>
  </si>
  <si>
    <t>JANE</t>
  </si>
  <si>
    <t>JOVY PANUELOS</t>
  </si>
  <si>
    <t>HONEY ROSE</t>
  </si>
  <si>
    <t>JELO</t>
  </si>
  <si>
    <t xml:space="preserve">JEFFREY TAN </t>
  </si>
  <si>
    <t>ANDAYA</t>
  </si>
  <si>
    <t>MARY JEAN</t>
  </si>
  <si>
    <t>GIEELENE DE GUZMAN</t>
  </si>
  <si>
    <t>NONA H. LOZAÑES</t>
  </si>
  <si>
    <t>ANDREY</t>
  </si>
  <si>
    <t>ZAYN</t>
  </si>
  <si>
    <t>MARY ROSE L .ANDAYA</t>
  </si>
  <si>
    <t>JEFFREY V. TOLENTINO</t>
  </si>
  <si>
    <t>CAMPOS</t>
  </si>
  <si>
    <t>AYEZHA JEAN</t>
  </si>
  <si>
    <t>JHYLE ALBIER</t>
  </si>
  <si>
    <t>JEL DE FELIX</t>
  </si>
  <si>
    <t>JALAYAH AMIA</t>
  </si>
  <si>
    <t>TAROY</t>
  </si>
  <si>
    <t>CHARMIE</t>
  </si>
  <si>
    <t>CAMILE</t>
  </si>
  <si>
    <t>JOSHUA</t>
  </si>
  <si>
    <t>GABRIEL</t>
  </si>
  <si>
    <t>NATHANIEL</t>
  </si>
  <si>
    <t>JENNELYN DE FELIX</t>
  </si>
  <si>
    <t>JIMUEL</t>
  </si>
  <si>
    <t>SARAH JEAN</t>
  </si>
  <si>
    <t>JENNIFER G. PASCUAL</t>
  </si>
  <si>
    <t>RUIZ</t>
  </si>
  <si>
    <t>JOHN CARLOS</t>
  </si>
  <si>
    <t>NESTOR P. RUIZ</t>
  </si>
  <si>
    <t>JHONSEN</t>
  </si>
  <si>
    <t>NEWLY WED</t>
  </si>
  <si>
    <t>JHON PHELPS</t>
  </si>
  <si>
    <t>AUBREY GHALE</t>
  </si>
  <si>
    <t>JONATHAN F. RUIZ</t>
  </si>
  <si>
    <t>JOAN MARIEL A. BULOS</t>
  </si>
  <si>
    <t>KARL ALLEN</t>
  </si>
  <si>
    <t>JONA ASHLEY</t>
  </si>
  <si>
    <t>AIL BRIANT</t>
  </si>
  <si>
    <t>JEORGE S BONDOC</t>
  </si>
  <si>
    <t>ISAIAH AVA</t>
  </si>
  <si>
    <t>ROSALIE PAMAT</t>
  </si>
  <si>
    <t>GEREZ</t>
  </si>
  <si>
    <t>JERBBY S. MIRASOL</t>
  </si>
  <si>
    <t>0867A</t>
  </si>
  <si>
    <t>CHRISTIAN ERIC</t>
  </si>
  <si>
    <t>HASMIE A. MIRASOL</t>
  </si>
  <si>
    <t>VICTA</t>
  </si>
  <si>
    <t>ARRIES DANIELLE</t>
  </si>
  <si>
    <t>ADRILYN</t>
  </si>
  <si>
    <t>FELILIA PASCO</t>
  </si>
  <si>
    <t xml:space="preserve">JOSHUE JAE </t>
  </si>
  <si>
    <t>D</t>
  </si>
  <si>
    <t>JERIKA V. TOLENTINO</t>
  </si>
  <si>
    <t>JOHN REN</t>
  </si>
  <si>
    <t>KEITH FREANCEL</t>
  </si>
  <si>
    <t>MARICEL FLORES</t>
  </si>
  <si>
    <t>JERMAINE JOY FLORES</t>
  </si>
  <si>
    <t>KLIFFORD FRANCIS</t>
  </si>
  <si>
    <t>YUMI ANN</t>
  </si>
  <si>
    <t>NICKA DEL ROSARIO</t>
  </si>
  <si>
    <t>KYDEN KEIL</t>
  </si>
  <si>
    <t>JEROME DEPACULANG</t>
  </si>
  <si>
    <t>KARLA CAMILLE D. DEPACULANG</t>
  </si>
  <si>
    <t>ABAD</t>
  </si>
  <si>
    <t>KENNETH</t>
  </si>
  <si>
    <t>KURT</t>
  </si>
  <si>
    <t>JEROME FLORES</t>
  </si>
  <si>
    <t>BALILI</t>
  </si>
  <si>
    <t>ROBERT</t>
  </si>
  <si>
    <t>LIBERTY BALILI</t>
  </si>
  <si>
    <t>APRIL ROSE</t>
  </si>
  <si>
    <t>DIZON JR</t>
  </si>
  <si>
    <t>ENRIQUE</t>
  </si>
  <si>
    <t>JERSON B. PEÑA</t>
  </si>
  <si>
    <t>ALCANTARA</t>
  </si>
  <si>
    <t>BEA</t>
  </si>
  <si>
    <t>I</t>
  </si>
  <si>
    <t>RODALLYN LAURAYA</t>
  </si>
  <si>
    <t>ZEDD</t>
  </si>
  <si>
    <t>8A</t>
  </si>
  <si>
    <t>TADO</t>
  </si>
  <si>
    <t>JAIRA MIKAELLA</t>
  </si>
  <si>
    <t>RAYMOND TADO</t>
  </si>
  <si>
    <t>JERWIN ESCUDERO</t>
  </si>
  <si>
    <t>MIKAEL</t>
  </si>
  <si>
    <t>MAE</t>
  </si>
  <si>
    <t>JESSICA DE FELIX</t>
  </si>
  <si>
    <t>MOSE</t>
  </si>
  <si>
    <t>GREY</t>
  </si>
  <si>
    <t>MARK MOSE</t>
  </si>
  <si>
    <t>ISAAC</t>
  </si>
  <si>
    <t>JESSIE C AMANCIO</t>
  </si>
  <si>
    <t>ISABELO D AMANCIO</t>
  </si>
  <si>
    <t>CADIGAL</t>
  </si>
  <si>
    <t>KENDAL MAE</t>
  </si>
  <si>
    <t>KENNETH S. CADIGAL</t>
  </si>
  <si>
    <t>SANTIAGO</t>
  </si>
  <si>
    <t>MICHAEL</t>
  </si>
  <si>
    <t>JESSREL B. DELA CRUZ</t>
  </si>
  <si>
    <t>JENNY VESALO</t>
  </si>
  <si>
    <t>FERNANDO</t>
  </si>
  <si>
    <t>JESTINE MAE LARIN</t>
  </si>
  <si>
    <t>SHELLA MARIE</t>
  </si>
  <si>
    <t>SHARY MAY</t>
  </si>
  <si>
    <t>SANNY P. CADIGAL</t>
  </si>
  <si>
    <t>HERMINA O. MASBATE</t>
  </si>
  <si>
    <t>CASTRO</t>
  </si>
  <si>
    <t>ALYANAHMILLE</t>
  </si>
  <si>
    <t>JO PATRICK AVILA</t>
  </si>
  <si>
    <t>JESUS SILVA</t>
  </si>
  <si>
    <t>AVILA</t>
  </si>
  <si>
    <t>KYLER FORD</t>
  </si>
  <si>
    <t>KAIZEN LEXUS</t>
  </si>
  <si>
    <t>JESUS TEODOSIO</t>
  </si>
  <si>
    <t>ATIENZA</t>
  </si>
  <si>
    <t>MARK ALLAN</t>
  </si>
  <si>
    <t>RONALD ALLAN ATIENZA</t>
  </si>
  <si>
    <t>KLOUD LOWRY</t>
  </si>
  <si>
    <t>RONALD ALLEN ATIENZA</t>
  </si>
  <si>
    <t>JEYSON PUNZALAN</t>
  </si>
  <si>
    <t>MARY GRACE PUNZALAN</t>
  </si>
  <si>
    <t>KIANA LORAINE</t>
  </si>
  <si>
    <t>JHOANN MALAIT</t>
  </si>
  <si>
    <t>RANDY</t>
  </si>
  <si>
    <t>TERESITA B. ATIENZA</t>
  </si>
  <si>
    <t>RAYSON</t>
  </si>
  <si>
    <t>ERCINDA S. CABRERA</t>
  </si>
  <si>
    <t>DELOS SANTOS</t>
  </si>
  <si>
    <t>PAULO</t>
  </si>
  <si>
    <t>MARIA LETICIA S. VELASQUEZ</t>
  </si>
  <si>
    <t>URECO</t>
  </si>
  <si>
    <t>JHON JOSEPH JUSTINIANO</t>
  </si>
  <si>
    <t>MA. DIANE PAGUDAR</t>
  </si>
  <si>
    <t>JANINA BERNADETHE</t>
  </si>
  <si>
    <t>IVANN</t>
  </si>
  <si>
    <t>CRISANTA A. PAYUNAN</t>
  </si>
  <si>
    <t>CERVANTES</t>
  </si>
  <si>
    <t>KYRA MYENEL</t>
  </si>
  <si>
    <t>NELSON ADRIAND CERVANTES</t>
  </si>
  <si>
    <t>JHON VINCENT VILLARBA</t>
  </si>
  <si>
    <t>KYLIE MYENEL</t>
  </si>
  <si>
    <t>CRISTY DOMASIG</t>
  </si>
  <si>
    <t>TOLENTINO</t>
  </si>
  <si>
    <t>KEIVS CLYLE</t>
  </si>
  <si>
    <t>JOSELITO V. TOLENTINO JR.</t>
  </si>
  <si>
    <t>JHONIE A. PALLONES</t>
  </si>
  <si>
    <t>CAROLYN O. PALLONES</t>
  </si>
  <si>
    <t>TRISTAN JHEOFF</t>
  </si>
  <si>
    <t>ALTHEA KAI</t>
  </si>
  <si>
    <t>JHONLET CASTRO</t>
  </si>
  <si>
    <t>ROSSELE CRUZ</t>
  </si>
  <si>
    <t xml:space="preserve">JOANNE </t>
  </si>
  <si>
    <t>JOSELITO C. TOLENTINO SR.</t>
  </si>
  <si>
    <t>JHONSEN C. CRUZ</t>
  </si>
  <si>
    <t>VELASQUEZ</t>
  </si>
  <si>
    <t>ELIJAH RYLE</t>
  </si>
  <si>
    <t>JIMWELL QUIAMBAO</t>
  </si>
  <si>
    <t>OBNIALA</t>
  </si>
  <si>
    <t>MC ARREN</t>
  </si>
  <si>
    <t>MARK ANTHONY OBNIALA</t>
  </si>
  <si>
    <t>JERMAINE JOY J FLORES\ 2 ENTRY</t>
  </si>
  <si>
    <t>DE LEON</t>
  </si>
  <si>
    <t>JACE ANDREI</t>
  </si>
  <si>
    <t>JOMAR DE LEON</t>
  </si>
  <si>
    <t>ANNA MARIEL AVILA</t>
  </si>
  <si>
    <t>DE GUZMAN</t>
  </si>
  <si>
    <t>JOCEL DELA CRUZ</t>
  </si>
  <si>
    <t xml:space="preserve">NICHOL </t>
  </si>
  <si>
    <t>MARIAN DELA CRUZ</t>
  </si>
  <si>
    <t>MELRAD V. DE GUZMAN</t>
  </si>
  <si>
    <t>CHARLES AARON</t>
  </si>
  <si>
    <t>JOCELYN DELA TORRE</t>
  </si>
  <si>
    <t>HANNAH SOPHIA</t>
  </si>
  <si>
    <t>JOCELYN VILELA</t>
  </si>
  <si>
    <t>KARL ANDREI</t>
  </si>
  <si>
    <t>NOLASCO</t>
  </si>
  <si>
    <t>YZHIN</t>
  </si>
  <si>
    <t>JOE CARLO ESCUDERO</t>
  </si>
  <si>
    <t>RICSON VERCELES</t>
  </si>
  <si>
    <t>ROGIELYN ALEGRE ESCUDERO</t>
  </si>
  <si>
    <t>RIVERA</t>
  </si>
  <si>
    <t>MANE FRANCE</t>
  </si>
  <si>
    <t>JOEBERTH REANTASO</t>
  </si>
  <si>
    <t>OREJANA</t>
  </si>
  <si>
    <t>CRISTAL JOY LAMANG</t>
  </si>
  <si>
    <t>FRANCIS</t>
  </si>
  <si>
    <t>FREDRICK</t>
  </si>
  <si>
    <t>MARIBEL C. AYALA</t>
  </si>
  <si>
    <t>CHARISSE</t>
  </si>
  <si>
    <t>MARGARITA OREJANA</t>
  </si>
  <si>
    <t>AUSTRIA</t>
  </si>
  <si>
    <t>ESTILLANA</t>
  </si>
  <si>
    <t xml:space="preserve">ACE RYAN </t>
  </si>
  <si>
    <t>JOHN ALDRIN GUTIERREZ</t>
  </si>
  <si>
    <t>SARAH JOY</t>
  </si>
  <si>
    <t>JOHN CHESTER B RILLO</t>
  </si>
  <si>
    <t>MARY ANGELIGUE B RILLO</t>
  </si>
  <si>
    <t xml:space="preserve">VILLA </t>
  </si>
  <si>
    <t>STEPHANIE RHIANA</t>
  </si>
  <si>
    <t>MICHAEL ANGELO VILLA</t>
  </si>
  <si>
    <t>JOHN CHRISTOPHER CRUZ</t>
  </si>
  <si>
    <t>REMYLYN CRUZ</t>
  </si>
  <si>
    <t>ROMERO</t>
  </si>
  <si>
    <t>ELLYZA</t>
  </si>
  <si>
    <t>JOHN DE CASTRO</t>
  </si>
  <si>
    <t>GIAN</t>
  </si>
  <si>
    <t>MARITES CAPILI</t>
  </si>
  <si>
    <t>SAMUEL</t>
  </si>
  <si>
    <t>JOHN HENDRY MANDRIZA</t>
  </si>
  <si>
    <t>AKIAH MIELLA</t>
  </si>
  <si>
    <t>JANETH SALAMAT</t>
  </si>
  <si>
    <t>ALTINA JUANNA</t>
  </si>
  <si>
    <t>JOHN JOSEPH B NARIO</t>
  </si>
  <si>
    <t>JANICE C LABRO</t>
  </si>
  <si>
    <t>LIAM</t>
  </si>
  <si>
    <t>PREAH</t>
  </si>
  <si>
    <t>SUZANE MAGNO</t>
  </si>
  <si>
    <t>VISITACION</t>
  </si>
  <si>
    <t>JOCAZ</t>
  </si>
  <si>
    <t>JOHN VINCENT G. VISITACION</t>
  </si>
  <si>
    <t>PALLER</t>
  </si>
  <si>
    <t>JR</t>
  </si>
  <si>
    <t>ABBY CLAIRE GARCIA</t>
  </si>
  <si>
    <t xml:space="preserve">PAUL  </t>
  </si>
  <si>
    <t>CHRISTINE</t>
  </si>
  <si>
    <t>MARILYN D. MERCADO</t>
  </si>
  <si>
    <t>CATHERINE</t>
  </si>
  <si>
    <t>JOHN MARK B. ROBLES</t>
  </si>
  <si>
    <t>VILLA</t>
  </si>
  <si>
    <t>EZEKIEL KYLE</t>
  </si>
  <si>
    <t>JESSALYN DOMOSMOG</t>
  </si>
  <si>
    <t xml:space="preserve">FOR CHECKING </t>
  </si>
  <si>
    <t>CRISTINE GHEN KYLIE</t>
  </si>
  <si>
    <t>APRIL ROSE CALONG</t>
  </si>
  <si>
    <t xml:space="preserve">JHONMARK </t>
  </si>
  <si>
    <t>REXIE A. VILLA</t>
  </si>
  <si>
    <t>JOHN MICHAEL D. REYES</t>
  </si>
  <si>
    <t>BABY ROSE TRINIDAD</t>
  </si>
  <si>
    <t>ANTONETTE</t>
  </si>
  <si>
    <t>JOHN MICHAEL GUTIERREZ</t>
  </si>
  <si>
    <t>KHAY GUTIERREZ</t>
  </si>
  <si>
    <t>ANDRIANE</t>
  </si>
  <si>
    <t xml:space="preserve">ANGEL  </t>
  </si>
  <si>
    <t>PRECELITA G. VISITACION</t>
  </si>
  <si>
    <t>AIRIELLE RHODIN S. AVILES</t>
  </si>
  <si>
    <t>GUATES</t>
  </si>
  <si>
    <t>KEVIN LESTER</t>
  </si>
  <si>
    <t>REÑA</t>
  </si>
  <si>
    <t>ZANE CAIDEN</t>
  </si>
  <si>
    <t>JOHN PAUL BATAC</t>
  </si>
  <si>
    <t>KENNETH A. REÑA</t>
  </si>
  <si>
    <t>RICA AVIADOR</t>
  </si>
  <si>
    <t>ALONZO</t>
  </si>
  <si>
    <t>MARK ANTHONY</t>
  </si>
  <si>
    <t>JOHN RYAN SILVESTRE</t>
  </si>
  <si>
    <t>RODELYN BITANGCUR</t>
  </si>
  <si>
    <t>MARIELL</t>
  </si>
  <si>
    <t>JOHN SHOUVERT Q. MARCELINO</t>
  </si>
  <si>
    <t>ANNALYN VALMORIA MARCELINO</t>
  </si>
  <si>
    <t>JOHN SOLIS</t>
  </si>
  <si>
    <t>MELISSA</t>
  </si>
  <si>
    <t>MARY JOY JAVIER</t>
  </si>
  <si>
    <t>KRYSTEL</t>
  </si>
  <si>
    <t>ASHLEY NICOLE  BALUYOT</t>
  </si>
  <si>
    <t>KENNARD</t>
  </si>
  <si>
    <t>MA. CONCEPCION A. VISITACION</t>
  </si>
  <si>
    <t>DELNOZO</t>
  </si>
  <si>
    <t xml:space="preserve">JOJIE </t>
  </si>
  <si>
    <t>MA. LORDINA C. CABRERA</t>
  </si>
  <si>
    <t>BAGUNAS</t>
  </si>
  <si>
    <t>JOJO SALAMAT</t>
  </si>
  <si>
    <t>CHRISTOPHER</t>
  </si>
  <si>
    <t>JOLYANN G RAMOS</t>
  </si>
  <si>
    <t>PALLONES</t>
  </si>
  <si>
    <t>CAMILLE</t>
  </si>
  <si>
    <t>SARAH V. DE LEON</t>
  </si>
  <si>
    <t>JHONE CARLO</t>
  </si>
  <si>
    <t>JOMAR G. RAMOS</t>
  </si>
  <si>
    <t>JONEL RAMOS</t>
  </si>
  <si>
    <t>BALMACEDA</t>
  </si>
  <si>
    <t>ERIKA DELA CRUZ</t>
  </si>
  <si>
    <t>MARY JANE</t>
  </si>
  <si>
    <t>JULIO BALMACEDA</t>
  </si>
  <si>
    <t>APRIL ROSE G. HERNIA</t>
  </si>
  <si>
    <t>MARANAN</t>
  </si>
  <si>
    <t>ASHLEY</t>
  </si>
  <si>
    <t>JOMER STO TOMAS</t>
  </si>
  <si>
    <t>KURT ANDREW</t>
  </si>
  <si>
    <t>GERELL LANCE</t>
  </si>
  <si>
    <t xml:space="preserve">JON NAVAL </t>
  </si>
  <si>
    <t>ARAH FLORES NAVAL</t>
  </si>
  <si>
    <t>FOR CHECKING DOUBLE ENTRY</t>
  </si>
  <si>
    <t>JAY</t>
  </si>
  <si>
    <t>BROBIO</t>
  </si>
  <si>
    <t>AARON CHRISTIAN</t>
  </si>
  <si>
    <t>JONALYN PASCUAL</t>
  </si>
  <si>
    <t>ENGALAN</t>
  </si>
  <si>
    <t xml:space="preserve">ZHAVIA </t>
  </si>
  <si>
    <t>JONATHAN B. FLORES</t>
  </si>
  <si>
    <t>ANABELLE BEATRIZ</t>
  </si>
  <si>
    <t>JASMIN FLORES</t>
  </si>
  <si>
    <t xml:space="preserve">ZEKE </t>
  </si>
  <si>
    <t>SHERLY</t>
  </si>
  <si>
    <t>MIGUEL C. OREJANA</t>
  </si>
  <si>
    <t>AVIGAIL C  RUIZ</t>
  </si>
  <si>
    <t>JERRY</t>
  </si>
  <si>
    <t>JONATHAN FAUSTINO</t>
  </si>
  <si>
    <t>LYNYRD</t>
  </si>
  <si>
    <t>NICOLE MENDOZA</t>
  </si>
  <si>
    <t>QUIÑONES</t>
  </si>
  <si>
    <t>JULRAN</t>
  </si>
  <si>
    <t>JHOSUA</t>
  </si>
  <si>
    <t>PAJO</t>
  </si>
  <si>
    <t>LIAN MARIZ</t>
  </si>
  <si>
    <t>Q.</t>
  </si>
  <si>
    <t>MANOLO V. PAJO</t>
  </si>
  <si>
    <t>JORLY A. PERCHA</t>
  </si>
  <si>
    <t>LEVE C. DELA CRUZ</t>
  </si>
  <si>
    <t>ROWENA M. PERCHA</t>
  </si>
  <si>
    <t>JESSON</t>
  </si>
  <si>
    <t>JOSE CORNELIO JR.</t>
  </si>
  <si>
    <t>QUILAS</t>
  </si>
  <si>
    <t>DAPHNIE</t>
  </si>
  <si>
    <t>LOLITA CORNELIO</t>
  </si>
  <si>
    <t>SONNY OREJANA</t>
  </si>
  <si>
    <t>PHILIPPA</t>
  </si>
  <si>
    <t>JOSEFINA CASTRO</t>
  </si>
  <si>
    <t>RISEN</t>
  </si>
  <si>
    <t>TEODOSIO</t>
  </si>
  <si>
    <t>KASANDRA MAE</t>
  </si>
  <si>
    <t>JOSEFINA STO TOMAS</t>
  </si>
  <si>
    <t>DRAKE MATTEW</t>
  </si>
  <si>
    <t>MARCOS DANIAL</t>
  </si>
  <si>
    <t>MICKYZE DAVED</t>
  </si>
  <si>
    <t>MARIE GRACE MENOZA CABALLA</t>
  </si>
  <si>
    <t>DRAW</t>
  </si>
  <si>
    <t>PAMAN</t>
  </si>
  <si>
    <t>JANETTE</t>
  </si>
  <si>
    <t>NOEL A. AMBLOSA</t>
  </si>
  <si>
    <t>APRIL DIONISIO</t>
  </si>
  <si>
    <t>ALEA</t>
  </si>
  <si>
    <t>JOSELITO CORNELIO</t>
  </si>
  <si>
    <t>TANGO</t>
  </si>
  <si>
    <t>JOHN MARLON</t>
  </si>
  <si>
    <t>RAFAEL VILLARBA</t>
  </si>
  <si>
    <t>JHON CLARENCE</t>
  </si>
  <si>
    <t>JENALYN</t>
  </si>
  <si>
    <t>VILLARBA</t>
  </si>
  <si>
    <t>ELLAINA</t>
  </si>
  <si>
    <t>JOSELITO MALIBIRAN</t>
  </si>
  <si>
    <t>ROMMEL</t>
  </si>
  <si>
    <t>ROMEO C. OREJANA</t>
  </si>
  <si>
    <t>TRISTAN JADE</t>
  </si>
  <si>
    <t>ROMEO P. DELA CRUZ</t>
  </si>
  <si>
    <t>JOSELITO PUSING</t>
  </si>
  <si>
    <t>THADEUS JERICO</t>
  </si>
  <si>
    <t xml:space="preserve">RICHIE </t>
  </si>
  <si>
    <t>RAQUEL DELA CRUZ</t>
  </si>
  <si>
    <t>CHEMARIE JOY B. BARTOLOME</t>
  </si>
  <si>
    <t>AVEO</t>
  </si>
  <si>
    <t>SANRA</t>
  </si>
  <si>
    <t>PRINCESS</t>
  </si>
  <si>
    <t>JOHN FREDERICK</t>
  </si>
  <si>
    <t>JOSEPH O. PULGA</t>
  </si>
  <si>
    <t>CRISTHEA ANN G. PULGA</t>
  </si>
  <si>
    <t>VELASCO</t>
  </si>
  <si>
    <t>JHON MAK</t>
  </si>
  <si>
    <t>MARIO VELASCO</t>
  </si>
  <si>
    <t>MAYUMI</t>
  </si>
  <si>
    <t xml:space="preserve">JOSEPHINE DUMAOG </t>
  </si>
  <si>
    <t>HARUMI</t>
  </si>
  <si>
    <t>JOSEPHINE SIMOSA</t>
  </si>
  <si>
    <t>MEGUMI</t>
  </si>
  <si>
    <t>RACHELL</t>
  </si>
  <si>
    <t>EVANGELINE I. AMASA</t>
  </si>
  <si>
    <t>RAIN</t>
  </si>
  <si>
    <t>BERNIE JR.</t>
  </si>
  <si>
    <t>JOSHUA LAURAYA</t>
  </si>
  <si>
    <t>ARIAN LAURAYA</t>
  </si>
  <si>
    <t>MANANGAT</t>
  </si>
  <si>
    <t>JOSUE SALONGA</t>
  </si>
  <si>
    <t>LYN SAINT</t>
  </si>
  <si>
    <t>RISHELLE MAER SALONGA</t>
  </si>
  <si>
    <t>MYKA</t>
  </si>
  <si>
    <t>MICHAEL QUIÑONES</t>
  </si>
  <si>
    <t>JOVELYN NEBRIDA</t>
  </si>
  <si>
    <t>MA. ANDREA</t>
  </si>
  <si>
    <t>SAM CALAGNO</t>
  </si>
  <si>
    <t>ARNALDO JR.</t>
  </si>
  <si>
    <t>JOVER SANTIAGO</t>
  </si>
  <si>
    <t>CARLA YABIS</t>
  </si>
  <si>
    <t>AERO KIO</t>
  </si>
  <si>
    <t>MARK QUIÑONES</t>
  </si>
  <si>
    <t>JOVY A PORTON</t>
  </si>
  <si>
    <t>ADONA</t>
  </si>
  <si>
    <t>GLADYS</t>
  </si>
  <si>
    <t>DOREY D AGAWA</t>
  </si>
  <si>
    <t>JAYKING</t>
  </si>
  <si>
    <t>JOY ESTRELLA</t>
  </si>
  <si>
    <t>REANTASO</t>
  </si>
  <si>
    <t>ZOEY YSABELLE</t>
  </si>
  <si>
    <t>ROSALIE MIRASOL</t>
  </si>
  <si>
    <t>MANGORNONG</t>
  </si>
  <si>
    <t>AYEZA KARYLLE</t>
  </si>
  <si>
    <t xml:space="preserve">LAMANG </t>
  </si>
  <si>
    <t>CAIDEN</t>
  </si>
  <si>
    <t>LEONARD KRIS LAMANG</t>
  </si>
  <si>
    <t>JR MERANDA</t>
  </si>
  <si>
    <t>AMPONGAN</t>
  </si>
  <si>
    <t>MHYCO</t>
  </si>
  <si>
    <t>MC ROBERT AMPONGAN</t>
  </si>
  <si>
    <t>MC ANGELO</t>
  </si>
  <si>
    <t>JUANA MATILDE A. ANDOLA</t>
  </si>
  <si>
    <t>ANALIZA E. QUIRIT</t>
  </si>
  <si>
    <t>MHYLES</t>
  </si>
  <si>
    <t>MC ROBERT</t>
  </si>
  <si>
    <t>RONALDO AMPONGAN</t>
  </si>
  <si>
    <t>GENE LOVE</t>
  </si>
  <si>
    <t>PRINCESS B. CHAVEZ</t>
  </si>
  <si>
    <t>JENNY ROSE</t>
  </si>
  <si>
    <t>PERCHA</t>
  </si>
  <si>
    <t>JENNIFER</t>
  </si>
  <si>
    <t>JOSIE</t>
  </si>
  <si>
    <t>NORMA BALMACEDA</t>
  </si>
  <si>
    <t>CHANA</t>
  </si>
  <si>
    <t>JULUIS R PUSING</t>
  </si>
  <si>
    <t>MARIA</t>
  </si>
  <si>
    <t>DANICA C PAGUDAR</t>
  </si>
  <si>
    <t>CHUNSIM</t>
  </si>
  <si>
    <t>KING IVAN</t>
  </si>
  <si>
    <t>PRINCESS CHUNSIM</t>
  </si>
  <si>
    <t>CAIRO</t>
  </si>
  <si>
    <t>MIKHAEL</t>
  </si>
  <si>
    <t>JUNLIE DELIGAN</t>
  </si>
  <si>
    <t>NAOMI</t>
  </si>
  <si>
    <t>RICHIE ARAMCO O. PEREZ</t>
  </si>
  <si>
    <t>MADISON</t>
  </si>
  <si>
    <t xml:space="preserve">JUSTINE D. SALAMAT </t>
  </si>
  <si>
    <t>ROSANES</t>
  </si>
  <si>
    <t>KIRBY</t>
  </si>
  <si>
    <t>RUDY M. ABREA</t>
  </si>
  <si>
    <t>ABREA</t>
  </si>
  <si>
    <t>JUSTINE HILOT</t>
  </si>
  <si>
    <t>KAREN CHLOE</t>
  </si>
  <si>
    <t>ASHLEY M. VILLAR</t>
  </si>
  <si>
    <t>JEXCEL CRAY</t>
  </si>
  <si>
    <t>QIAMBAO</t>
  </si>
  <si>
    <t>LUCA ELIJAH</t>
  </si>
  <si>
    <t>KARL KENNEDY DALISAY</t>
  </si>
  <si>
    <t>MELANIE M. ROBLES</t>
  </si>
  <si>
    <t>NICOLE CAAWAY</t>
  </si>
  <si>
    <t>KELVIN PAUL NIDOY</t>
  </si>
  <si>
    <t>MARIELA JOY BALMES</t>
  </si>
  <si>
    <t>JERSEY</t>
  </si>
  <si>
    <t xml:space="preserve"> ELMER VALDEZ</t>
  </si>
  <si>
    <t>KEN LAURENCE PAANO</t>
  </si>
  <si>
    <t>MAUTYA ANACAY</t>
  </si>
  <si>
    <t>CELINE</t>
  </si>
  <si>
    <t>NATHALIE</t>
  </si>
  <si>
    <t>ANGELINE D. REÑA</t>
  </si>
  <si>
    <t>NYGEL</t>
  </si>
  <si>
    <t>KENNETH R. BENIS</t>
  </si>
  <si>
    <t>MA. CRISTINA V. BENIS</t>
  </si>
  <si>
    <t>RAVEN</t>
  </si>
  <si>
    <t>JOHN MARK</t>
  </si>
  <si>
    <t>ROWENA CADIGAL</t>
  </si>
  <si>
    <t>AMPARO</t>
  </si>
  <si>
    <t>LADIELIN</t>
  </si>
  <si>
    <t>MELVINA MAGNO</t>
  </si>
  <si>
    <t>NICOLAS</t>
  </si>
  <si>
    <t>YVAN</t>
  </si>
  <si>
    <t>MARIO P. AMPARO</t>
  </si>
  <si>
    <t xml:space="preserve">KIAN ARIES B. NATARTE </t>
  </si>
  <si>
    <t xml:space="preserve">APRIL </t>
  </si>
  <si>
    <t>KIM MEJICO</t>
  </si>
  <si>
    <t>VINIDA</t>
  </si>
  <si>
    <t xml:space="preserve">SHEREY MAE </t>
  </si>
  <si>
    <t>SHIRLEY P. NICOLAS</t>
  </si>
  <si>
    <t>JADELYN M MEJICO</t>
  </si>
  <si>
    <t>MANUEL</t>
  </si>
  <si>
    <t xml:space="preserve">ROSE ANNE </t>
  </si>
  <si>
    <t>KURT CALVIN RONASE VILLARBA</t>
  </si>
  <si>
    <t>ARIAN DELA TORRE</t>
  </si>
  <si>
    <t xml:space="preserve">RUSTY NIEL </t>
  </si>
  <si>
    <t>JASMIN FAYE</t>
  </si>
  <si>
    <t>JUSTINE IBARRA</t>
  </si>
  <si>
    <t>LARITA RUEL</t>
  </si>
  <si>
    <t>EDRALIN</t>
  </si>
  <si>
    <t>JOHN BRYANN</t>
  </si>
  <si>
    <t>VERONICA PUSING</t>
  </si>
  <si>
    <t xml:space="preserve">JAVIER </t>
  </si>
  <si>
    <t>CHRISLIE JOY</t>
  </si>
  <si>
    <t>MANUEL R. JAVIER</t>
  </si>
  <si>
    <t>LARRY DIAGSAY</t>
  </si>
  <si>
    <t>EWICAN</t>
  </si>
  <si>
    <t>ELISIAH AKIRA</t>
  </si>
  <si>
    <t>REYMARK S. EWICAN</t>
  </si>
  <si>
    <t>JENA DIAGSAY</t>
  </si>
  <si>
    <t>AXCEL ANGELO</t>
  </si>
  <si>
    <t>SHANE LYKA B. JAVIER</t>
  </si>
  <si>
    <t>BOLLOZOS</t>
  </si>
  <si>
    <t xml:space="preserve">EVEE BEA </t>
  </si>
  <si>
    <t>E.</t>
  </si>
  <si>
    <t xml:space="preserve">VANITY MAE C. MALIBIRAN </t>
  </si>
  <si>
    <t>ASLEIGH</t>
  </si>
  <si>
    <t>LAURENCE SANTIAGO</t>
  </si>
  <si>
    <t>ENRICA SANTIAGO</t>
  </si>
  <si>
    <t>ALTHEA</t>
  </si>
  <si>
    <t xml:space="preserve">TERENCE </t>
  </si>
  <si>
    <t>NESTOR D. EVANGELISTA JR.</t>
  </si>
  <si>
    <t>MYLA D. SANTOS</t>
  </si>
  <si>
    <t xml:space="preserve">CALLIE </t>
  </si>
  <si>
    <t xml:space="preserve">LEE KYLER </t>
  </si>
  <si>
    <t>SHERYL ANN D. EVANGELISTA</t>
  </si>
  <si>
    <t>LAZARO ELLANA</t>
  </si>
  <si>
    <t>SHEILA MARIE</t>
  </si>
  <si>
    <t>NESTOR F. EVANGELISTA</t>
  </si>
  <si>
    <t>CECILIA ELLANA</t>
  </si>
  <si>
    <t>ANGELO GABRIEL</t>
  </si>
  <si>
    <t>LEA LYN N. GATON</t>
  </si>
  <si>
    <t>HAZEL ANNE</t>
  </si>
  <si>
    <t>GERONA</t>
  </si>
  <si>
    <t>RIANA</t>
  </si>
  <si>
    <t>VILLARINO</t>
  </si>
  <si>
    <t>RON TYLER</t>
  </si>
  <si>
    <t>JOYCE SAM MERCADO</t>
  </si>
  <si>
    <t>BRITO</t>
  </si>
  <si>
    <t>KEISHA</t>
  </si>
  <si>
    <t>JOSIE L. CHAVEZ</t>
  </si>
  <si>
    <t>QUIJADO</t>
  </si>
  <si>
    <t xml:space="preserve">PRINCESS KIM </t>
  </si>
  <si>
    <t xml:space="preserve">ASHQUIN </t>
  </si>
  <si>
    <t>LEDRICA DUCO</t>
  </si>
  <si>
    <t>NHEIQUI</t>
  </si>
  <si>
    <t>LENNY VILLARINO</t>
  </si>
  <si>
    <t>REYES</t>
  </si>
  <si>
    <t>ZACK GABRIEL</t>
  </si>
  <si>
    <t xml:space="preserve">JOHN CARLOS </t>
  </si>
  <si>
    <t xml:space="preserve">JOSHUA </t>
  </si>
  <si>
    <t>LEONARDO UNABIA</t>
  </si>
  <si>
    <t>TERESITA UNABIA</t>
  </si>
  <si>
    <t>JONNALYN</t>
  </si>
  <si>
    <t>DWYANE RUSSELL</t>
  </si>
  <si>
    <t>MARVIN HERNANDEZ</t>
  </si>
  <si>
    <t>MELODY LAMANO MADOGINOG</t>
  </si>
  <si>
    <t>SIRAY</t>
  </si>
  <si>
    <t>LEONILA P. LOYOLA</t>
  </si>
  <si>
    <t>SIRAY JR.</t>
  </si>
  <si>
    <t xml:space="preserve">ADRIAN </t>
  </si>
  <si>
    <t>ERICKA</t>
  </si>
  <si>
    <t>LETICIA PUNZALAN VILLAR</t>
  </si>
  <si>
    <t>NICOLE ANN</t>
  </si>
  <si>
    <t>FLORENDO</t>
  </si>
  <si>
    <t>ZYNDHIE</t>
  </si>
  <si>
    <t>RANDOLF M. FLORENDO</t>
  </si>
  <si>
    <t>JUSTINE</t>
  </si>
  <si>
    <t>AMMIE B. DELA CRUZ</t>
  </si>
  <si>
    <t>JUSMMIENE</t>
  </si>
  <si>
    <t>PANONDI</t>
  </si>
  <si>
    <t>NAJIB</t>
  </si>
  <si>
    <t>HONEY LOVE</t>
  </si>
  <si>
    <t>LINDON MAGNO</t>
  </si>
  <si>
    <t>ALUMBRO</t>
  </si>
  <si>
    <t>TITUS MATHEW</t>
  </si>
  <si>
    <t>BRIANA JOY</t>
  </si>
  <si>
    <t>LLOYD DOCOT</t>
  </si>
  <si>
    <t>BIANCA AMELIA</t>
  </si>
  <si>
    <t>KIMBERLY DALISAY</t>
  </si>
  <si>
    <t xml:space="preserve">GARIMA </t>
  </si>
  <si>
    <t>E</t>
  </si>
  <si>
    <t>LODIVINA ESTRELLA</t>
  </si>
  <si>
    <t xml:space="preserve">FLORENCIO </t>
  </si>
  <si>
    <t>LOVELY MARICEL</t>
  </si>
  <si>
    <t>JENYLYN</t>
  </si>
  <si>
    <t>LOLOTA E. WIEL</t>
  </si>
  <si>
    <t xml:space="preserve">MARIJANE JOY </t>
  </si>
  <si>
    <t>BEBYHEN</t>
  </si>
  <si>
    <t>MIKAELA ZHAYNE C. CACERES</t>
  </si>
  <si>
    <t>LORENZO DESPABELADERAS</t>
  </si>
  <si>
    <t>JANE DESPABELADERAS</t>
  </si>
  <si>
    <t>NAKASABUG</t>
  </si>
  <si>
    <t>YHENBER</t>
  </si>
  <si>
    <t>GAMER</t>
  </si>
  <si>
    <t>DANIEL HUGH</t>
  </si>
  <si>
    <t>MARIA AGNES G. RAAGAS</t>
  </si>
  <si>
    <t>SALAZAR</t>
  </si>
  <si>
    <t xml:space="preserve">NICOLE </t>
  </si>
  <si>
    <t>RANDY C. BAÑADERA</t>
  </si>
  <si>
    <t>JULIET RABANG</t>
  </si>
  <si>
    <t xml:space="preserve">ANGELO </t>
  </si>
  <si>
    <t>NEVIELYN</t>
  </si>
  <si>
    <t>ANA LIZA</t>
  </si>
  <si>
    <t>ABUIA JR.</t>
  </si>
  <si>
    <t>EDWARDO</t>
  </si>
  <si>
    <t>STAHL</t>
  </si>
  <si>
    <t>GEROGINA RUBIE</t>
  </si>
  <si>
    <t>LUIS CORTEZANO</t>
  </si>
  <si>
    <t>RUBY BAÑADERA</t>
  </si>
  <si>
    <t>VERGINA CORTEZANO</t>
  </si>
  <si>
    <t xml:space="preserve">JORGE WILHELM VON </t>
  </si>
  <si>
    <t>LUIS SANTIAGO</t>
  </si>
  <si>
    <t>SALINAS JR.</t>
  </si>
  <si>
    <t>HERMIE</t>
  </si>
  <si>
    <t>ROSALIE SANTIAGO</t>
  </si>
  <si>
    <t>SALINAS</t>
  </si>
  <si>
    <t>MA. NEMESIA</t>
  </si>
  <si>
    <t>LUISA SAN JUAN</t>
  </si>
  <si>
    <t>OLIVIA</t>
  </si>
  <si>
    <t>NADALO</t>
  </si>
  <si>
    <t>ABBY GAE</t>
  </si>
  <si>
    <t>ELIZABETH M. MARCO</t>
  </si>
  <si>
    <t>TRIXIE IVON</t>
  </si>
  <si>
    <t>MA LUIZA LABRO</t>
  </si>
  <si>
    <t>CABER</t>
  </si>
  <si>
    <t>GLENN</t>
  </si>
  <si>
    <t>MA.  ELENA GRAJO</t>
  </si>
  <si>
    <t>ERICA</t>
  </si>
  <si>
    <t>TRICIA</t>
  </si>
  <si>
    <t>MA. CHRISTINE C CABRERA</t>
  </si>
  <si>
    <t>STACEE</t>
  </si>
  <si>
    <t>MADRAZO</t>
  </si>
  <si>
    <t xml:space="preserve">JHON KIRK PAATRICK </t>
  </si>
  <si>
    <t>BALILE</t>
  </si>
  <si>
    <t>JANDELMAR</t>
  </si>
  <si>
    <t>BORJA</t>
  </si>
  <si>
    <t>ALLYSA JANE</t>
  </si>
  <si>
    <t>MA. JESUSA C ABRASALDO</t>
  </si>
  <si>
    <t>ARANDIA</t>
  </si>
  <si>
    <t>GLENNEL</t>
  </si>
  <si>
    <t>MA. TERESA CALAWIN</t>
  </si>
  <si>
    <t>LEONEDO</t>
  </si>
  <si>
    <t xml:space="preserve">WESLEY </t>
  </si>
  <si>
    <t>WILLIAM M. LEONEDO</t>
  </si>
  <si>
    <t>SHEMIRA</t>
  </si>
  <si>
    <t>MA. VICTORIA SAMONTE</t>
  </si>
  <si>
    <t>SHAYUMI JANF</t>
  </si>
  <si>
    <t>PAZ IV</t>
  </si>
  <si>
    <t>ALFONSO BAMBINO</t>
  </si>
  <si>
    <t>MAGDALENA PARAYNO</t>
  </si>
  <si>
    <t>PAZ II</t>
  </si>
  <si>
    <t>RODOLFO BAMBINO</t>
  </si>
  <si>
    <t>MALVIN UMALI</t>
  </si>
  <si>
    <t>JENNY LABRO</t>
  </si>
  <si>
    <t>PAZ</t>
  </si>
  <si>
    <t>JOYCE ANN</t>
  </si>
  <si>
    <t>MALVINA LLAMES</t>
  </si>
  <si>
    <t>CANAN</t>
  </si>
  <si>
    <t>CALIE</t>
  </si>
  <si>
    <t>COLINARES</t>
  </si>
  <si>
    <t xml:space="preserve">SACH ENZO P. </t>
  </si>
  <si>
    <t>RIZA Q. PAJO</t>
  </si>
  <si>
    <t>ZANE ASHER</t>
  </si>
  <si>
    <t>MANUEL C. GERONIMO SR.</t>
  </si>
  <si>
    <t>33-A</t>
  </si>
  <si>
    <t xml:space="preserve">ZAIN AUSTINE </t>
  </si>
  <si>
    <t>RODOLFO BAMBINO L. PAZ II</t>
  </si>
  <si>
    <t>MANUEL Q IJOLEN</t>
  </si>
  <si>
    <t>GRANDE</t>
  </si>
  <si>
    <t>JARIEL XENA FAYE</t>
  </si>
  <si>
    <t>NIDA V IJOLEN</t>
  </si>
  <si>
    <t xml:space="preserve">GIA ZEPHYRINE </t>
  </si>
  <si>
    <t>GIRLY B. JAVIER</t>
  </si>
  <si>
    <t>TIN</t>
  </si>
  <si>
    <t>MARY JOYCE</t>
  </si>
  <si>
    <t>VILMA LEONIDO BERTULFO</t>
  </si>
  <si>
    <t>MARC RAMIL M. MACABENTA</t>
  </si>
  <si>
    <t>MARY ELIZABETH</t>
  </si>
  <si>
    <t>JEFFERSON</t>
  </si>
  <si>
    <t>MARC ROMMEL M MACABENTA</t>
  </si>
  <si>
    <t>JAYDEN</t>
  </si>
  <si>
    <t>MARIA GENESIS GIUMBA</t>
  </si>
  <si>
    <t>MARCIANO A MACABENTA JR.</t>
  </si>
  <si>
    <t>ROSALINDA M MACABENTA</t>
  </si>
  <si>
    <t>CONOR</t>
  </si>
  <si>
    <t>TN</t>
  </si>
  <si>
    <t>JOHA VINCENT</t>
  </si>
  <si>
    <t>BENIS</t>
  </si>
  <si>
    <t>MC KENZIE RIOTHERESE</t>
  </si>
  <si>
    <t>CLIFFORD KENN</t>
  </si>
  <si>
    <t xml:space="preserve">KENNETH </t>
  </si>
  <si>
    <t>RAMON H. BENIS</t>
  </si>
  <si>
    <t>ABROT</t>
  </si>
  <si>
    <t xml:space="preserve">ESMAEL </t>
  </si>
  <si>
    <t>MARLYN M. BENIS</t>
  </si>
  <si>
    <t>LAMELO</t>
  </si>
  <si>
    <t xml:space="preserve">ELLANA </t>
  </si>
  <si>
    <t>DAAHIL</t>
  </si>
  <si>
    <t>FOR CHEECKING</t>
  </si>
  <si>
    <t>JANY</t>
  </si>
  <si>
    <t>MARICEL</t>
  </si>
  <si>
    <t>BENIGNO</t>
  </si>
  <si>
    <t>ARNOLD</t>
  </si>
  <si>
    <t>NIEVES</t>
  </si>
  <si>
    <t xml:space="preserve">JL </t>
  </si>
  <si>
    <t>LJ</t>
  </si>
  <si>
    <t>MARIEL ESCUDERO</t>
  </si>
  <si>
    <t>JILLIAN</t>
  </si>
  <si>
    <t>PALABAY</t>
  </si>
  <si>
    <t>ZAILIL</t>
  </si>
  <si>
    <t>MARIETA CASTILLO</t>
  </si>
  <si>
    <t xml:space="preserve">PALABAY </t>
  </si>
  <si>
    <t>MARILOU PALABAY</t>
  </si>
  <si>
    <t xml:space="preserve">NAVAL </t>
  </si>
  <si>
    <t xml:space="preserve">ALIYAH JORAH </t>
  </si>
  <si>
    <t>MARILOU DE GUZMAN</t>
  </si>
  <si>
    <t xml:space="preserve">ARJON YMIGO </t>
  </si>
  <si>
    <t>MARILOU HABITAN</t>
  </si>
  <si>
    <t>JAREN</t>
  </si>
  <si>
    <t>RHENZ CANTIMBUHAN</t>
  </si>
  <si>
    <t>CANTIMBUHAN0 JR.</t>
  </si>
  <si>
    <t>RHENZ</t>
  </si>
  <si>
    <t>JACKY ZNEHR</t>
  </si>
  <si>
    <t>ALLONA</t>
  </si>
  <si>
    <t>AMYLOU HART</t>
  </si>
  <si>
    <t>MARIO HORTAL</t>
  </si>
  <si>
    <t>QUINN YASHI</t>
  </si>
  <si>
    <t>EVANDER EIGHT</t>
  </si>
  <si>
    <t>EVANGELIN P. NICOLAS</t>
  </si>
  <si>
    <t>BUSCAGAN</t>
  </si>
  <si>
    <t>JEMILSON</t>
  </si>
  <si>
    <t>RAMIL BUSCAGAN</t>
  </si>
  <si>
    <t>JENSON</t>
  </si>
  <si>
    <t>JOSEPHINE VELASCO</t>
  </si>
  <si>
    <t>ACUZAR</t>
  </si>
  <si>
    <t>JANE NICLE</t>
  </si>
  <si>
    <t xml:space="preserve">NEIL MATEO </t>
  </si>
  <si>
    <t>JOHN MATHEW</t>
  </si>
  <si>
    <t>MARITES R. GERONIMO</t>
  </si>
  <si>
    <t>MONICA MAE</t>
  </si>
  <si>
    <t xml:space="preserve">TRIXIE JOYCE </t>
  </si>
  <si>
    <t>MARITESS M. PAMINTUHAN</t>
  </si>
  <si>
    <t>TAN</t>
  </si>
  <si>
    <t>ARTHUR</t>
  </si>
  <si>
    <t>MARIVIC GOLE</t>
  </si>
  <si>
    <t>JEFFRY</t>
  </si>
  <si>
    <t>DUQUIATAN</t>
  </si>
  <si>
    <t>JAMESON</t>
  </si>
  <si>
    <t>MARIVIC SANTOS</t>
  </si>
  <si>
    <t>MARISSA</t>
  </si>
  <si>
    <t>SHERYLIN</t>
  </si>
  <si>
    <t>FOR CHECKIN</t>
  </si>
  <si>
    <t>MARILON SILVESTRE</t>
  </si>
  <si>
    <t>SOLIS</t>
  </si>
  <si>
    <t>BHIEJAY</t>
  </si>
  <si>
    <t>CATHLIN V. OBNIALA</t>
  </si>
  <si>
    <t>KRISTELLE MAE</t>
  </si>
  <si>
    <t>KLEA</t>
  </si>
  <si>
    <t>ANGELA LUNA CAMAGONG / MARK JUSTINE BUTIAL</t>
  </si>
  <si>
    <t>PERDON</t>
  </si>
  <si>
    <t>MIA</t>
  </si>
  <si>
    <t>PHILIP PERDON</t>
  </si>
  <si>
    <t>ELIJAH</t>
  </si>
  <si>
    <t>AIDLIAN MAGONCIA MOSE</t>
  </si>
  <si>
    <t>MOLINA</t>
  </si>
  <si>
    <t>ANTHONY JR.</t>
  </si>
  <si>
    <t>KEILORD TOM</t>
  </si>
  <si>
    <t>MA. ARA QUIÑONES</t>
  </si>
  <si>
    <t>CRYSTAL ANN</t>
  </si>
  <si>
    <t>MARLON E. OLAES</t>
  </si>
  <si>
    <t>LORNA C. OLAES</t>
  </si>
  <si>
    <t>QUIAMBAO</t>
  </si>
  <si>
    <t>LUCAS ELIJA</t>
  </si>
  <si>
    <t>CALAWIN</t>
  </si>
  <si>
    <t>ALEXIS THRISTAN</t>
  </si>
  <si>
    <t>MARLON MIRASOL</t>
  </si>
  <si>
    <t>FIRSNAME🔎 :</t>
  </si>
  <si>
    <t>ROMEO V CALAWIN</t>
  </si>
  <si>
    <t>GELIE VILLARINO</t>
  </si>
  <si>
    <t>DATA FOUND:</t>
  </si>
  <si>
    <t>MARLON TULABOT</t>
  </si>
  <si>
    <t>GUILLEN</t>
  </si>
  <si>
    <t>JAMES BRYAN</t>
  </si>
  <si>
    <t>M.I</t>
  </si>
  <si>
    <t>ANGEL MAE</t>
  </si>
  <si>
    <t>DESPABELADERAS</t>
  </si>
  <si>
    <t>GAB</t>
  </si>
  <si>
    <t>SUAY</t>
  </si>
  <si>
    <t>AGNES GREGORIO</t>
  </si>
  <si>
    <t>MARVIC SARMIENTO</t>
  </si>
  <si>
    <t>JOHN OBAMA</t>
  </si>
  <si>
    <t>SEAN LUAN</t>
  </si>
  <si>
    <t>LETTE S OCAMPO</t>
  </si>
  <si>
    <t>MARVIN CHENG</t>
  </si>
  <si>
    <t>CARRASCO</t>
  </si>
  <si>
    <t>MITZI ELLINE</t>
  </si>
  <si>
    <t>VENERANDO D CARRASCO</t>
  </si>
  <si>
    <t>DIANA BARDON</t>
  </si>
  <si>
    <t>PUSING</t>
  </si>
  <si>
    <t>UNO</t>
  </si>
  <si>
    <t>MARVIN HAMOR</t>
  </si>
  <si>
    <t>JUSTINIANO</t>
  </si>
  <si>
    <t>KHEANNA</t>
  </si>
  <si>
    <t>PAGUDAR</t>
  </si>
  <si>
    <t>SOPHIA KAITLYN</t>
  </si>
  <si>
    <t>MARNA</t>
  </si>
  <si>
    <t>RENATO CALAWIN</t>
  </si>
  <si>
    <t>MAYLA CALAWIN</t>
  </si>
  <si>
    <t>MARVIN M. BENIS</t>
  </si>
  <si>
    <t>JONAS</t>
  </si>
  <si>
    <t>MARY ANN CALAWIN</t>
  </si>
  <si>
    <t>CRISOSTOMO</t>
  </si>
  <si>
    <t>TRACY MAE</t>
  </si>
  <si>
    <t>REBECCA CRISOSTOMO</t>
  </si>
  <si>
    <t>ARAMBULO</t>
  </si>
  <si>
    <t>JANNA</t>
  </si>
  <si>
    <t>MARY ANN S. MEJICO</t>
  </si>
  <si>
    <t>LLAMES</t>
  </si>
  <si>
    <t xml:space="preserve">PRECIOUS </t>
  </si>
  <si>
    <t>MARY DARVIELYN S. OCAMPO</t>
  </si>
  <si>
    <t>DALE GARNETH</t>
  </si>
  <si>
    <t>BATAC</t>
  </si>
  <si>
    <t xml:space="preserve">MARY GRACE </t>
  </si>
  <si>
    <t>RICHARD BATAC</t>
  </si>
  <si>
    <t>MARY GRACE ANN VILELA</t>
  </si>
  <si>
    <t>JOHN DANE</t>
  </si>
  <si>
    <t>KIAN</t>
  </si>
  <si>
    <t>BARBULO</t>
  </si>
  <si>
    <t>ELISHA FAITH</t>
  </si>
  <si>
    <t>MARY GRACE LARIN</t>
  </si>
  <si>
    <t>TYLER KLAY</t>
  </si>
  <si>
    <t>MARICRIS</t>
  </si>
  <si>
    <t>MARY JANE F. GIPIT</t>
  </si>
  <si>
    <t>THIRDY</t>
  </si>
  <si>
    <t>MONA</t>
  </si>
  <si>
    <t>AJ</t>
  </si>
  <si>
    <t>MONALIZA CALAWIN</t>
  </si>
  <si>
    <t>MARY YNDELLCELLE GREGORIO</t>
  </si>
  <si>
    <t>JUZTIN ALFRED</t>
  </si>
  <si>
    <t>NORBERTO B OLAES</t>
  </si>
  <si>
    <t>MC BRYLE GREGORIO</t>
  </si>
  <si>
    <t>ESCUDERO</t>
  </si>
  <si>
    <t>KIARA LORRAINE</t>
  </si>
  <si>
    <t>CLARISSE</t>
  </si>
  <si>
    <t>5A</t>
  </si>
  <si>
    <t>MATHEW</t>
  </si>
  <si>
    <t>MAYLYN E LARIN</t>
  </si>
  <si>
    <t>RILEY</t>
  </si>
  <si>
    <t>MONALISA MALATE</t>
  </si>
  <si>
    <t>FULONG</t>
  </si>
  <si>
    <t>AMARAH ZEUE</t>
  </si>
  <si>
    <t>MEL JOHN Z TABIRARA</t>
  </si>
  <si>
    <t>CRISTILEN PYRA TABIRARA</t>
  </si>
  <si>
    <t>ZACQUES GREY</t>
  </si>
  <si>
    <t>ARANETA</t>
  </si>
  <si>
    <t>RAFAEL</t>
  </si>
  <si>
    <t>CHRISITINE</t>
  </si>
  <si>
    <t>MELCHOR TABIRARA</t>
  </si>
  <si>
    <t>RODALIN TABIRARA</t>
  </si>
  <si>
    <t>LUKE SEBASTIAN</t>
  </si>
  <si>
    <t>JEAN RILIA</t>
  </si>
  <si>
    <t>PEÑA</t>
  </si>
  <si>
    <t>DANICA EUNICE</t>
  </si>
  <si>
    <t>CRISTAL C. DE GUZMAN</t>
  </si>
  <si>
    <t>TENSON B. PEÑA</t>
  </si>
  <si>
    <t>JOHN DAVID</t>
  </si>
  <si>
    <t>GINALYN MAGDAMIT</t>
  </si>
  <si>
    <t>JAMES DENVER</t>
  </si>
  <si>
    <t>MELVIN TABIRARA</t>
  </si>
  <si>
    <t>DIANA ELLICE</t>
  </si>
  <si>
    <t>ROSALINDA TABIRARA</t>
  </si>
  <si>
    <t>LAURAYA</t>
  </si>
  <si>
    <t>ROMEO LAURAYA</t>
  </si>
  <si>
    <t>JENNY</t>
  </si>
  <si>
    <t>MHELJHON MIRASOL</t>
  </si>
  <si>
    <t>KIM JERILIE LIM</t>
  </si>
  <si>
    <t>ESCOBAR</t>
  </si>
  <si>
    <t>ZACHARY</t>
  </si>
  <si>
    <t>SAN EDRC</t>
  </si>
  <si>
    <t>JOYCE ANN VILLA</t>
  </si>
  <si>
    <t>GALLARDO</t>
  </si>
  <si>
    <t>IVAN</t>
  </si>
  <si>
    <t>MICHAEL ATAJAR</t>
  </si>
  <si>
    <t>DANE BERT</t>
  </si>
  <si>
    <t>ANRIALIZA ATAJAR</t>
  </si>
  <si>
    <t>DALE ANDREW</t>
  </si>
  <si>
    <t>DEIB JAMESON</t>
  </si>
  <si>
    <t xml:space="preserve">JESSABEL LAZARO </t>
  </si>
  <si>
    <t xml:space="preserve">SANTIAGO </t>
  </si>
  <si>
    <t>CALVIN</t>
  </si>
  <si>
    <t>MICHAEL CHENG</t>
  </si>
  <si>
    <t>MIEL</t>
  </si>
  <si>
    <t>ROMEL G ATAJAR</t>
  </si>
  <si>
    <t>ZACK</t>
  </si>
  <si>
    <t>MICHAEL ESPIRITU</t>
  </si>
  <si>
    <t>BLAINE GAVEEN</t>
  </si>
  <si>
    <t xml:space="preserve">PEDRO </t>
  </si>
  <si>
    <t>ELAINE MARIVIC</t>
  </si>
  <si>
    <t>MYRA QUIÑONES</t>
  </si>
  <si>
    <t>JETRO</t>
  </si>
  <si>
    <t>ATHEA</t>
  </si>
  <si>
    <t>AETHAN</t>
  </si>
  <si>
    <t>UNABIA</t>
  </si>
  <si>
    <t>SAYMON</t>
  </si>
  <si>
    <t>MERLYN B. OREJANA / LYNYRD OREJANA</t>
  </si>
  <si>
    <t>SAYRO</t>
  </si>
  <si>
    <t>SHIELA MARIE</t>
  </si>
  <si>
    <t xml:space="preserve">CALAWIN </t>
  </si>
  <si>
    <t>MARION FAYE</t>
  </si>
  <si>
    <t>6A</t>
  </si>
  <si>
    <t>MARY JOY</t>
  </si>
  <si>
    <t>MYRNA D. PUSING</t>
  </si>
  <si>
    <t xml:space="preserve">SAMONTE </t>
  </si>
  <si>
    <t>ALICE R. DIOLOLF</t>
  </si>
  <si>
    <t>29-D</t>
  </si>
  <si>
    <t>DANIEL KLEIN</t>
  </si>
  <si>
    <t>NARDITO ESPINA</t>
  </si>
  <si>
    <t>LYRA F FETAVIER</t>
  </si>
  <si>
    <t>LLENO</t>
  </si>
  <si>
    <t>MA. CECILIA</t>
  </si>
  <si>
    <t>CLEMEN RAY</t>
  </si>
  <si>
    <t>ENCARNACION LEONARDO</t>
  </si>
  <si>
    <t>VINCE MAVERICK</t>
  </si>
  <si>
    <t>DE FELIX</t>
  </si>
  <si>
    <t>RIHIANNA</t>
  </si>
  <si>
    <t>ROGER DE FELIX</t>
  </si>
  <si>
    <t>MARIBETH MALAIT</t>
  </si>
  <si>
    <t>LLARIN</t>
  </si>
  <si>
    <t>ALANA JELARIEN</t>
  </si>
  <si>
    <t>WARREN T LLARIN</t>
  </si>
  <si>
    <t>NEILSON M. BELTRAN</t>
  </si>
  <si>
    <t>CRISTOBAL</t>
  </si>
  <si>
    <t>YOJ AERIELLE</t>
  </si>
  <si>
    <t>YUKI AERIELLE</t>
  </si>
  <si>
    <t>MICO</t>
  </si>
  <si>
    <t>NELMIDA DALISAY</t>
  </si>
  <si>
    <t>AERON</t>
  </si>
  <si>
    <t xml:space="preserve">STO TOMAS </t>
  </si>
  <si>
    <t>BRYAN</t>
  </si>
  <si>
    <t>MYRA CERVANTES</t>
  </si>
  <si>
    <t>WEHTY</t>
  </si>
  <si>
    <t>JOWEL DELA CRUZ</t>
  </si>
  <si>
    <t>NARIO</t>
  </si>
  <si>
    <t>JAMAICA SHEENE</t>
  </si>
  <si>
    <t>JASMINE FAITH</t>
  </si>
  <si>
    <t>NELSON KYLE M. ILAYA</t>
  </si>
  <si>
    <t>ANGELYN C. ILAYA</t>
  </si>
  <si>
    <t>JHONRAY</t>
  </si>
  <si>
    <t>NELSON M. ILAYA</t>
  </si>
  <si>
    <t>CRISTINA B. MIRANDA ILAYA</t>
  </si>
  <si>
    <t xml:space="preserve">CASTRO </t>
  </si>
  <si>
    <t>YHAEL</t>
  </si>
  <si>
    <t>YHURI</t>
  </si>
  <si>
    <t>ANNALYN VILLANO</t>
  </si>
  <si>
    <t>UMALI</t>
  </si>
  <si>
    <t>MELVIN JOHN</t>
  </si>
  <si>
    <t>0867C</t>
  </si>
  <si>
    <t>LABRO</t>
  </si>
  <si>
    <t>NERISSA BILLONES</t>
  </si>
  <si>
    <t>ASTHON</t>
  </si>
  <si>
    <t>KING</t>
  </si>
  <si>
    <t>ROZALDO ADRIANO</t>
  </si>
  <si>
    <t>ADRIANO</t>
  </si>
  <si>
    <t>ROXANNE C. CRUZ</t>
  </si>
  <si>
    <t>DUMAHACIAS</t>
  </si>
  <si>
    <t>TERESITA CORTEZANO</t>
  </si>
  <si>
    <t xml:space="preserve">NUDO </t>
  </si>
  <si>
    <t>JORDAN</t>
  </si>
  <si>
    <t>BEATRIZ D. EVANGELISTA</t>
  </si>
  <si>
    <t>REGINA NUDO</t>
  </si>
  <si>
    <t>IGAO</t>
  </si>
  <si>
    <t>LORDIE FERGIN</t>
  </si>
  <si>
    <t>ELIZZABETH ORTIZ</t>
  </si>
  <si>
    <t>ISRAL FERGIN</t>
  </si>
  <si>
    <t>JAVIERY</t>
  </si>
  <si>
    <t>RICARDO MIRASOL</t>
  </si>
  <si>
    <t>VIRGINIA RUIZ</t>
  </si>
  <si>
    <t>ROYCE ALDRICH</t>
  </si>
  <si>
    <t>R.S</t>
  </si>
  <si>
    <t>MARICEL L. AMASA</t>
  </si>
  <si>
    <t>RICA</t>
  </si>
  <si>
    <t>NICOLAS R. CATINDOY</t>
  </si>
  <si>
    <t>JHOAN S. CATINDOY</t>
  </si>
  <si>
    <t>DE CASTRO</t>
  </si>
  <si>
    <t>XHYRENE</t>
  </si>
  <si>
    <t>ZYRON</t>
  </si>
  <si>
    <t>MARIA CARCIA CRUZ</t>
  </si>
  <si>
    <t>XIAN</t>
  </si>
  <si>
    <t>DELA TORRE</t>
  </si>
  <si>
    <t>JULIE ANN</t>
  </si>
  <si>
    <t xml:space="preserve">NIÑO ARCILLA </t>
  </si>
  <si>
    <t>IJANE</t>
  </si>
  <si>
    <t>NATE ALLEN</t>
  </si>
  <si>
    <t>KLEIN</t>
  </si>
  <si>
    <t>ROSEMARIE V. MATIONG</t>
  </si>
  <si>
    <t>TARUC</t>
  </si>
  <si>
    <t>DRAFF AEIOUS</t>
  </si>
  <si>
    <t>ESTRELLA</t>
  </si>
  <si>
    <t>JHORIELIE</t>
  </si>
  <si>
    <t>M</t>
  </si>
  <si>
    <t>JHORIELLE</t>
  </si>
  <si>
    <t>NOEL F. ROMERO</t>
  </si>
  <si>
    <t>CRYSTAAL MAE D. VELMONTE</t>
  </si>
  <si>
    <t>JHORIES</t>
  </si>
  <si>
    <t>NOEMI A RAYTOS</t>
  </si>
  <si>
    <t>LAURISH</t>
  </si>
  <si>
    <t>LAURENCE</t>
  </si>
  <si>
    <t>NOEMI RAYTOS</t>
  </si>
  <si>
    <t>LESTER</t>
  </si>
  <si>
    <t>NATIVIDAD</t>
  </si>
  <si>
    <t>BABY ESPINA</t>
  </si>
  <si>
    <t>MARIELLA</t>
  </si>
  <si>
    <t>DANIEL DAVE</t>
  </si>
  <si>
    <t>MA LYCA</t>
  </si>
  <si>
    <t>JASMIN M VILLAVICENCIO</t>
  </si>
  <si>
    <t>NOREEN APPLE C HOMO</t>
  </si>
  <si>
    <t>DE JESUS</t>
  </si>
  <si>
    <t>RONAN</t>
  </si>
  <si>
    <t>NORMA MENOZA</t>
  </si>
  <si>
    <t>DIAGSAY</t>
  </si>
  <si>
    <t>JERALD</t>
  </si>
  <si>
    <t>MARILYN M. BILLONES</t>
  </si>
  <si>
    <t>JADRIAN MIGUEL</t>
  </si>
  <si>
    <t>JHANNA MAE</t>
  </si>
  <si>
    <t>OFELIA C. GARCIA</t>
  </si>
  <si>
    <t>LARA JANE</t>
  </si>
  <si>
    <t>OLIVER SARMIENTO</t>
  </si>
  <si>
    <t>MEJICO</t>
  </si>
  <si>
    <t>MARIAH ASHERA</t>
  </si>
  <si>
    <t>ORLY LLAMES</t>
  </si>
  <si>
    <t>ZABALA</t>
  </si>
  <si>
    <t>ZHASKE EARL</t>
  </si>
  <si>
    <t>RENIE B ZABALA</t>
  </si>
  <si>
    <t>PABLO G ROMERO</t>
  </si>
  <si>
    <t>BERNADETTE ROMERO</t>
  </si>
  <si>
    <t>SHYREIN</t>
  </si>
  <si>
    <t>FRONDA</t>
  </si>
  <si>
    <t>NICOLE</t>
  </si>
  <si>
    <t>PACITA TULAY</t>
  </si>
  <si>
    <t>URIAH</t>
  </si>
  <si>
    <t>3A</t>
  </si>
  <si>
    <t>CHELSEA</t>
  </si>
  <si>
    <t>LAARNIE MERCADO</t>
  </si>
  <si>
    <t>MARY ANN</t>
  </si>
  <si>
    <t>PAUL M. SARMIENTO</t>
  </si>
  <si>
    <t>RICARDO S AGUANTA</t>
  </si>
  <si>
    <t>CARMELA NTIONIETE VELASQUEZ</t>
  </si>
  <si>
    <t>REM PARK</t>
  </si>
  <si>
    <t>PAUL REYES</t>
  </si>
  <si>
    <t>LUZVIMINDA REYES</t>
  </si>
  <si>
    <t>RANICO</t>
  </si>
  <si>
    <t>ZOEY CELESTINE</t>
  </si>
  <si>
    <t>ZACHANY GRAY</t>
  </si>
  <si>
    <t>PETER JOHN AMORIN</t>
  </si>
  <si>
    <t>ZIA BRIELLE</t>
  </si>
  <si>
    <t>RAMOS</t>
  </si>
  <si>
    <t xml:space="preserve">JOENEL </t>
  </si>
  <si>
    <t>MARITA E. LARIN</t>
  </si>
  <si>
    <t>PILAR BERNARDO</t>
  </si>
  <si>
    <t xml:space="preserve">RAMOS </t>
  </si>
  <si>
    <t>PILAR JESSICA D. RODRIGUEZ</t>
  </si>
  <si>
    <t>REDEN PANGANIBAN</t>
  </si>
  <si>
    <t>HYACINTH</t>
  </si>
  <si>
    <t>RYKER</t>
  </si>
  <si>
    <t>ANNE KATE NATHALIE BENAVIDEZ</t>
  </si>
  <si>
    <t>NARRIDO</t>
  </si>
  <si>
    <t>JHAY ANN</t>
  </si>
  <si>
    <t>PRINCESS HAMOR</t>
  </si>
  <si>
    <t>VERSOZA</t>
  </si>
  <si>
    <t>MHARTINE HAL</t>
  </si>
  <si>
    <t>PRINCESS JHARENE VERGARA</t>
  </si>
  <si>
    <t>MHACKY MARION</t>
  </si>
  <si>
    <t>PURUFICACION</t>
  </si>
  <si>
    <t>LIGAYA AGUANTA</t>
  </si>
  <si>
    <t>VERSOZA JR.</t>
  </si>
  <si>
    <t>MARLON</t>
  </si>
  <si>
    <t>QUENNIE HAMOR</t>
  </si>
  <si>
    <t>MARGAUX</t>
  </si>
  <si>
    <t>RACHELLE DE GUZMAN</t>
  </si>
  <si>
    <t>MICHEAL CYRUS</t>
  </si>
  <si>
    <t>RADEN JOHN V. GALEON</t>
  </si>
  <si>
    <t>HOMO</t>
  </si>
  <si>
    <t>YHUNO</t>
  </si>
  <si>
    <t>RAFAEL ESPIRITU</t>
  </si>
  <si>
    <t>KAEDE</t>
  </si>
  <si>
    <t>SAILA CAMBAL</t>
  </si>
  <si>
    <t>ABRASALDO</t>
  </si>
  <si>
    <t>CASANDRA NICOLE</t>
  </si>
  <si>
    <t>RAFFY ZABALA</t>
  </si>
  <si>
    <t>TY</t>
  </si>
  <si>
    <t>AVIANA LEIGH</t>
  </si>
  <si>
    <t>JENNIFER ANDAYA</t>
  </si>
  <si>
    <t>LARIN</t>
  </si>
  <si>
    <t>CRIS</t>
  </si>
  <si>
    <t>TERESITA C VICTORIA</t>
  </si>
  <si>
    <t>RAMIL MIRASOL</t>
  </si>
  <si>
    <t>AZRA MIRASOL</t>
  </si>
  <si>
    <t xml:space="preserve">LARIN </t>
  </si>
  <si>
    <t>BRAINE</t>
  </si>
  <si>
    <t>ROMEO LARIN</t>
  </si>
  <si>
    <t>RAMIL SANTOS</t>
  </si>
  <si>
    <t>LEAH SANTOS</t>
  </si>
  <si>
    <t xml:space="preserve">LORDY </t>
  </si>
  <si>
    <t>TERRENCE</t>
  </si>
  <si>
    <t>ROSARIO M. RODIL</t>
  </si>
  <si>
    <t>CRENZ JOHAN</t>
  </si>
  <si>
    <t>LIEZEL P. AGUINID</t>
  </si>
  <si>
    <t>KYLE JOHN</t>
  </si>
  <si>
    <t>ZENYLYN Q. FLORENDO</t>
  </si>
  <si>
    <t>RTLEOLE CASTRO</t>
  </si>
  <si>
    <t>LHANCE</t>
  </si>
  <si>
    <t>IZA SALAZAR</t>
  </si>
  <si>
    <t>TERENCE</t>
  </si>
  <si>
    <t>DEXTER</t>
  </si>
  <si>
    <t>JAZMINE NAVE</t>
  </si>
  <si>
    <t>JAIMY</t>
  </si>
  <si>
    <t>TIMMY ESTRELLA</t>
  </si>
  <si>
    <t>JHENNA MAE</t>
  </si>
  <si>
    <t>ROQUE</t>
  </si>
  <si>
    <t>LHINET</t>
  </si>
  <si>
    <t>PRINCESS LOVELY</t>
  </si>
  <si>
    <t>RASHEL L TABIRARA</t>
  </si>
  <si>
    <t xml:space="preserve">JOHN LOID </t>
  </si>
  <si>
    <t>JERVY LOI</t>
  </si>
  <si>
    <t>RINA CASTRO</t>
  </si>
  <si>
    <t>JAMAICA MAE D SANTOS</t>
  </si>
  <si>
    <t>RAYMOND V IJOLEN</t>
  </si>
  <si>
    <t>ROSETTE FLAJO</t>
  </si>
  <si>
    <t>ADRIAN</t>
  </si>
  <si>
    <t>ALDRINE</t>
  </si>
  <si>
    <t>ARMANDO HUPALAR</t>
  </si>
  <si>
    <t>FRANCIS WILLIAM</t>
  </si>
  <si>
    <t>ZIAN</t>
  </si>
  <si>
    <t>LAGINIA</t>
  </si>
  <si>
    <t>RECTO ANDAYA</t>
  </si>
  <si>
    <t>ALZEA</t>
  </si>
  <si>
    <t>ENRIQUEZ</t>
  </si>
  <si>
    <t>MIRACLE GUILLEN</t>
  </si>
  <si>
    <t>AERIS</t>
  </si>
  <si>
    <t>AERIANE AUDREY</t>
  </si>
  <si>
    <t>MANILYN CABALLA</t>
  </si>
  <si>
    <t>ORIDO</t>
  </si>
  <si>
    <t xml:space="preserve">FLORENCE MAE </t>
  </si>
  <si>
    <t xml:space="preserve">G </t>
  </si>
  <si>
    <t>MARK JOHN</t>
  </si>
  <si>
    <t>REGINA C. DE GUZMAN</t>
  </si>
  <si>
    <t>JOHN JAMES</t>
  </si>
  <si>
    <t>REGINA ESTABILLO</t>
  </si>
  <si>
    <t>RENATO</t>
  </si>
  <si>
    <t>EUGENIO</t>
  </si>
  <si>
    <t>AEVIER KAL-EL</t>
  </si>
  <si>
    <t>ABE</t>
  </si>
  <si>
    <t>CLEON EZEKIEL</t>
  </si>
  <si>
    <t>RODULF G. ABE</t>
  </si>
  <si>
    <t>RENATO AGUANTA</t>
  </si>
  <si>
    <t xml:space="preserve">YHOUAN ZYRUZ </t>
  </si>
  <si>
    <t>DIVINA G AGUANTA</t>
  </si>
  <si>
    <t>PRICESS MREA</t>
  </si>
  <si>
    <t>SIMON PUNZALAN</t>
  </si>
  <si>
    <t>IRMA AYUDAN</t>
  </si>
  <si>
    <t>DESDIR</t>
  </si>
  <si>
    <t>PRINE JARED</t>
  </si>
  <si>
    <t>RENATO BATINGAL</t>
  </si>
  <si>
    <t>HABITAN</t>
  </si>
  <si>
    <t>CARL JAMES</t>
  </si>
  <si>
    <t>KATHRINA MAE</t>
  </si>
  <si>
    <t>YOLANDA CALAWIN</t>
  </si>
  <si>
    <t>JOANA MARIE</t>
  </si>
  <si>
    <t>RENATO P. CABALLA</t>
  </si>
  <si>
    <t>MONICA S CABALLA</t>
  </si>
  <si>
    <t>TRISHA ANN</t>
  </si>
  <si>
    <t>RENATO S VELASQUEZ</t>
  </si>
  <si>
    <t>BARRAMEDA</t>
  </si>
  <si>
    <t>ROWENA</t>
  </si>
  <si>
    <t>MARLETA CASTILLO</t>
  </si>
  <si>
    <t>CALYO</t>
  </si>
  <si>
    <t xml:space="preserve">RENATO V. CALAWIN </t>
  </si>
  <si>
    <t>BONDOC</t>
  </si>
  <si>
    <t>RICH MEI GIFFT</t>
  </si>
  <si>
    <t>P</t>
  </si>
  <si>
    <t>JEORGER DANIELLE</t>
  </si>
  <si>
    <t>BERNADETH B. ROLDAN</t>
  </si>
  <si>
    <t>JARED JENSEN</t>
  </si>
  <si>
    <t>JIAN IRISH</t>
  </si>
  <si>
    <t>CASEMIRA JOYA</t>
  </si>
  <si>
    <t>RICHZELLE BLESS</t>
  </si>
  <si>
    <t>PAMAT</t>
  </si>
  <si>
    <t>ROBERTO PAMAT</t>
  </si>
  <si>
    <t>SHIERELYN C ZABALA</t>
  </si>
  <si>
    <t>RICO</t>
  </si>
  <si>
    <t>RICHELLE</t>
  </si>
  <si>
    <t>PAMELL</t>
  </si>
  <si>
    <t>BLANCA JOY</t>
  </si>
  <si>
    <t>ROSITA D PAMAT</t>
  </si>
  <si>
    <t>PICORRO</t>
  </si>
  <si>
    <t>ARBIE</t>
  </si>
  <si>
    <t>SHANIE ROSE B. JAVIER</t>
  </si>
  <si>
    <t>AKIESHA</t>
  </si>
  <si>
    <t>REYNALD H. SOLOMON</t>
  </si>
  <si>
    <t>IJOLEN</t>
  </si>
  <si>
    <t>ROSALIE</t>
  </si>
  <si>
    <t>JERLYN H. LEBOSADA</t>
  </si>
  <si>
    <t>39-C</t>
  </si>
  <si>
    <t>RONNEL</t>
  </si>
  <si>
    <t>REYNALD ZABALA</t>
  </si>
  <si>
    <t>ROSALIE ZABALA</t>
  </si>
  <si>
    <t>SALILICAN</t>
  </si>
  <si>
    <t>LANCE MATHEW</t>
  </si>
  <si>
    <t>FLANDEZ</t>
  </si>
  <si>
    <t>STEPHEW ANDREI</t>
  </si>
  <si>
    <t>REYNALDO AUSTRIA</t>
  </si>
  <si>
    <t>GREEN</t>
  </si>
  <si>
    <t>HERB</t>
  </si>
  <si>
    <t>REYNALDO CASTRO</t>
  </si>
  <si>
    <t xml:space="preserve">REANA </t>
  </si>
  <si>
    <t xml:space="preserve">REYNALDO TRICEÑO </t>
  </si>
  <si>
    <t>REYMUZ</t>
  </si>
  <si>
    <t>VIVIAN SERAPIA</t>
  </si>
  <si>
    <t>PRINGEN</t>
  </si>
  <si>
    <t>LANCE</t>
  </si>
  <si>
    <t>RHEALYN LESTAJO</t>
  </si>
  <si>
    <t>ELISHA</t>
  </si>
  <si>
    <t>MARY GRACE F. MACAS</t>
  </si>
  <si>
    <t>VARGAS</t>
  </si>
  <si>
    <t xml:space="preserve">VARGAS </t>
  </si>
  <si>
    <t>CYRUS JAY</t>
  </si>
  <si>
    <t>JACQUELINE MONTAÑA CANTIMBUHAN</t>
  </si>
  <si>
    <t>FLAJO</t>
  </si>
  <si>
    <t>PRINCE ARTHUR</t>
  </si>
  <si>
    <t>SHANIAH</t>
  </si>
  <si>
    <t xml:space="preserve">RAYTOS </t>
  </si>
  <si>
    <t>MA. REGINA</t>
  </si>
  <si>
    <t>AGOTE</t>
  </si>
  <si>
    <t>MA. ABYGALE</t>
  </si>
  <si>
    <t>ROLANDO VINCENT</t>
  </si>
  <si>
    <t>JOAN MIRASOL</t>
  </si>
  <si>
    <t>RAYMUND JAMES</t>
  </si>
  <si>
    <t>MA. RUI GABRIELLE</t>
  </si>
  <si>
    <t>AURELIA V AGUANTA</t>
  </si>
  <si>
    <t>MACABENTA</t>
  </si>
  <si>
    <t>MARIELLA ROSSELLE</t>
  </si>
  <si>
    <t>RICHARD B. GOZO</t>
  </si>
  <si>
    <t>MARC RAMIL</t>
  </si>
  <si>
    <t>JENIFER H. GUTIERREZ</t>
  </si>
  <si>
    <t>BRENDALYN</t>
  </si>
  <si>
    <t>T</t>
  </si>
  <si>
    <t>RITZEL B. SILVESTRE</t>
  </si>
  <si>
    <t>BERNADETH</t>
  </si>
  <si>
    <t>BABYLYN</t>
  </si>
  <si>
    <t>ELISA BATAC</t>
  </si>
  <si>
    <t>JAYL</t>
  </si>
  <si>
    <t>DAGAL</t>
  </si>
  <si>
    <t>ARJAY</t>
  </si>
  <si>
    <t>KYLA MAE B. ORTIGAS</t>
  </si>
  <si>
    <t>ARVIN</t>
  </si>
  <si>
    <t>RICHARD MARCOS</t>
  </si>
  <si>
    <t>MAGSILANG</t>
  </si>
  <si>
    <t>TIFFANY MARCOS</t>
  </si>
  <si>
    <t>JENNY LOU</t>
  </si>
  <si>
    <t>MATEA D. WITE</t>
  </si>
  <si>
    <t>JANETH</t>
  </si>
  <si>
    <t>JOBELLE</t>
  </si>
  <si>
    <t>ARIANE C. PEREZ</t>
  </si>
  <si>
    <t>JOVIC</t>
  </si>
  <si>
    <t>MINALYN CORNELIO</t>
  </si>
  <si>
    <t>JIRO</t>
  </si>
  <si>
    <t>RICO PAMAT</t>
  </si>
  <si>
    <t>MANDRIZA</t>
  </si>
  <si>
    <t>JYOHAN KURT</t>
  </si>
  <si>
    <t>JYUNA SKYE</t>
  </si>
  <si>
    <t>MARY GRACE NOLASCO</t>
  </si>
  <si>
    <t>AGAWA</t>
  </si>
  <si>
    <t>JASMINE YHIZINE</t>
  </si>
  <si>
    <t>DOLORICO</t>
  </si>
  <si>
    <t>RISHELLE MAE MERANO</t>
  </si>
  <si>
    <t>JASPHER</t>
  </si>
  <si>
    <t>PORTON</t>
  </si>
  <si>
    <t>JEA MARCIELO</t>
  </si>
  <si>
    <t>RIZZI VARGAS</t>
  </si>
  <si>
    <t>JIYAN CARL</t>
  </si>
  <si>
    <t>JHACOB</t>
  </si>
  <si>
    <t>MARY ANGELINE AVILES</t>
  </si>
  <si>
    <t>JOHN MATTHEW</t>
  </si>
  <si>
    <t>JULLIE KEI</t>
  </si>
  <si>
    <t>JOHN ERICK</t>
  </si>
  <si>
    <t>MARIVIC EJANDRA</t>
  </si>
  <si>
    <t>SARAH</t>
  </si>
  <si>
    <t>ACOSTA</t>
  </si>
  <si>
    <t>ALTHEA DHENLLE</t>
  </si>
  <si>
    <t>RYAN INDICIO</t>
  </si>
  <si>
    <t>INDICIO</t>
  </si>
  <si>
    <t>FIONNA GRAY</t>
  </si>
  <si>
    <t>VIRGINIA ZULUETA</t>
  </si>
  <si>
    <t xml:space="preserve">ACOSTA </t>
  </si>
  <si>
    <t>ASHIRA VENICE</t>
  </si>
  <si>
    <t>RONALDO AMARO</t>
  </si>
  <si>
    <t>AMARO</t>
  </si>
  <si>
    <t>WINTER SAMANTHA</t>
  </si>
  <si>
    <t>LOVELYN AGUANTA</t>
  </si>
  <si>
    <t>PAUL JOHN</t>
  </si>
  <si>
    <t>RODERICK ZABALA</t>
  </si>
  <si>
    <t>FAOLA MAE ACOSTA</t>
  </si>
  <si>
    <t>SHEENA PATRISHA</t>
  </si>
  <si>
    <t>RALLY</t>
  </si>
  <si>
    <t>ROLLY IGAO</t>
  </si>
  <si>
    <t>JOYCE ANN L. PAZ</t>
  </si>
  <si>
    <t>RILLY</t>
  </si>
  <si>
    <t>RODOLFO PASALO</t>
  </si>
  <si>
    <t>BACAR</t>
  </si>
  <si>
    <t>JHENCE JARICA</t>
  </si>
  <si>
    <t>ELSA PASALO</t>
  </si>
  <si>
    <t>RECOSANA</t>
  </si>
  <si>
    <t xml:space="preserve">DEVANNE </t>
  </si>
  <si>
    <t>TERESITA RABANG</t>
  </si>
  <si>
    <t>KIETH</t>
  </si>
  <si>
    <t>RODOLFO ROYOLA</t>
  </si>
  <si>
    <t>ROWEL</t>
  </si>
  <si>
    <t>SHAIRA MAY</t>
  </si>
  <si>
    <t>GENEROSA GALAURAN</t>
  </si>
  <si>
    <t>LYISA</t>
  </si>
  <si>
    <t>RODRIGO ZABALA</t>
  </si>
  <si>
    <t>DELMA ZABALA</t>
  </si>
  <si>
    <t>AIRA</t>
  </si>
  <si>
    <t>TABIRARA</t>
  </si>
  <si>
    <t>PATRICK</t>
  </si>
  <si>
    <t>JESSA C ABE</t>
  </si>
  <si>
    <t>SHANE ANGELO</t>
  </si>
  <si>
    <t>LIEZEL BILLONES</t>
  </si>
  <si>
    <t>ROGELIO BUSCAGAN</t>
  </si>
  <si>
    <t>SHINE IRISH</t>
  </si>
  <si>
    <t>DOLORES R. BUSCAGAN</t>
  </si>
  <si>
    <t>ROGELIO C. OREJANA</t>
  </si>
  <si>
    <t>JASPER</t>
  </si>
  <si>
    <t>GROSPE</t>
  </si>
  <si>
    <t>ROLIN HOPI</t>
  </si>
  <si>
    <t>RONEL GROSPE</t>
  </si>
  <si>
    <t>ROGELIO DE GUZMAN</t>
  </si>
  <si>
    <t>JOHN JEFFERSON</t>
  </si>
  <si>
    <t>ROGELIO FABILAN</t>
  </si>
  <si>
    <t>JORGINA</t>
  </si>
  <si>
    <t>RODELYN ARCILLA</t>
  </si>
  <si>
    <t>10B</t>
  </si>
  <si>
    <t>CHARLIE</t>
  </si>
  <si>
    <t>CHRISTINE JOY</t>
  </si>
  <si>
    <t>ROSANA O. PUNO</t>
  </si>
  <si>
    <t>ANNE MARISTEL</t>
  </si>
  <si>
    <t>ARRIANE ROSE</t>
  </si>
  <si>
    <t>ROSALIE GUARINO</t>
  </si>
  <si>
    <t>JUSTINE IROS</t>
  </si>
  <si>
    <t>JHON MARK</t>
  </si>
  <si>
    <t>DOLORES R. JALAFTA</t>
  </si>
  <si>
    <t>RHEALYN</t>
  </si>
  <si>
    <t>ROLANDO GALURAN</t>
  </si>
  <si>
    <t>EVELYN GALAURAN</t>
  </si>
  <si>
    <t>CHRIS</t>
  </si>
  <si>
    <t>ROLANDO NIEGAS</t>
  </si>
  <si>
    <t>ARICLLE DEEN</t>
  </si>
  <si>
    <t>ROSEMARY NIEGAS</t>
  </si>
  <si>
    <t xml:space="preserve">MIRASOL </t>
  </si>
  <si>
    <t xml:space="preserve">GENESIS OLAES </t>
  </si>
  <si>
    <t>MARK ANDREW</t>
  </si>
  <si>
    <t>ROLANDO PEÑAFLOR</t>
  </si>
  <si>
    <t>MJ</t>
  </si>
  <si>
    <t>AMANCIO</t>
  </si>
  <si>
    <t>PRECIOUS ANNE</t>
  </si>
  <si>
    <t>HANNA MAE</t>
  </si>
  <si>
    <t>CUARTIZ</t>
  </si>
  <si>
    <t>JULIE</t>
  </si>
  <si>
    <t>F</t>
  </si>
  <si>
    <t>VIRGINIA F CUARTIZ</t>
  </si>
  <si>
    <t>ROMEL ADONIS C CABRERA</t>
  </si>
  <si>
    <t>MACARAEG</t>
  </si>
  <si>
    <t>SAM ANDREI</t>
  </si>
  <si>
    <t>SAMUEL MACARAEG</t>
  </si>
  <si>
    <t>SAM JARED</t>
  </si>
  <si>
    <t>MARY ANN ATAJAR</t>
  </si>
  <si>
    <t>SAM MIEL</t>
  </si>
  <si>
    <t>MARITESS ATAJAR</t>
  </si>
  <si>
    <t>SAM EYYNA</t>
  </si>
  <si>
    <t>DAVID</t>
  </si>
  <si>
    <t>ARZEL JOHN</t>
  </si>
  <si>
    <t>EVA CABAHOG</t>
  </si>
  <si>
    <t>ALTHEA JOY</t>
  </si>
  <si>
    <t>VANESSAF. GALIT</t>
  </si>
  <si>
    <t>DIHAYCO</t>
  </si>
  <si>
    <t>DHEXIE KATE</t>
  </si>
  <si>
    <t>REGENT MAY</t>
  </si>
  <si>
    <t xml:space="preserve">BLACY DANE </t>
  </si>
  <si>
    <t>JOCELYN LAURAYA</t>
  </si>
  <si>
    <t>LONTOC</t>
  </si>
  <si>
    <t>EVERJOHN BERNARD</t>
  </si>
  <si>
    <t>AKIO JOSIAH</t>
  </si>
  <si>
    <t>NORMA A. DELA CRUZ</t>
  </si>
  <si>
    <t>NABI MAYUMI</t>
  </si>
  <si>
    <t>AGUILAR</t>
  </si>
  <si>
    <t>AERIELLE JAINE</t>
  </si>
  <si>
    <t>MARILYN PRADO</t>
  </si>
  <si>
    <t>ALEZANDRA GIEN</t>
  </si>
  <si>
    <t>MICHELL O GALEON</t>
  </si>
  <si>
    <t>1A</t>
  </si>
  <si>
    <t>LIAM CEDRICK</t>
  </si>
  <si>
    <t>LIRNA</t>
  </si>
  <si>
    <t>IMEKDA GREFALDA</t>
  </si>
  <si>
    <t>ANGELINA</t>
  </si>
  <si>
    <t>ROMNICK BONGCAYAW</t>
  </si>
  <si>
    <t>MARIETTA V. BASONILLO</t>
  </si>
  <si>
    <t xml:space="preserve">TAN </t>
  </si>
  <si>
    <t>KIERSTIN</t>
  </si>
  <si>
    <t>MARIETA ATIENZA</t>
  </si>
  <si>
    <t>KYLE RENEKLE</t>
  </si>
  <si>
    <t>AYEN VANESSA</t>
  </si>
  <si>
    <t>JOAN LEONARDO</t>
  </si>
  <si>
    <t>AALIYA KENZA</t>
  </si>
  <si>
    <t>RONALD S. PUSING</t>
  </si>
  <si>
    <t>JANICE B. PEÑA</t>
  </si>
  <si>
    <t>JOHAN MARCO</t>
  </si>
  <si>
    <t>29-A</t>
  </si>
  <si>
    <t>AZNEA LEIGH</t>
  </si>
  <si>
    <t>LUCY ROSE TORLAO</t>
  </si>
  <si>
    <t>INUIGO GREY</t>
  </si>
  <si>
    <t>FAOLA MARIZ ACOSTA</t>
  </si>
  <si>
    <t>ANYA ELLAINE</t>
  </si>
  <si>
    <t>GLENN CHRISTOPHER</t>
  </si>
  <si>
    <t>AURORA O. AMPONGAN</t>
  </si>
  <si>
    <t>GENARDO</t>
  </si>
  <si>
    <t>HAZALLE</t>
  </si>
  <si>
    <t>REGINA Z GROSPE</t>
  </si>
  <si>
    <t>SAMANTHA ELLIE JOY</t>
  </si>
  <si>
    <t>RONNIE QUILLIT</t>
  </si>
  <si>
    <t>KYLIE NICOLE</t>
  </si>
  <si>
    <t>MARION E. OLAES</t>
  </si>
  <si>
    <t xml:space="preserve">MARIAN LORRAINE </t>
  </si>
  <si>
    <t>ISOZA</t>
  </si>
  <si>
    <t>DANICA ALAIA</t>
  </si>
  <si>
    <t>PIZAR BERNARDOR</t>
  </si>
  <si>
    <t>ROSADEL CONDEZ</t>
  </si>
  <si>
    <t>VILLEGAS</t>
  </si>
  <si>
    <t>SOFIA</t>
  </si>
  <si>
    <t xml:space="preserve">RYAN VILLEGAS </t>
  </si>
  <si>
    <t>ROSALINDA T. SISON</t>
  </si>
  <si>
    <t>ROSE MARIE SARMIENTO</t>
  </si>
  <si>
    <t>KATELYN</t>
  </si>
  <si>
    <t xml:space="preserve">GRANDE </t>
  </si>
  <si>
    <t>RUZZELL</t>
  </si>
  <si>
    <t>ROSEMARIE ANDRADA</t>
  </si>
  <si>
    <t>GIN KEVIN</t>
  </si>
  <si>
    <t>NORMILITA</t>
  </si>
  <si>
    <t>DARWINA MARIE O. DE GUIA</t>
  </si>
  <si>
    <t>CYRIE MAE</t>
  </si>
  <si>
    <t xml:space="preserve">MARIA FAYE </t>
  </si>
  <si>
    <t xml:space="preserve">ELIANA MAE ANN </t>
  </si>
  <si>
    <t>ROSITA AGUANTA</t>
  </si>
  <si>
    <t xml:space="preserve">AVIEL </t>
  </si>
  <si>
    <t>PANLAQUI</t>
  </si>
  <si>
    <t xml:space="preserve">BLESSILDA </t>
  </si>
  <si>
    <t>JONAS NICHOLO</t>
  </si>
  <si>
    <t>ROWENA BARRAMEDA</t>
  </si>
  <si>
    <t>JUSTINE NATE</t>
  </si>
  <si>
    <t>AZRAEL IAN</t>
  </si>
  <si>
    <t>JOBELLE LABRO</t>
  </si>
  <si>
    <t>ALEXIS JACK</t>
  </si>
  <si>
    <t>AZAIRAH</t>
  </si>
  <si>
    <t>FOR CHECKINH</t>
  </si>
  <si>
    <t>MERANDA</t>
  </si>
  <si>
    <t>IBER</t>
  </si>
  <si>
    <t>LOVELY</t>
  </si>
  <si>
    <t>BADONG</t>
  </si>
  <si>
    <t>BEVERLY D. ABREA</t>
  </si>
  <si>
    <t>JUDAY</t>
  </si>
  <si>
    <t>RUEL C. SIBAYAN</t>
  </si>
  <si>
    <t>CAAWAY</t>
  </si>
  <si>
    <t>ERNALIZA SIBAYAN</t>
  </si>
  <si>
    <t>30C</t>
  </si>
  <si>
    <t>DALISAY</t>
  </si>
  <si>
    <t>KIMBERLY</t>
  </si>
  <si>
    <t>RUIZ SANTIAGO</t>
  </si>
  <si>
    <t>KARL KENNEDY</t>
  </si>
  <si>
    <t>KARRIZA</t>
  </si>
  <si>
    <t>WENNA EJANDRA</t>
  </si>
  <si>
    <t>DOCOT</t>
  </si>
  <si>
    <t>JESTER</t>
  </si>
  <si>
    <t>RYAN B. DE GUZMAN</t>
  </si>
  <si>
    <t>HOPE</t>
  </si>
  <si>
    <t>MA. CHRISTINA DE GUZMAN</t>
  </si>
  <si>
    <t>PARAYNO</t>
  </si>
  <si>
    <t>CORAZON</t>
  </si>
  <si>
    <t>FAOLA CAMILLE ACOSTA</t>
  </si>
  <si>
    <t>RONNIE</t>
  </si>
  <si>
    <t>JOCELYN</t>
  </si>
  <si>
    <t>ROMA ATIENZA BERNARDO</t>
  </si>
  <si>
    <t>NHELMI</t>
  </si>
  <si>
    <t>ZYRILL NAVARETTE</t>
  </si>
  <si>
    <t>AYNNA</t>
  </si>
  <si>
    <t>SAIMEL MATEO</t>
  </si>
  <si>
    <t>SWELEN NASAYAO</t>
  </si>
  <si>
    <t>KATHERINE</t>
  </si>
  <si>
    <t>JOSEPHINE J. FLORES</t>
  </si>
  <si>
    <t>KARLA MAE</t>
  </si>
  <si>
    <t>KRIZELLE</t>
  </si>
  <si>
    <t>ANALYN MACARAEG</t>
  </si>
  <si>
    <t>JAMAELLA</t>
  </si>
  <si>
    <t>ABIEGAIL</t>
  </si>
  <si>
    <t>SUSAN S. CADIGAL</t>
  </si>
  <si>
    <t>CHRISTIIAN RHEIGNNE</t>
  </si>
  <si>
    <t>SEAN STEVEN VILLARUEL</t>
  </si>
  <si>
    <t>CATHLENE</t>
  </si>
  <si>
    <t>CASANDRA LEIZA</t>
  </si>
  <si>
    <t>MONICA ADOR NAVARETTE</t>
  </si>
  <si>
    <t>CESA</t>
  </si>
  <si>
    <t>MARY SOFIE</t>
  </si>
  <si>
    <t>MENDOZA</t>
  </si>
  <si>
    <t>ZABRINA NICOLE</t>
  </si>
  <si>
    <t>FAUSTINO</t>
  </si>
  <si>
    <t>NICK ASHER</t>
  </si>
  <si>
    <t>KURT LESTER</t>
  </si>
  <si>
    <t>MARK ANDREI</t>
  </si>
  <si>
    <t>CATHLEYA</t>
  </si>
  <si>
    <t>COLEEN ZHEA</t>
  </si>
  <si>
    <t>CHLOE JANE</t>
  </si>
  <si>
    <t>LOVELY R. JOSON</t>
  </si>
  <si>
    <t>CHYD SAMUEL</t>
  </si>
  <si>
    <t xml:space="preserve">SANTOS </t>
  </si>
  <si>
    <t>LANCELOT MIL</t>
  </si>
  <si>
    <t>LUIGI MIL</t>
  </si>
  <si>
    <t>LEANNE</t>
  </si>
  <si>
    <t>SHIN LEDRIANO</t>
  </si>
  <si>
    <t xml:space="preserve">EARL MAVERICK </t>
  </si>
  <si>
    <t>STEPHANIE JHADE</t>
  </si>
  <si>
    <t>SERAPIA</t>
  </si>
  <si>
    <t>CARLO</t>
  </si>
  <si>
    <t>BARBACENA</t>
  </si>
  <si>
    <t xml:space="preserve">DEAN PAUL </t>
  </si>
  <si>
    <t>DEAN NATHANIEL</t>
  </si>
  <si>
    <t>JOLLY ROSE ANN</t>
  </si>
  <si>
    <t>DANICA PIA</t>
  </si>
  <si>
    <t>JAMES PETER</t>
  </si>
  <si>
    <t>SIMEON SANTOS JR</t>
  </si>
  <si>
    <t>PULGA</t>
  </si>
  <si>
    <t>LOLITA J SANTOS</t>
  </si>
  <si>
    <t>CHENG</t>
  </si>
  <si>
    <t>ZANDER ALDRIDGE</t>
  </si>
  <si>
    <t xml:space="preserve">AZAMA QUINZY </t>
  </si>
  <si>
    <t>NORA PUNZALAN</t>
  </si>
  <si>
    <t>SONNY BOY GACHE</t>
  </si>
  <si>
    <t xml:space="preserve">MARCUS ILLIAD </t>
  </si>
  <si>
    <t>MARY ROSE DE GUZMAN</t>
  </si>
  <si>
    <t>JANINE KYLE</t>
  </si>
  <si>
    <t>JESS TEODOSIO</t>
  </si>
  <si>
    <t>ALLIAH</t>
  </si>
  <si>
    <t>TEDDY DIZON</t>
  </si>
  <si>
    <t xml:space="preserve">ALYZA </t>
  </si>
  <si>
    <t>ANALYN TRINIDAD</t>
  </si>
  <si>
    <t>ORCASITAS</t>
  </si>
  <si>
    <t>MARY EUNICE</t>
  </si>
  <si>
    <t>MELINDA M. ARGOTA</t>
  </si>
  <si>
    <t>MARIA EUNICE</t>
  </si>
  <si>
    <t>TERESA SALAMAT</t>
  </si>
  <si>
    <t>ORCASITAS JR.</t>
  </si>
  <si>
    <t>EDWIN</t>
  </si>
  <si>
    <t>EMANUEL CHRISTIAN</t>
  </si>
  <si>
    <t>MIGUEL</t>
  </si>
  <si>
    <t>BRYN</t>
  </si>
  <si>
    <t>ILAYA</t>
  </si>
  <si>
    <t>PRINCE KYLLER</t>
  </si>
  <si>
    <t>KAI SHAW</t>
  </si>
  <si>
    <t>IXIAH KAYLEE</t>
  </si>
  <si>
    <t xml:space="preserve">ALLIYAH KAE </t>
  </si>
  <si>
    <t xml:space="preserve">KYLE  </t>
  </si>
  <si>
    <t xml:space="preserve">PRINCESS ALEXA </t>
  </si>
  <si>
    <t>KRISNEL ASHLEY</t>
  </si>
  <si>
    <t xml:space="preserve">TERESITA O. DULAY </t>
  </si>
  <si>
    <t>CRYSTAL ALLISON</t>
  </si>
  <si>
    <t>RICARDO DULAY</t>
  </si>
  <si>
    <t>QUEEN AERYN</t>
  </si>
  <si>
    <t>HONRADO</t>
  </si>
  <si>
    <t>DAN LUIZ</t>
  </si>
  <si>
    <t>DANICA</t>
  </si>
  <si>
    <t>RAQUEL V DUCUSIN</t>
  </si>
  <si>
    <t>TIMOTHY JEROME A. DELA CRUZ</t>
  </si>
  <si>
    <t>APPLE GRACE M. DELA CRUZ</t>
  </si>
  <si>
    <t>TITO ESCUADRO JR.</t>
  </si>
  <si>
    <t xml:space="preserve">MICHAEL JAMES </t>
  </si>
  <si>
    <t>DARLYN MAY</t>
  </si>
  <si>
    <t>NATARTE</t>
  </si>
  <si>
    <t>KENNETH GAIL</t>
  </si>
  <si>
    <t>KIAN AIRIES</t>
  </si>
  <si>
    <t>KISS ASHBIE</t>
  </si>
  <si>
    <t>KRITZ DARELLE</t>
  </si>
  <si>
    <t>TRISHIA MAE S. ALINDOG</t>
  </si>
  <si>
    <t>KURT CEDRIC</t>
  </si>
  <si>
    <t>CARL BENEDICTH</t>
  </si>
  <si>
    <t>ARJEY</t>
  </si>
  <si>
    <t>JAYNE</t>
  </si>
  <si>
    <t>GLAIZA A. ROMA</t>
  </si>
  <si>
    <t xml:space="preserve">CRISTINE JOY </t>
  </si>
  <si>
    <t xml:space="preserve">PALLER </t>
  </si>
  <si>
    <t>CATHIRIN</t>
  </si>
  <si>
    <t>VINCENT L ESCUDERO</t>
  </si>
  <si>
    <t>PALLER JR.</t>
  </si>
  <si>
    <t>EFREN</t>
  </si>
  <si>
    <t>SHIRE MAE</t>
  </si>
  <si>
    <t>CIELO MAE EJANDRA</t>
  </si>
  <si>
    <t>KRISTOFFER</t>
  </si>
  <si>
    <t>VIOLETA LIBAN</t>
  </si>
  <si>
    <t>KLARISSE</t>
  </si>
  <si>
    <t>MARCOS</t>
  </si>
  <si>
    <t>PSALM</t>
  </si>
  <si>
    <t>MARHANIE LUSTESTICA</t>
  </si>
  <si>
    <t>SHALOME</t>
  </si>
  <si>
    <t>VIRGILIO RAMOS</t>
  </si>
  <si>
    <t>ROHAN ELWS</t>
  </si>
  <si>
    <t>VIRGINIA BELUANG</t>
  </si>
  <si>
    <t>JACE ARNORLD</t>
  </si>
  <si>
    <t>JOSE MARI</t>
  </si>
  <si>
    <t>JOANNA MARI</t>
  </si>
  <si>
    <t>JEL B DE FELIX/2ENTRY</t>
  </si>
  <si>
    <t>JOURNALYN</t>
  </si>
  <si>
    <t>JULIUS</t>
  </si>
  <si>
    <t>JERICO</t>
  </si>
  <si>
    <t xml:space="preserve">PAGUDAR </t>
  </si>
  <si>
    <t xml:space="preserve">YERNALD P. ABUEG </t>
  </si>
  <si>
    <t>JEANNE HAZEL R. ABUEG</t>
  </si>
  <si>
    <t>CIELITO</t>
  </si>
  <si>
    <t>GAVIN</t>
  </si>
  <si>
    <t>VON VERRALD</t>
  </si>
  <si>
    <t>YOLANDA PARAS</t>
  </si>
  <si>
    <t>SIBAYAN</t>
  </si>
  <si>
    <t>RHUTHIE ROSE</t>
  </si>
  <si>
    <t>YVONNE TERESA O. VILLARBA</t>
  </si>
  <si>
    <t>RHEI ANNE</t>
  </si>
  <si>
    <t xml:space="preserve">ZENAIDA R. JAVIER </t>
  </si>
  <si>
    <t xml:space="preserve">RHAINE </t>
  </si>
  <si>
    <t xml:space="preserve">RHIANNON ELLIANA </t>
  </si>
  <si>
    <t>ZEROS ALZATE</t>
  </si>
  <si>
    <t>THIA BARERO</t>
  </si>
  <si>
    <t xml:space="preserve">RHION JASON JAMES </t>
  </si>
  <si>
    <t>ZOSIMA FABILA</t>
  </si>
  <si>
    <t>ABUEG</t>
  </si>
  <si>
    <t>JEARNALD URIEL</t>
  </si>
  <si>
    <t>JERALD ZALHRIEL</t>
  </si>
  <si>
    <t>JOSE NACION</t>
  </si>
  <si>
    <t>JERARD NATHANIEL</t>
  </si>
  <si>
    <t>SASIS</t>
  </si>
  <si>
    <t>CHRISTINE GILYSSA</t>
  </si>
  <si>
    <t>ALYSSA JOY</t>
  </si>
  <si>
    <t>ALEXA JOYCE</t>
  </si>
  <si>
    <t>ROLAN</t>
  </si>
  <si>
    <t>LAGUNDAY</t>
  </si>
  <si>
    <t>ALLAN NIKOL</t>
  </si>
  <si>
    <t>ERNALD</t>
  </si>
  <si>
    <t>JOVELYN</t>
  </si>
  <si>
    <t>EULETTE ACE</t>
  </si>
  <si>
    <t>CATINDOY</t>
  </si>
  <si>
    <t xml:space="preserve">NICA JOY </t>
  </si>
  <si>
    <t>NHICKSON</t>
  </si>
  <si>
    <t xml:space="preserve">NICA  </t>
  </si>
  <si>
    <t>JUN - JUN</t>
  </si>
  <si>
    <t>JAYSON</t>
  </si>
  <si>
    <t>JENNYLYN</t>
  </si>
  <si>
    <t>JACQUILYN</t>
  </si>
  <si>
    <t>JHAYCEE</t>
  </si>
  <si>
    <t>GERONIMO JR.</t>
  </si>
  <si>
    <t xml:space="preserve">GERONIMO  </t>
  </si>
  <si>
    <t>ANGELITA</t>
  </si>
  <si>
    <t>GERONIMO</t>
  </si>
  <si>
    <t>JOHN DWIGHT</t>
  </si>
  <si>
    <t>BAES</t>
  </si>
  <si>
    <t>ENALYN</t>
  </si>
  <si>
    <t>BENITEZ</t>
  </si>
  <si>
    <t>JANNO</t>
  </si>
  <si>
    <t>CASTILO</t>
  </si>
  <si>
    <t>LIEANE AMBER</t>
  </si>
  <si>
    <t>CHARLIE B. CASTILO</t>
  </si>
  <si>
    <t xml:space="preserve">CHARLES CALEB </t>
  </si>
  <si>
    <t>LEYANNA ALEXA</t>
  </si>
  <si>
    <t>LOPEZ</t>
  </si>
  <si>
    <t>PRINCESS ELLAINE</t>
  </si>
  <si>
    <t>ZAIRAH</t>
  </si>
  <si>
    <t>TULABOT</t>
  </si>
  <si>
    <t>JOSE MARLON</t>
  </si>
  <si>
    <t>SARMIENTO</t>
  </si>
  <si>
    <t xml:space="preserve">LOIS </t>
  </si>
  <si>
    <t>BERNAND SARMIENTO</t>
  </si>
  <si>
    <t>LHEANNA</t>
  </si>
  <si>
    <t>GOZO</t>
  </si>
  <si>
    <t xml:space="preserve">RICH AIDAN </t>
  </si>
  <si>
    <t>RICH DYLAN</t>
  </si>
  <si>
    <t>SALONGA</t>
  </si>
  <si>
    <t>CALEB</t>
  </si>
  <si>
    <t>PAULA ELAINE</t>
  </si>
  <si>
    <t>VILLAR</t>
  </si>
  <si>
    <t>ANDREI</t>
  </si>
  <si>
    <t>ALEYAH</t>
  </si>
  <si>
    <t>AARON PAUL</t>
  </si>
  <si>
    <t>HILOT</t>
  </si>
  <si>
    <t>JAYDEN  ASHER</t>
  </si>
  <si>
    <t xml:space="preserve">BEA </t>
  </si>
  <si>
    <t>GUETIERREZ</t>
  </si>
  <si>
    <t>BIEL</t>
  </si>
  <si>
    <t>MACARIO</t>
  </si>
  <si>
    <t>EBRIAN</t>
  </si>
  <si>
    <t xml:space="preserve">VICTORIa </t>
  </si>
  <si>
    <t xml:space="preserve">aliah </t>
  </si>
  <si>
    <t>SOLOMON</t>
  </si>
  <si>
    <t xml:space="preserve">JAYLORD REYYN </t>
  </si>
  <si>
    <t>HILARIO JR.</t>
  </si>
  <si>
    <t>TEODORO</t>
  </si>
  <si>
    <t>PESIGAN</t>
  </si>
  <si>
    <t xml:space="preserve">PRINCE CEIVAN </t>
  </si>
  <si>
    <t>PRESTON CAILEIGH</t>
  </si>
  <si>
    <t>ESCUADRO</t>
  </si>
  <si>
    <t>TIARA EMAMANUELLE</t>
  </si>
  <si>
    <t>SORILLA</t>
  </si>
  <si>
    <t xml:space="preserve">ZAECHIES ZEREF </t>
  </si>
  <si>
    <t>DE VERA</t>
  </si>
  <si>
    <t xml:space="preserve">HADASSAH ZARYMAY </t>
  </si>
  <si>
    <t>HILKIAH JULIO MIGUEL</t>
  </si>
  <si>
    <t>PAMINTUAN</t>
  </si>
  <si>
    <t>AMIE</t>
  </si>
  <si>
    <t>PH = PAMASKONG HANDOG</t>
  </si>
  <si>
    <t>R = RICE</t>
  </si>
  <si>
    <t>SEARCH:</t>
  </si>
  <si>
    <t>VOTER REGISTRATION</t>
  </si>
  <si>
    <t>ph</t>
  </si>
  <si>
    <t>r</t>
  </si>
  <si>
    <t>n/a</t>
  </si>
  <si>
    <t>SEARCH BLOCK 🔎:</t>
  </si>
  <si>
    <t>COUNT:</t>
  </si>
  <si>
    <t>PH-PAMASKONG HANDOG | R-RICE</t>
  </si>
  <si>
    <t>BLOCK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</si>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</sst>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sz val="10.0"/>
      <color theme="1"/>
      <name val="Calibri"/>
    </font>
    <font>
      <color theme="1"/>
      <name val="Arial"/>
      <scheme val="minor"/>
    </font>
    <font>
      <sz val="27.0"/>
      <color theme="1"/>
      <name val="Impact"/>
    </font>
    <font/>
    <font>
      <color theme="1"/>
      <name val="Calibri"/>
    </font>
    <font>
      <b/>
      <sz val="29.0"/>
      <color rgb="FFFFFFFF"/>
      <name val="Calibri"/>
    </font>
    <font>
      <b/>
      <color theme="1"/>
      <name val="Calibri"/>
    </font>
    <font>
      <b/>
      <i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color theme="1"/>
      <name val="Courier New"/>
    </font>
    <font>
      <b/>
      <i/>
      <color rgb="FFFFFFFF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3" fillId="0" fontId="4" numFmtId="0" xfId="0" applyBorder="1" applyFont="1"/>
    <xf borderId="0" fillId="0" fontId="5" numFmtId="0" xfId="0" applyFont="1"/>
    <xf borderId="0" fillId="0" fontId="2" numFmtId="0" xfId="0" applyAlignment="1" applyFont="1">
      <alignment horizontal="right" readingOrder="0"/>
    </xf>
    <xf borderId="0" fillId="2" fontId="6" numFmtId="0" xfId="0" applyAlignment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left" readingOrder="0" vertical="center"/>
    </xf>
    <xf borderId="11" fillId="3" fontId="7" numFmtId="0" xfId="0" applyAlignment="1" applyBorder="1" applyFill="1" applyFont="1">
      <alignment horizontal="center" readingOrder="0" vertical="center"/>
    </xf>
    <xf borderId="11" fillId="3" fontId="5" numFmtId="0" xfId="0" applyAlignment="1" applyBorder="1" applyFill="1" applyFont="1">
      <alignment horizontal="center" readingOrder="0" vertical="center"/>
    </xf>
    <xf borderId="11" fillId="0" fontId="1" numFmtId="0" xfId="0" applyAlignment="1" applyBorder="1" applyFont="1">
      <alignment horizontal="right" readingOrder="0"/>
    </xf>
    <xf borderId="11" fillId="4" fontId="7" numFmtId="0" xfId="0" applyAlignment="1" applyBorder="1" applyFill="1" applyFont="1">
      <alignment horizontal="center" readingOrder="0" vertical="center"/>
    </xf>
    <xf borderId="8" fillId="4" fontId="5" numFmtId="0" xfId="0" applyAlignment="1" applyBorder="1" applyFill="1" applyFont="1">
      <alignment horizontal="center" readingOrder="0" vertical="center"/>
    </xf>
    <xf borderId="12" fillId="0" fontId="4" numFmtId="0" xfId="0" applyBorder="1" applyFont="1"/>
    <xf borderId="11" fillId="5" fontId="7" numFmtId="0" xfId="0" applyAlignment="1" applyBorder="1" applyFill="1" applyFont="1">
      <alignment horizontal="center" readingOrder="0" shrinkToFit="0" vertical="center" wrapText="1"/>
    </xf>
    <xf borderId="11" fillId="6" fontId="5" numFmtId="0" xfId="0" applyAlignment="1" applyBorder="1" applyFill="1" applyFont="1">
      <alignment horizontal="center" readingOrder="0" shrinkToFit="0" vertical="center" wrapText="1"/>
    </xf>
    <xf borderId="11" fillId="7" fontId="7" numFmtId="0" xfId="0" applyAlignment="1" applyBorder="1" applyFill="1" applyFont="1">
      <alignment horizontal="center" vertical="center"/>
    </xf>
    <xf borderId="11" fillId="5" fontId="5" numFmtId="0" xfId="0" applyAlignment="1" applyBorder="1" applyFill="1" applyFont="1">
      <alignment horizontal="center" readingOrder="0" shrinkToFit="0" vertical="center" wrapText="1"/>
    </xf>
    <xf borderId="11" fillId="7" fontId="5" numFmtId="0" xfId="0" applyAlignment="1" applyBorder="1" applyFill="1" applyFont="1">
      <alignment horizontal="center" readingOrder="0" vertical="center"/>
    </xf>
    <xf borderId="8" fillId="8" fontId="7" numFmtId="0" xfId="0" applyAlignment="1" applyBorder="1" applyFill="1" applyFont="1">
      <alignment horizontal="center" vertical="center"/>
    </xf>
    <xf borderId="8" fillId="8" fontId="5" numFmtId="0" xfId="0" applyAlignment="1" applyBorder="1" applyFill="1" applyFont="1">
      <alignment horizontal="center" readingOrder="0" vertical="center"/>
    </xf>
    <xf borderId="8" fillId="6" fontId="7" numFmtId="0" xfId="0" applyAlignment="1" applyBorder="1" applyFill="1" applyFont="1">
      <alignment horizontal="center" readingOrder="0" vertical="center"/>
    </xf>
    <xf borderId="11" fillId="5" fontId="5" numFmtId="0" xfId="0" applyAlignment="1" applyBorder="1" applyFill="1" applyFont="1">
      <alignment horizontal="center" readingOrder="0"/>
    </xf>
    <xf borderId="11" fillId="0" fontId="1" numFmtId="0" xfId="0" applyAlignment="1" applyBorder="1" applyFont="1">
      <alignment horizontal="left"/>
    </xf>
    <xf borderId="13" fillId="9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1" fillId="7" fontId="7" numFmtId="0" xfId="0" applyAlignment="1" applyBorder="1" applyFill="1" applyFont="1">
      <alignment horizontal="center" readingOrder="0" vertical="center"/>
    </xf>
    <xf borderId="11" fillId="10" fontId="5" numFmtId="0" xfId="0" applyAlignment="1" applyBorder="1" applyFill="1" applyFont="1">
      <alignment horizontal="center" readingOrder="0"/>
    </xf>
    <xf borderId="11" fillId="11" fontId="5" numFmtId="0" xfId="0" applyAlignment="1" applyBorder="1" applyFill="1" applyFont="1">
      <alignment horizontal="center" readingOrder="0"/>
    </xf>
    <xf borderId="8" fillId="8" fontId="7" numFmtId="0" xfId="0" applyAlignment="1" applyBorder="1" applyFill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12" fontId="5" numFmtId="0" xfId="0" applyAlignment="1" applyBorder="1" applyFill="1" applyFont="1">
      <alignment horizontal="center" readingOrder="0"/>
    </xf>
    <xf borderId="11" fillId="5" fontId="7" numFmtId="0" xfId="0" applyAlignment="1" applyBorder="1" applyFill="1" applyFont="1">
      <alignment horizontal="center" readingOrder="0" vertical="center"/>
    </xf>
    <xf borderId="11" fillId="13" fontId="5" numFmtId="0" xfId="0" applyAlignment="1" applyBorder="1" applyFill="1" applyFont="1">
      <alignment horizontal="center" readingOrder="0"/>
    </xf>
    <xf borderId="11" fillId="0" fontId="1" numFmtId="0" xfId="0" applyAlignment="1" applyBorder="1" applyFont="1">
      <alignment horizontal="left" readingOrder="0"/>
    </xf>
    <xf borderId="11" fillId="14" fontId="5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11" fillId="10" fontId="8" numFmtId="0" xfId="0" applyAlignment="1" applyBorder="1" applyFill="1" applyFont="1">
      <alignment horizontal="center" readingOrder="0"/>
    </xf>
    <xf borderId="11" fillId="15" fontId="5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11" fillId="11" fontId="8" numFmtId="0" xfId="0" applyAlignment="1" applyBorder="1" applyFill="1" applyFont="1">
      <alignment horizontal="center" readingOrder="0"/>
    </xf>
    <xf borderId="14" fillId="0" fontId="4" numFmtId="0" xfId="0" applyBorder="1" applyFont="1"/>
    <xf borderId="11" fillId="0" fontId="10" numFmtId="0" xfId="0" applyAlignment="1" applyBorder="1" applyFont="1">
      <alignment horizontal="right" readingOrder="0" vertical="center"/>
    </xf>
    <xf borderId="11" fillId="13" fontId="8" numFmtId="0" xfId="0" applyAlignment="1" applyBorder="1" applyFill="1" applyFont="1">
      <alignment horizontal="center" readingOrder="0"/>
    </xf>
    <xf borderId="11" fillId="14" fontId="8" numFmtId="0" xfId="0" applyAlignment="1" applyBorder="1" applyFill="1" applyFont="1">
      <alignment horizontal="center" vertical="bottom"/>
    </xf>
    <xf borderId="11" fillId="15" fontId="8" numFmtId="0" xfId="0" applyAlignment="1" applyBorder="1" applyFill="1" applyFont="1">
      <alignment horizontal="center" vertical="bottom"/>
    </xf>
    <xf borderId="11" fillId="0" fontId="8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11" fillId="12" fontId="8" numFmtId="0" xfId="0" applyAlignment="1" applyBorder="1" applyFill="1" applyFont="1">
      <alignment horizontal="center" readingOrder="0"/>
    </xf>
    <xf borderId="11" fillId="0" fontId="10" numFmtId="0" xfId="0" applyAlignment="1" applyBorder="1" applyFont="1">
      <alignment horizontal="left" vertical="center"/>
    </xf>
    <xf borderId="11" fillId="14" fontId="8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center" vertical="center"/>
    </xf>
    <xf borderId="11" fillId="15" fontId="8" numFmtId="0" xfId="0" applyAlignment="1" applyBorder="1" applyFill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left"/>
    </xf>
    <xf borderId="11" fillId="0" fontId="2" numFmtId="0" xfId="0" applyBorder="1" applyFont="1"/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1" fillId="0" fontId="2" numFmtId="0" xfId="0" applyAlignment="1" applyBorder="1" applyFont="1">
      <alignment horizontal="center"/>
    </xf>
    <xf borderId="0" fillId="16" fontId="5" numFmtId="0" xfId="0" applyAlignment="1" applyFill="1" applyFont="1">
      <alignment horizontal="center" vertical="center"/>
    </xf>
    <xf borderId="0" fillId="16" fontId="5" numFmtId="0" xfId="0" applyAlignment="1" applyFill="1" applyFont="1">
      <alignment horizontal="left" readingOrder="0" vertical="center"/>
    </xf>
    <xf borderId="11" fillId="14" fontId="1" numFmtId="0" xfId="0" applyAlignment="1" applyBorder="1" applyFill="1" applyFont="1">
      <alignment horizontal="center" readingOrder="0"/>
    </xf>
    <xf borderId="11" fillId="17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right" readingOrder="0"/>
    </xf>
    <xf borderId="0" fillId="16" fontId="5" numFmtId="0" xfId="0" applyAlignment="1" applyFill="1" applyFont="1">
      <alignment horizontal="left" readingOrder="0" vertical="center"/>
    </xf>
    <xf borderId="0" fillId="16" fontId="5" numFmtId="164" xfId="0" applyAlignment="1" applyFill="1" applyFont="1" applyNumberFormat="1">
      <alignment horizontal="center"/>
    </xf>
    <xf borderId="0" fillId="16" fontId="5" numFmtId="0" xfId="0" applyFill="1" applyFont="1"/>
    <xf borderId="0" fillId="16" fontId="11" numFmtId="0" xfId="0" applyAlignment="1" applyFill="1" applyFont="1">
      <alignment readingOrder="0"/>
    </xf>
    <xf borderId="0" fillId="16" fontId="5" numFmtId="0" xfId="0" applyAlignment="1" applyFill="1" applyFont="1">
      <alignment horizontal="center" readingOrder="0"/>
    </xf>
    <xf borderId="0" fillId="16" fontId="5" numFmtId="0" xfId="0" applyAlignment="1" applyFill="1" applyFont="1">
      <alignment horizontal="center" readingOrder="0" vertical="center"/>
    </xf>
    <xf borderId="11" fillId="7" fontId="1" numFmtId="0" xfId="0" applyAlignment="1" applyBorder="1" applyFill="1" applyFont="1">
      <alignment horizontal="center"/>
    </xf>
    <xf borderId="0" fillId="16" fontId="5" numFmtId="164" xfId="0" applyAlignment="1" applyFill="1" applyFont="1" applyNumberFormat="1">
      <alignment horizontal="center" vertical="center"/>
    </xf>
    <xf borderId="11" fillId="18" fontId="1" numFmtId="0" xfId="0" applyAlignment="1" applyBorder="1" applyFill="1" applyFont="1">
      <alignment horizontal="center"/>
    </xf>
    <xf borderId="0" fillId="16" fontId="11" numFmtId="0" xfId="0" applyAlignment="1" applyFill="1" applyFon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  <xf borderId="0" fillId="19" fontId="5" numFmtId="0" xfId="0" applyAlignment="1" applyFill="1" applyFont="1">
      <alignment horizontal="center" readingOrder="0" vertical="center"/>
    </xf>
    <xf borderId="0" fillId="19" fontId="5" numFmtId="0" xfId="0" applyAlignment="1" applyFill="1" applyFont="1">
      <alignment horizontal="left" readingOrder="0" vertical="center"/>
    </xf>
    <xf borderId="0" fillId="19" fontId="5" numFmtId="0" xfId="0" applyAlignment="1" applyFill="1" applyFont="1">
      <alignment horizontal="left" readingOrder="0" vertical="center"/>
    </xf>
    <xf borderId="0" fillId="19" fontId="5" numFmtId="164" xfId="0" applyAlignment="1" applyFill="1" applyFont="1" applyNumberFormat="1">
      <alignment horizontal="center"/>
    </xf>
    <xf borderId="0" fillId="19" fontId="5" numFmtId="0" xfId="0" applyFill="1" applyFont="1"/>
    <xf borderId="0" fillId="19" fontId="11" numFmtId="0" xfId="0" applyAlignment="1" applyFill="1" applyFont="1">
      <alignment readingOrder="0"/>
    </xf>
    <xf borderId="0" fillId="19" fontId="5" numFmtId="0" xfId="0" applyAlignment="1" applyFill="1" applyFont="1">
      <alignment horizontal="center" readingOrder="0"/>
    </xf>
    <xf borderId="11" fillId="18" fontId="1" numFmtId="0" xfId="0" applyAlignment="1" applyBorder="1" applyFill="1" applyFont="1">
      <alignment horizontal="right" readingOrder="0"/>
    </xf>
    <xf borderId="0" fillId="19" fontId="5" numFmtId="164" xfId="0" applyAlignment="1" applyFill="1" applyFont="1" applyNumberFormat="1">
      <alignment horizontal="center" vertical="center"/>
    </xf>
    <xf borderId="0" fillId="19" fontId="5" numFmtId="0" xfId="0" applyAlignment="1" applyFill="1" applyFont="1">
      <alignment horizontal="center" vertical="center"/>
    </xf>
    <xf borderId="0" fillId="19" fontId="11" numFmtId="0" xfId="0" applyAlignment="1" applyFill="1" applyFont="1">
      <alignment horizontal="center" readingOrder="0" vertical="center"/>
    </xf>
    <xf borderId="0" fillId="19" fontId="5" numFmtId="0" xfId="0" applyAlignment="1" applyFill="1" applyFont="1">
      <alignment horizontal="center" readingOrder="0" vertical="center"/>
    </xf>
    <xf borderId="0" fillId="0" fontId="5" numFmtId="0" xfId="0" applyFont="1"/>
    <xf borderId="11" fillId="0" fontId="5" numFmtId="0" xfId="0" applyBorder="1" applyFont="1"/>
    <xf borderId="0" fillId="19" fontId="11" numFmtId="0" xfId="0" applyAlignment="1" applyFill="1" applyFont="1">
      <alignment horizontal="left" readingOrder="0" vertical="center"/>
    </xf>
    <xf borderId="0" fillId="19" fontId="12" numFmtId="0" xfId="0" applyFill="1" applyFont="1"/>
    <xf borderId="0" fillId="19" fontId="5" numFmtId="0" xfId="0" applyAlignment="1" applyFill="1" applyFont="1">
      <alignment readingOrder="0"/>
    </xf>
    <xf borderId="0" fillId="19" fontId="12" numFmtId="0" xfId="0" applyFill="1" applyFont="1"/>
    <xf borderId="0" fillId="16" fontId="11" numFmtId="0" xfId="0" applyAlignment="1" applyFill="1" applyFont="1">
      <alignment horizontal="left" readingOrder="0" vertical="center"/>
    </xf>
    <xf borderId="0" fillId="19" fontId="5" numFmtId="0" xfId="0" applyFill="1" applyFont="1"/>
    <xf borderId="0" fillId="16" fontId="5" numFmtId="0" xfId="0" applyFill="1" applyFont="1"/>
    <xf borderId="0" fillId="16" fontId="5" numFmtId="0" xfId="0" applyAlignment="1" applyFill="1" applyFont="1">
      <alignment readingOrder="0"/>
    </xf>
    <xf borderId="0" fillId="16" fontId="12" numFmtId="0" xfId="0" applyFill="1" applyFont="1"/>
    <xf borderId="0" fillId="16" fontId="11" numFmtId="0" xfId="0" applyAlignment="1" applyFill="1" applyFont="1">
      <alignment horizontal="left" readingOrder="0" vertical="center"/>
    </xf>
    <xf borderId="0" fillId="19" fontId="11" numFmtId="0" xfId="0" applyAlignment="1" applyFill="1" applyFont="1">
      <alignment horizontal="left" readingOrder="0" vertical="center"/>
    </xf>
    <xf borderId="0" fillId="16" fontId="1" numFmtId="0" xfId="0" applyAlignment="1" applyFill="1" applyFont="1">
      <alignment horizontal="left" readingOrder="0" vertical="center"/>
    </xf>
    <xf borderId="0" fillId="16" fontId="5" numFmtId="0" xfId="0" applyAlignment="1" applyFill="1" applyFont="1">
      <alignment horizontal="center"/>
    </xf>
    <xf borderId="0" fillId="16" fontId="11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  <xf borderId="11" fillId="13" fontId="9" numFmtId="0" xfId="0" applyAlignment="1" applyBorder="1" applyFill="1" applyFont="1">
      <alignment horizontal="center" readingOrder="0" vertical="center"/>
    </xf>
    <xf borderId="11" fillId="13" fontId="9" numFmtId="0" xfId="0" applyAlignment="1" applyBorder="1" applyFill="1" applyFont="1">
      <alignment horizontal="center" vertical="center"/>
    </xf>
    <xf borderId="8" fillId="13" fontId="9" numFmtId="0" xfId="0" applyAlignment="1" applyBorder="1" applyFill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16" fontId="12" numFmtId="0" xfId="0" applyFill="1" applyFont="1"/>
    <xf borderId="0" fillId="16" fontId="5" numFmtId="0" xfId="0" applyAlignment="1" applyFill="1" applyFont="1">
      <alignment horizontal="left" vertic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19" fontId="5" numFmtId="164" xfId="0" applyAlignment="1" applyFill="1" applyFont="1" applyNumberFormat="1">
      <alignment horizontal="center" readingOrder="0"/>
    </xf>
    <xf borderId="0" fillId="19" fontId="1" numFmtId="0" xfId="0" applyAlignment="1" applyFill="1" applyFont="1">
      <alignment horizontal="left" readingOrder="0" vertical="center"/>
    </xf>
    <xf borderId="0" fillId="19" fontId="5" numFmtId="0" xfId="0" applyAlignment="1" applyFill="1" applyFont="1">
      <alignment horizontal="left" vertical="center"/>
    </xf>
    <xf borderId="0" fillId="16" fontId="1" numFmtId="164" xfId="0" applyAlignment="1" applyFill="1" applyFont="1" applyNumberFormat="1">
      <alignment horizontal="center"/>
    </xf>
    <xf borderId="0" fillId="16" fontId="5" numFmtId="164" xfId="0" applyAlignment="1" applyFill="1" applyFont="1" applyNumberFormat="1">
      <alignment horizontal="center" readingOrder="0" vertical="center"/>
    </xf>
    <xf borderId="0" fillId="16" fontId="5" numFmtId="0" xfId="0" applyAlignment="1" applyFill="1" applyFont="1">
      <alignment horizontal="center" readingOrder="0" vertical="center"/>
    </xf>
    <xf borderId="0" fillId="0" fontId="2" numFmtId="0" xfId="0" applyFont="1"/>
    <xf borderId="11" fillId="0" fontId="7" numFmtId="0" xfId="0" applyAlignment="1" applyBorder="1" applyFont="1">
      <alignment horizontal="center" readingOrder="0" vertical="bottom"/>
    </xf>
    <xf borderId="8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1" fillId="20" fontId="13" numFmtId="0" xfId="0" applyAlignment="1" applyBorder="1" applyFill="1" applyFont="1">
      <alignment horizontal="center" readingOrder="0" vertical="center"/>
    </xf>
    <xf borderId="11" fillId="20" fontId="13" numFmtId="0" xfId="0" applyAlignment="1" applyBorder="1" applyFill="1" applyFont="1">
      <alignment horizontal="center" vertical="center"/>
    </xf>
    <xf borderId="11" fillId="20" fontId="13" numFmtId="0" xfId="0" applyAlignment="1" applyBorder="1" applyFill="1" applyFont="1">
      <alignment horizontal="center" readingOrder="0" shrinkToFit="0" vertical="center" wrapText="1"/>
    </xf>
    <xf borderId="11" fillId="21" fontId="5" numFmtId="0" xfId="0" applyAlignment="1" applyBorder="1" applyFill="1" applyFont="1">
      <alignment horizontal="center" vertical="center"/>
    </xf>
    <xf borderId="11" fillId="21" fontId="2" numFmtId="0" xfId="0" applyBorder="1" applyFill="1" applyFont="1"/>
    <xf borderId="11" fillId="21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1" fillId="16" fontId="5" numFmtId="0" xfId="0" applyAlignment="1" applyBorder="1" applyFill="1" applyFont="1">
      <alignment horizontal="center" vertical="center"/>
    </xf>
    <xf borderId="11" fillId="16" fontId="2" numFmtId="0" xfId="0" applyBorder="1" applyFill="1" applyFont="1"/>
    <xf borderId="11" fillId="16" fontId="2" numFmtId="0" xfId="0" applyAlignment="1" applyBorder="1" applyFill="1" applyFont="1">
      <alignment horizontal="center"/>
    </xf>
    <xf borderId="11" fillId="0" fontId="2" numFmtId="0" xfId="0" applyAlignment="1" applyBorder="1" applyFont="1">
      <alignment horizontal="right" readingOrder="0"/>
    </xf>
    <xf borderId="11" fillId="0" fontId="2" numFmtId="0" xfId="0" applyAlignment="1" applyBorder="1" applyFont="1">
      <alignment horizontal="right"/>
    </xf>
    <xf borderId="11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CHILDREN-style">
      <tableStyleElement dxfId="1" type="firstRowStripe"/>
      <tableStyleElement dxfId="2" type="secondRowStripe"/>
    </tableStyle>
    <tableStyle count="2" pivot="0" name="SEARCH PROTOTYP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2</xdr:row>
      <xdr:rowOff>66675</xdr:rowOff>
    </xdr:from>
    <xdr:ext cx="1390650" cy="1362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K185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HILDREN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G1003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EARCH PROTOTY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8.5"/>
    <col customWidth="1" min="2" max="2" width="33.25"/>
    <col customWidth="1" min="3" max="3" width="21.88"/>
    <col customWidth="1" min="4" max="4" width="13.5"/>
    <col customWidth="1" min="5" max="5" width="13.75"/>
    <col customWidth="1" min="6" max="6" width="16.38"/>
    <col customWidth="1" min="7" max="7" width="17.38"/>
    <col customWidth="1" min="8" max="8" width="29.13"/>
    <col customWidth="1" min="9" max="9" width="25.75"/>
    <col customWidth="1" min="12" max="12" width="17.25"/>
    <col customWidth="1" min="14" max="14" width="16.38"/>
    <col customWidth="1" min="15" max="15" width="15.5"/>
    <col customWidth="1" hidden="1" min="16" max="16" width="31.88"/>
  </cols>
  <sheetData>
    <row r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12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2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50.25" customHeight="1">
      <c r="A4" s="21" t="s">
        <v>6</v>
      </c>
      <c r="B4" s="24" t="s">
        <v>8</v>
      </c>
      <c r="C4" s="27" t="s">
        <v>11</v>
      </c>
      <c r="D4" s="29" t="s">
        <v>12</v>
      </c>
      <c r="E4" s="32" t="s">
        <v>14</v>
      </c>
      <c r="F4" s="17"/>
      <c r="G4" s="27" t="s">
        <v>16</v>
      </c>
      <c r="H4" s="24" t="s">
        <v>17</v>
      </c>
      <c r="I4" s="27" t="s">
        <v>11</v>
      </c>
      <c r="J4" s="34" t="s">
        <v>18</v>
      </c>
      <c r="K4" s="17"/>
      <c r="L4" s="39" t="s">
        <v>12</v>
      </c>
      <c r="M4" s="42" t="s">
        <v>14</v>
      </c>
      <c r="N4" s="17"/>
      <c r="O4" s="27" t="s">
        <v>28</v>
      </c>
      <c r="P4" s="45" t="s">
        <v>29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50" t="s">
        <v>22</v>
      </c>
      <c r="B5" s="53" t="s">
        <v>35</v>
      </c>
      <c r="C5" s="56" t="s">
        <v>31</v>
      </c>
      <c r="D5" s="57" t="s">
        <v>32</v>
      </c>
      <c r="E5" s="58" t="s">
        <v>33</v>
      </c>
      <c r="F5" s="58" t="s">
        <v>34</v>
      </c>
      <c r="G5" s="59" t="s">
        <v>38</v>
      </c>
      <c r="H5" s="53" t="s">
        <v>35</v>
      </c>
      <c r="I5" s="56" t="s">
        <v>31</v>
      </c>
      <c r="J5" s="63" t="s">
        <v>20</v>
      </c>
      <c r="K5" s="63" t="s">
        <v>41</v>
      </c>
      <c r="L5" s="65" t="s">
        <v>32</v>
      </c>
      <c r="M5" s="67" t="s">
        <v>33</v>
      </c>
      <c r="N5" s="67" t="s">
        <v>34</v>
      </c>
      <c r="O5" s="68" t="s">
        <v>38</v>
      </c>
      <c r="P5" s="68" t="s">
        <v>36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77">
        <f>IF(B6="","",ROW()-5)</f>
        <v>1</v>
      </c>
      <c r="B6" s="78" t="s">
        <v>46</v>
      </c>
      <c r="C6" s="82" t="s">
        <v>49</v>
      </c>
      <c r="D6" s="83"/>
      <c r="E6" s="84"/>
      <c r="F6" s="85" t="s">
        <v>43</v>
      </c>
      <c r="G6" s="86" t="s">
        <v>53</v>
      </c>
      <c r="H6" s="87" t="s">
        <v>54</v>
      </c>
      <c r="I6" s="82"/>
      <c r="J6" s="87" t="s">
        <v>55</v>
      </c>
      <c r="K6" s="87">
        <v>5.0</v>
      </c>
      <c r="L6" s="89"/>
      <c r="M6" s="77"/>
      <c r="N6" s="91" t="s">
        <v>60</v>
      </c>
      <c r="O6" s="77"/>
      <c r="P6" s="87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93">
        <v>2.0</v>
      </c>
      <c r="B7" s="94" t="s">
        <v>63</v>
      </c>
      <c r="C7" s="95" t="s">
        <v>49</v>
      </c>
      <c r="D7" s="96"/>
      <c r="E7" s="97"/>
      <c r="F7" s="98" t="s">
        <v>60</v>
      </c>
      <c r="G7" s="99" t="s">
        <v>53</v>
      </c>
      <c r="H7" s="93" t="s">
        <v>67</v>
      </c>
      <c r="I7" s="95"/>
      <c r="J7" s="93" t="s">
        <v>68</v>
      </c>
      <c r="K7" s="93">
        <v>35.0</v>
      </c>
      <c r="L7" s="101"/>
      <c r="M7" s="102"/>
      <c r="N7" s="103" t="s">
        <v>43</v>
      </c>
      <c r="O7" s="102"/>
      <c r="P7" s="104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77">
        <f t="shared" ref="A8:A1805" si="1">IF(B8="","",ROW()-5)</f>
        <v>3</v>
      </c>
      <c r="B8" s="78" t="s">
        <v>75</v>
      </c>
      <c r="C8" s="82" t="s">
        <v>49</v>
      </c>
      <c r="D8" s="83"/>
      <c r="E8" s="84"/>
      <c r="F8" s="85" t="s">
        <v>43</v>
      </c>
      <c r="G8" s="86" t="s">
        <v>53</v>
      </c>
      <c r="H8" s="87" t="s">
        <v>78</v>
      </c>
      <c r="I8" s="82"/>
      <c r="J8" s="87" t="s">
        <v>51</v>
      </c>
      <c r="K8" s="87">
        <v>24.0</v>
      </c>
      <c r="L8" s="89"/>
      <c r="M8" s="77"/>
      <c r="N8" s="91" t="s">
        <v>60</v>
      </c>
      <c r="O8" s="77"/>
      <c r="P8" s="77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02">
        <f t="shared" si="1"/>
        <v>4</v>
      </c>
      <c r="B9" s="94" t="s">
        <v>82</v>
      </c>
      <c r="C9" s="95" t="s">
        <v>5</v>
      </c>
      <c r="D9" s="96"/>
      <c r="E9" s="97"/>
      <c r="F9" s="98" t="s">
        <v>43</v>
      </c>
      <c r="G9" s="99" t="s">
        <v>87</v>
      </c>
      <c r="H9" s="102"/>
      <c r="I9" s="95"/>
      <c r="J9" s="93" t="s">
        <v>89</v>
      </c>
      <c r="K9" s="93">
        <v>37.0</v>
      </c>
      <c r="L9" s="101"/>
      <c r="M9" s="102"/>
      <c r="N9" s="102"/>
      <c r="O9" s="102"/>
      <c r="P9" s="10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77">
        <f t="shared" si="1"/>
        <v>5</v>
      </c>
      <c r="B10" s="78" t="s">
        <v>91</v>
      </c>
      <c r="C10" s="82" t="s">
        <v>5</v>
      </c>
      <c r="D10" s="83"/>
      <c r="E10" s="84"/>
      <c r="F10" s="85" t="s">
        <v>43</v>
      </c>
      <c r="G10" s="86" t="s">
        <v>87</v>
      </c>
      <c r="H10" s="77"/>
      <c r="I10" s="82"/>
      <c r="J10" s="87" t="s">
        <v>96</v>
      </c>
      <c r="K10" s="87">
        <v>13.0</v>
      </c>
      <c r="L10" s="89"/>
      <c r="M10" s="77"/>
      <c r="N10" s="77"/>
      <c r="O10" s="77"/>
      <c r="P10" s="77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02">
        <f t="shared" si="1"/>
        <v>6</v>
      </c>
      <c r="B11" s="94" t="s">
        <v>98</v>
      </c>
      <c r="C11" s="95" t="s">
        <v>49</v>
      </c>
      <c r="D11" s="96"/>
      <c r="E11" s="97"/>
      <c r="F11" s="98" t="s">
        <v>43</v>
      </c>
      <c r="G11" s="99" t="s">
        <v>87</v>
      </c>
      <c r="H11" s="93" t="s">
        <v>102</v>
      </c>
      <c r="I11" s="107" t="s">
        <v>72</v>
      </c>
      <c r="J11" s="93" t="s">
        <v>89</v>
      </c>
      <c r="K11" s="93">
        <v>8.0</v>
      </c>
      <c r="L11" s="101"/>
      <c r="M11" s="102"/>
      <c r="N11" s="103" t="s">
        <v>43</v>
      </c>
      <c r="O11" s="102"/>
      <c r="P11" s="102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77">
        <f t="shared" si="1"/>
        <v>7</v>
      </c>
      <c r="B12" s="78" t="s">
        <v>106</v>
      </c>
      <c r="C12" s="82" t="s">
        <v>49</v>
      </c>
      <c r="D12" s="83"/>
      <c r="E12" s="84"/>
      <c r="F12" s="85" t="s">
        <v>60</v>
      </c>
      <c r="G12" s="86" t="s">
        <v>53</v>
      </c>
      <c r="H12" s="91" t="s">
        <v>108</v>
      </c>
      <c r="I12" s="82"/>
      <c r="J12" s="87" t="s">
        <v>68</v>
      </c>
      <c r="K12" s="87">
        <v>4.0</v>
      </c>
      <c r="L12" s="89"/>
      <c r="M12" s="77"/>
      <c r="N12" s="91" t="s">
        <v>43</v>
      </c>
      <c r="O12" s="77"/>
      <c r="P12" s="77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02">
        <f t="shared" si="1"/>
        <v>8</v>
      </c>
      <c r="B13" s="94" t="s">
        <v>111</v>
      </c>
      <c r="C13" s="95" t="s">
        <v>5</v>
      </c>
      <c r="D13" s="96"/>
      <c r="E13" s="108" t="s">
        <v>115</v>
      </c>
      <c r="F13" s="109" t="s">
        <v>43</v>
      </c>
      <c r="G13" s="99" t="s">
        <v>87</v>
      </c>
      <c r="H13" s="93" t="s">
        <v>116</v>
      </c>
      <c r="I13" s="95" t="s">
        <v>5</v>
      </c>
      <c r="J13" s="93" t="s">
        <v>47</v>
      </c>
      <c r="K13" s="93">
        <v>4.0</v>
      </c>
      <c r="L13" s="101"/>
      <c r="M13" s="110" t="s">
        <v>115</v>
      </c>
      <c r="N13" s="109" t="s">
        <v>43</v>
      </c>
      <c r="O13" s="102"/>
      <c r="P13" s="102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77">
        <f t="shared" si="1"/>
        <v>9</v>
      </c>
      <c r="B14" s="78" t="s">
        <v>122</v>
      </c>
      <c r="C14" s="82" t="s">
        <v>5</v>
      </c>
      <c r="D14" s="83"/>
      <c r="E14" s="84"/>
      <c r="F14" s="85" t="s">
        <v>60</v>
      </c>
      <c r="G14" s="86" t="s">
        <v>53</v>
      </c>
      <c r="H14" s="87" t="s">
        <v>125</v>
      </c>
      <c r="I14" s="82"/>
      <c r="J14" s="87" t="s">
        <v>51</v>
      </c>
      <c r="K14" s="87">
        <v>25.0</v>
      </c>
      <c r="L14" s="89"/>
      <c r="M14" s="77"/>
      <c r="N14" s="91" t="s">
        <v>43</v>
      </c>
      <c r="O14" s="77"/>
      <c r="P14" s="77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102">
        <f t="shared" si="1"/>
        <v>10</v>
      </c>
      <c r="B15" s="94" t="s">
        <v>129</v>
      </c>
      <c r="C15" s="95" t="s">
        <v>49</v>
      </c>
      <c r="D15" s="96"/>
      <c r="E15" s="97"/>
      <c r="F15" s="98" t="s">
        <v>43</v>
      </c>
      <c r="G15" s="99" t="s">
        <v>53</v>
      </c>
      <c r="H15" s="102"/>
      <c r="I15" s="95"/>
      <c r="J15" s="93" t="s">
        <v>89</v>
      </c>
      <c r="K15" s="93">
        <v>12.0</v>
      </c>
      <c r="L15" s="101"/>
      <c r="M15" s="102"/>
      <c r="N15" s="102"/>
      <c r="O15" s="102"/>
      <c r="P15" s="102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77">
        <f t="shared" si="1"/>
        <v>11</v>
      </c>
      <c r="B16" s="78" t="s">
        <v>133</v>
      </c>
      <c r="C16" s="82" t="s">
        <v>49</v>
      </c>
      <c r="D16" s="83"/>
      <c r="E16" s="84"/>
      <c r="F16" s="85" t="s">
        <v>43</v>
      </c>
      <c r="G16" s="86" t="s">
        <v>53</v>
      </c>
      <c r="H16" s="77"/>
      <c r="I16" s="82"/>
      <c r="J16" s="87" t="s">
        <v>89</v>
      </c>
      <c r="K16" s="87">
        <v>6.0</v>
      </c>
      <c r="L16" s="89"/>
      <c r="M16" s="77"/>
      <c r="N16" s="77"/>
      <c r="O16" s="77"/>
      <c r="P16" s="77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02">
        <f t="shared" si="1"/>
        <v>12</v>
      </c>
      <c r="B17" s="94" t="s">
        <v>135</v>
      </c>
      <c r="C17" s="95" t="s">
        <v>49</v>
      </c>
      <c r="D17" s="96"/>
      <c r="E17" s="97"/>
      <c r="F17" s="98" t="s">
        <v>43</v>
      </c>
      <c r="G17" s="99" t="s">
        <v>53</v>
      </c>
      <c r="H17" s="93" t="s">
        <v>138</v>
      </c>
      <c r="I17" s="95"/>
      <c r="J17" s="93" t="s">
        <v>96</v>
      </c>
      <c r="K17" s="93">
        <v>2.0</v>
      </c>
      <c r="L17" s="101"/>
      <c r="M17" s="102"/>
      <c r="N17" s="103" t="s">
        <v>43</v>
      </c>
      <c r="O17" s="102"/>
      <c r="P17" s="102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77">
        <f t="shared" si="1"/>
        <v>13</v>
      </c>
      <c r="B18" s="78" t="s">
        <v>143</v>
      </c>
      <c r="C18" s="82" t="s">
        <v>49</v>
      </c>
      <c r="D18" s="83"/>
      <c r="E18" s="84"/>
      <c r="F18" s="85" t="s">
        <v>43</v>
      </c>
      <c r="G18" s="86" t="s">
        <v>87</v>
      </c>
      <c r="H18" s="87" t="s">
        <v>146</v>
      </c>
      <c r="I18" s="82"/>
      <c r="J18" s="87" t="s">
        <v>68</v>
      </c>
      <c r="K18" s="87">
        <v>39.0</v>
      </c>
      <c r="L18" s="89"/>
      <c r="M18" s="77"/>
      <c r="N18" s="91" t="s">
        <v>43</v>
      </c>
      <c r="O18" s="77"/>
      <c r="P18" s="77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102">
        <f t="shared" si="1"/>
        <v>14</v>
      </c>
      <c r="B19" s="94" t="s">
        <v>149</v>
      </c>
      <c r="C19" s="95" t="s">
        <v>49</v>
      </c>
      <c r="D19" s="96"/>
      <c r="E19" s="97"/>
      <c r="F19" s="98" t="s">
        <v>43</v>
      </c>
      <c r="G19" s="99" t="s">
        <v>53</v>
      </c>
      <c r="H19" s="93" t="s">
        <v>150</v>
      </c>
      <c r="I19" s="95"/>
      <c r="J19" s="93" t="s">
        <v>51</v>
      </c>
      <c r="K19" s="93">
        <v>5.0</v>
      </c>
      <c r="L19" s="101"/>
      <c r="M19" s="102"/>
      <c r="N19" s="103" t="s">
        <v>60</v>
      </c>
      <c r="O19" s="102"/>
      <c r="P19" s="102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77">
        <f t="shared" si="1"/>
        <v>15</v>
      </c>
      <c r="B20" s="78" t="s">
        <v>154</v>
      </c>
      <c r="C20" s="82" t="s">
        <v>49</v>
      </c>
      <c r="D20" s="83"/>
      <c r="E20" s="84"/>
      <c r="F20" s="85" t="s">
        <v>43</v>
      </c>
      <c r="G20" s="86" t="s">
        <v>53</v>
      </c>
      <c r="H20" s="87" t="s">
        <v>156</v>
      </c>
      <c r="I20" s="82"/>
      <c r="J20" s="87" t="s">
        <v>99</v>
      </c>
      <c r="K20" s="87">
        <v>19.0</v>
      </c>
      <c r="L20" s="89"/>
      <c r="M20" s="77"/>
      <c r="N20" s="91" t="s">
        <v>43</v>
      </c>
      <c r="O20" s="77"/>
      <c r="P20" s="77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>
      <c r="A21" s="102">
        <f t="shared" si="1"/>
        <v>16</v>
      </c>
      <c r="B21" s="94" t="s">
        <v>158</v>
      </c>
      <c r="C21" s="107" t="s">
        <v>5</v>
      </c>
      <c r="D21" s="96"/>
      <c r="E21" s="97"/>
      <c r="F21" s="98" t="s">
        <v>43</v>
      </c>
      <c r="G21" s="99" t="s">
        <v>87</v>
      </c>
      <c r="H21" s="93" t="s">
        <v>162</v>
      </c>
      <c r="I21" s="95" t="s">
        <v>69</v>
      </c>
      <c r="J21" s="93" t="s">
        <v>99</v>
      </c>
      <c r="K21" s="93">
        <v>10.0</v>
      </c>
      <c r="L21" s="101"/>
      <c r="M21" s="102"/>
      <c r="N21" s="103" t="s">
        <v>43</v>
      </c>
      <c r="O21" s="102"/>
      <c r="P21" s="102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>
      <c r="A22" s="77">
        <f t="shared" si="1"/>
        <v>17</v>
      </c>
      <c r="B22" s="78" t="s">
        <v>165</v>
      </c>
      <c r="C22" s="111" t="s">
        <v>5</v>
      </c>
      <c r="D22" s="83"/>
      <c r="E22" s="84"/>
      <c r="F22" s="85" t="s">
        <v>43</v>
      </c>
      <c r="G22" s="86" t="s">
        <v>87</v>
      </c>
      <c r="H22" s="87" t="s">
        <v>166</v>
      </c>
      <c r="I22" s="82"/>
      <c r="J22" s="87" t="s">
        <v>96</v>
      </c>
      <c r="K22" s="87">
        <v>36.0</v>
      </c>
      <c r="L22" s="89"/>
      <c r="M22" s="77"/>
      <c r="N22" s="77"/>
      <c r="O22" s="77"/>
      <c r="P22" s="77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>
      <c r="A23" s="102">
        <f t="shared" si="1"/>
        <v>18</v>
      </c>
      <c r="B23" s="94" t="s">
        <v>171</v>
      </c>
      <c r="C23" s="95" t="s">
        <v>172</v>
      </c>
      <c r="D23" s="96"/>
      <c r="E23" s="112"/>
      <c r="F23" s="98" t="s">
        <v>43</v>
      </c>
      <c r="G23" s="99" t="s">
        <v>87</v>
      </c>
      <c r="H23" s="93" t="s">
        <v>173</v>
      </c>
      <c r="I23" s="95" t="s">
        <v>88</v>
      </c>
      <c r="J23" s="93" t="s">
        <v>174</v>
      </c>
      <c r="K23" s="93">
        <v>27.0</v>
      </c>
      <c r="L23" s="101"/>
      <c r="M23" s="102"/>
      <c r="N23" s="103" t="s">
        <v>43</v>
      </c>
      <c r="O23" s="102"/>
      <c r="P23" s="102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>
      <c r="A24" s="77">
        <f t="shared" si="1"/>
        <v>19</v>
      </c>
      <c r="B24" s="78" t="s">
        <v>176</v>
      </c>
      <c r="C24" s="82" t="s">
        <v>5</v>
      </c>
      <c r="D24" s="83"/>
      <c r="E24" s="113"/>
      <c r="F24" s="85" t="s">
        <v>43</v>
      </c>
      <c r="G24" s="86" t="s">
        <v>87</v>
      </c>
      <c r="H24" s="87" t="s">
        <v>180</v>
      </c>
      <c r="I24" s="82" t="s">
        <v>5</v>
      </c>
      <c r="J24" s="87" t="s">
        <v>174</v>
      </c>
      <c r="K24" s="87">
        <v>27.0</v>
      </c>
      <c r="L24" s="89"/>
      <c r="M24" s="77"/>
      <c r="N24" s="91" t="s">
        <v>43</v>
      </c>
      <c r="O24" s="77"/>
      <c r="P24" s="77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>
      <c r="A25" s="102">
        <f t="shared" si="1"/>
        <v>20</v>
      </c>
      <c r="B25" s="94" t="s">
        <v>184</v>
      </c>
      <c r="C25" s="107" t="s">
        <v>5</v>
      </c>
      <c r="D25" s="96"/>
      <c r="E25" s="97"/>
      <c r="F25" s="98" t="s">
        <v>43</v>
      </c>
      <c r="G25" s="99" t="s">
        <v>87</v>
      </c>
      <c r="H25" s="93" t="s">
        <v>185</v>
      </c>
      <c r="I25" s="95"/>
      <c r="J25" s="93" t="s">
        <v>96</v>
      </c>
      <c r="K25" s="93">
        <v>21.0</v>
      </c>
      <c r="L25" s="101"/>
      <c r="M25" s="102"/>
      <c r="N25" s="103" t="s">
        <v>43</v>
      </c>
      <c r="O25" s="102"/>
      <c r="P25" s="102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>
      <c r="A26" s="77">
        <f t="shared" si="1"/>
        <v>21</v>
      </c>
      <c r="B26" s="78" t="s">
        <v>187</v>
      </c>
      <c r="C26" s="82" t="s">
        <v>49</v>
      </c>
      <c r="D26" s="83"/>
      <c r="E26" s="84"/>
      <c r="F26" s="85" t="s">
        <v>43</v>
      </c>
      <c r="G26" s="86" t="s">
        <v>87</v>
      </c>
      <c r="H26" s="87" t="s">
        <v>189</v>
      </c>
      <c r="I26" s="82" t="s">
        <v>9</v>
      </c>
      <c r="J26" s="87" t="s">
        <v>55</v>
      </c>
      <c r="K26" s="87">
        <v>17.0</v>
      </c>
      <c r="L26" s="89"/>
      <c r="M26" s="77"/>
      <c r="N26" s="91" t="s">
        <v>43</v>
      </c>
      <c r="O26" s="77"/>
      <c r="P26" s="77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>
      <c r="A27" s="102">
        <f t="shared" si="1"/>
        <v>22</v>
      </c>
      <c r="B27" s="94" t="s">
        <v>193</v>
      </c>
      <c r="C27" s="95" t="s">
        <v>49</v>
      </c>
      <c r="D27" s="96"/>
      <c r="E27" s="97"/>
      <c r="F27" s="98" t="s">
        <v>43</v>
      </c>
      <c r="G27" s="99" t="s">
        <v>87</v>
      </c>
      <c r="H27" s="93" t="s">
        <v>194</v>
      </c>
      <c r="I27" s="95" t="s">
        <v>72</v>
      </c>
      <c r="J27" s="93" t="s">
        <v>96</v>
      </c>
      <c r="K27" s="93" t="s">
        <v>196</v>
      </c>
      <c r="L27" s="101"/>
      <c r="M27" s="102"/>
      <c r="N27" s="103" t="s">
        <v>43</v>
      </c>
      <c r="O27" s="102"/>
      <c r="P27" s="102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>
      <c r="A28" s="77">
        <f t="shared" si="1"/>
        <v>23</v>
      </c>
      <c r="B28" s="78" t="s">
        <v>199</v>
      </c>
      <c r="C28" s="82" t="s">
        <v>172</v>
      </c>
      <c r="D28" s="83"/>
      <c r="E28" s="84"/>
      <c r="F28" s="85" t="s">
        <v>203</v>
      </c>
      <c r="G28" s="86" t="s">
        <v>49</v>
      </c>
      <c r="H28" s="87" t="s">
        <v>204</v>
      </c>
      <c r="I28" s="82"/>
      <c r="J28" s="87" t="s">
        <v>89</v>
      </c>
      <c r="K28" s="87">
        <v>37.0</v>
      </c>
      <c r="L28" s="89"/>
      <c r="M28" s="77"/>
      <c r="N28" s="91" t="s">
        <v>60</v>
      </c>
      <c r="O28" s="77"/>
      <c r="P28" s="77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>
      <c r="A29" s="102">
        <f t="shared" si="1"/>
        <v>24</v>
      </c>
      <c r="B29" s="94" t="s">
        <v>206</v>
      </c>
      <c r="C29" s="95" t="s">
        <v>5</v>
      </c>
      <c r="D29" s="96"/>
      <c r="E29" s="97"/>
      <c r="F29" s="109" t="s">
        <v>43</v>
      </c>
      <c r="G29" s="99" t="s">
        <v>87</v>
      </c>
      <c r="H29" s="102"/>
      <c r="I29" s="95"/>
      <c r="J29" s="93" t="s">
        <v>47</v>
      </c>
      <c r="K29" s="102"/>
      <c r="L29" s="101"/>
      <c r="M29" s="102"/>
      <c r="N29" s="102"/>
      <c r="O29" s="102"/>
      <c r="P29" s="102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>
      <c r="A30" s="77">
        <f t="shared" si="1"/>
        <v>25</v>
      </c>
      <c r="B30" s="78" t="s">
        <v>208</v>
      </c>
      <c r="C30" s="82" t="s">
        <v>5</v>
      </c>
      <c r="D30" s="83"/>
      <c r="E30" s="113"/>
      <c r="F30" s="85" t="s">
        <v>43</v>
      </c>
      <c r="G30" s="86" t="s">
        <v>87</v>
      </c>
      <c r="H30" s="87" t="s">
        <v>209</v>
      </c>
      <c r="I30" s="82"/>
      <c r="J30" s="87" t="s">
        <v>47</v>
      </c>
      <c r="K30" s="87">
        <v>29.0</v>
      </c>
      <c r="L30" s="89"/>
      <c r="M30" s="77"/>
      <c r="N30" s="87" t="s">
        <v>60</v>
      </c>
      <c r="O30" s="77"/>
      <c r="P30" s="87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>
      <c r="A31" s="102">
        <f t="shared" si="1"/>
        <v>26</v>
      </c>
      <c r="B31" s="94" t="s">
        <v>214</v>
      </c>
      <c r="C31" s="95" t="s">
        <v>49</v>
      </c>
      <c r="D31" s="96"/>
      <c r="E31" s="97"/>
      <c r="F31" s="98" t="s">
        <v>43</v>
      </c>
      <c r="G31" s="99" t="s">
        <v>53</v>
      </c>
      <c r="H31" s="93" t="s">
        <v>215</v>
      </c>
      <c r="I31" s="95"/>
      <c r="J31" s="93" t="s">
        <v>55</v>
      </c>
      <c r="K31" s="93">
        <v>5.0</v>
      </c>
      <c r="L31" s="101"/>
      <c r="M31" s="102"/>
      <c r="N31" s="103" t="s">
        <v>60</v>
      </c>
      <c r="O31" s="102"/>
      <c r="P31" s="102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>
      <c r="A32" s="77">
        <f t="shared" si="1"/>
        <v>27</v>
      </c>
      <c r="B32" s="78" t="s">
        <v>219</v>
      </c>
      <c r="C32" s="82" t="s">
        <v>5</v>
      </c>
      <c r="D32" s="83"/>
      <c r="E32" s="84"/>
      <c r="F32" s="85" t="s">
        <v>43</v>
      </c>
      <c r="G32" s="86" t="s">
        <v>87</v>
      </c>
      <c r="H32" s="77"/>
      <c r="I32" s="82"/>
      <c r="J32" s="87" t="s">
        <v>89</v>
      </c>
      <c r="K32" s="87">
        <v>8.0</v>
      </c>
      <c r="L32" s="89"/>
      <c r="M32" s="77"/>
      <c r="N32" s="77"/>
      <c r="O32" s="77"/>
      <c r="P32" s="77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>
      <c r="A33" s="102">
        <f t="shared" si="1"/>
        <v>28</v>
      </c>
      <c r="B33" s="94" t="s">
        <v>223</v>
      </c>
      <c r="C33" s="95" t="s">
        <v>5</v>
      </c>
      <c r="D33" s="96"/>
      <c r="E33" s="97"/>
      <c r="F33" s="98" t="s">
        <v>203</v>
      </c>
      <c r="G33" s="99" t="s">
        <v>49</v>
      </c>
      <c r="H33" s="102"/>
      <c r="I33" s="95"/>
      <c r="J33" s="93" t="s">
        <v>99</v>
      </c>
      <c r="K33" s="93">
        <v>26.0</v>
      </c>
      <c r="L33" s="101"/>
      <c r="M33" s="102"/>
      <c r="N33" s="102"/>
      <c r="O33" s="102"/>
      <c r="P33" s="102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>
      <c r="A34" s="77">
        <f t="shared" si="1"/>
        <v>29</v>
      </c>
      <c r="B34" s="78" t="s">
        <v>228</v>
      </c>
      <c r="C34" s="82" t="s">
        <v>49</v>
      </c>
      <c r="D34" s="83"/>
      <c r="E34" s="84"/>
      <c r="F34" s="85" t="s">
        <v>43</v>
      </c>
      <c r="G34" s="86" t="s">
        <v>53</v>
      </c>
      <c r="H34" s="87" t="s">
        <v>229</v>
      </c>
      <c r="I34" s="82"/>
      <c r="J34" s="87" t="s">
        <v>89</v>
      </c>
      <c r="K34" s="87">
        <v>6.0</v>
      </c>
      <c r="L34" s="89"/>
      <c r="M34" s="77"/>
      <c r="N34" s="91" t="s">
        <v>60</v>
      </c>
      <c r="O34" s="77"/>
      <c r="P34" s="77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>
      <c r="A35" s="102">
        <f t="shared" si="1"/>
        <v>30</v>
      </c>
      <c r="B35" s="94" t="s">
        <v>233</v>
      </c>
      <c r="C35" s="95" t="s">
        <v>9</v>
      </c>
      <c r="D35" s="96"/>
      <c r="E35" s="97"/>
      <c r="F35" s="109" t="s">
        <v>43</v>
      </c>
      <c r="G35" s="99" t="s">
        <v>87</v>
      </c>
      <c r="H35" s="102"/>
      <c r="I35" s="95"/>
      <c r="J35" s="93" t="s">
        <v>68</v>
      </c>
      <c r="K35" s="102"/>
      <c r="L35" s="101"/>
      <c r="M35" s="102"/>
      <c r="N35" s="102"/>
      <c r="O35" s="93" t="s">
        <v>19</v>
      </c>
      <c r="P35" s="102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A36" s="77">
        <f t="shared" si="1"/>
        <v>31</v>
      </c>
      <c r="B36" s="78" t="s">
        <v>235</v>
      </c>
      <c r="C36" s="82" t="s">
        <v>49</v>
      </c>
      <c r="D36" s="83"/>
      <c r="E36" s="113"/>
      <c r="F36" s="85" t="s">
        <v>43</v>
      </c>
      <c r="G36" s="86" t="s">
        <v>53</v>
      </c>
      <c r="H36" s="87" t="s">
        <v>238</v>
      </c>
      <c r="I36" s="82"/>
      <c r="J36" s="87" t="s">
        <v>174</v>
      </c>
      <c r="K36" s="87">
        <v>3.0</v>
      </c>
      <c r="L36" s="89"/>
      <c r="M36" s="77"/>
      <c r="N36" s="91" t="s">
        <v>60</v>
      </c>
      <c r="O36" s="77"/>
      <c r="P36" s="77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>
      <c r="A37" s="102">
        <f t="shared" si="1"/>
        <v>32</v>
      </c>
      <c r="B37" s="94" t="s">
        <v>240</v>
      </c>
      <c r="C37" s="95" t="s">
        <v>72</v>
      </c>
      <c r="D37" s="96"/>
      <c r="E37" s="112"/>
      <c r="F37" s="98" t="s">
        <v>43</v>
      </c>
      <c r="G37" s="99" t="s">
        <v>87</v>
      </c>
      <c r="H37" s="93" t="s">
        <v>241</v>
      </c>
      <c r="I37" s="107" t="s">
        <v>9</v>
      </c>
      <c r="J37" s="93" t="s">
        <v>174</v>
      </c>
      <c r="K37" s="93">
        <v>2.0</v>
      </c>
      <c r="L37" s="101"/>
      <c r="M37" s="102"/>
      <c r="N37" s="103" t="s">
        <v>43</v>
      </c>
      <c r="O37" s="102"/>
      <c r="P37" s="102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>
      <c r="A38" s="77">
        <f t="shared" si="1"/>
        <v>33</v>
      </c>
      <c r="B38" s="78" t="s">
        <v>246</v>
      </c>
      <c r="C38" s="82" t="s">
        <v>76</v>
      </c>
      <c r="D38" s="83"/>
      <c r="E38" s="84"/>
      <c r="F38" s="85" t="s">
        <v>43</v>
      </c>
      <c r="G38" s="86" t="s">
        <v>87</v>
      </c>
      <c r="H38" s="77"/>
      <c r="I38" s="82"/>
      <c r="J38" s="87" t="s">
        <v>99</v>
      </c>
      <c r="K38" s="87">
        <v>31.0</v>
      </c>
      <c r="L38" s="89"/>
      <c r="M38" s="77"/>
      <c r="N38" s="77"/>
      <c r="O38" s="77"/>
      <c r="P38" s="77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>
      <c r="A39" s="102">
        <f t="shared" si="1"/>
        <v>34</v>
      </c>
      <c r="B39" s="94" t="s">
        <v>251</v>
      </c>
      <c r="C39" s="95" t="s">
        <v>49</v>
      </c>
      <c r="D39" s="96"/>
      <c r="E39" s="112"/>
      <c r="F39" s="98" t="s">
        <v>60</v>
      </c>
      <c r="G39" s="99" t="s">
        <v>53</v>
      </c>
      <c r="H39" s="93" t="s">
        <v>252</v>
      </c>
      <c r="I39" s="95"/>
      <c r="J39" s="93" t="s">
        <v>174</v>
      </c>
      <c r="K39" s="93">
        <v>3.0</v>
      </c>
      <c r="L39" s="101"/>
      <c r="M39" s="102"/>
      <c r="N39" s="103" t="s">
        <v>43</v>
      </c>
      <c r="O39" s="102"/>
      <c r="P39" s="102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A40" s="77">
        <f t="shared" si="1"/>
        <v>35</v>
      </c>
      <c r="B40" s="78" t="s">
        <v>255</v>
      </c>
      <c r="C40" s="82" t="s">
        <v>49</v>
      </c>
      <c r="D40" s="83"/>
      <c r="E40" s="113"/>
      <c r="F40" s="85" t="s">
        <v>60</v>
      </c>
      <c r="G40" s="86" t="s">
        <v>53</v>
      </c>
      <c r="H40" s="87" t="s">
        <v>256</v>
      </c>
      <c r="I40" s="82"/>
      <c r="J40" s="87" t="s">
        <v>174</v>
      </c>
      <c r="K40" s="87">
        <v>27.0</v>
      </c>
      <c r="L40" s="89"/>
      <c r="M40" s="77"/>
      <c r="N40" s="91" t="s">
        <v>43</v>
      </c>
      <c r="O40" s="77"/>
      <c r="P40" s="77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>
      <c r="A41" s="102">
        <f t="shared" si="1"/>
        <v>36</v>
      </c>
      <c r="B41" s="94" t="s">
        <v>258</v>
      </c>
      <c r="C41" s="95" t="s">
        <v>5</v>
      </c>
      <c r="D41" s="96"/>
      <c r="E41" s="112"/>
      <c r="F41" s="98" t="s">
        <v>43</v>
      </c>
      <c r="G41" s="99" t="s">
        <v>87</v>
      </c>
      <c r="H41" s="93" t="s">
        <v>259</v>
      </c>
      <c r="I41" s="107" t="s">
        <v>5</v>
      </c>
      <c r="J41" s="93" t="s">
        <v>47</v>
      </c>
      <c r="K41" s="93">
        <v>12.0</v>
      </c>
      <c r="L41" s="101"/>
      <c r="M41" s="102"/>
      <c r="N41" s="112"/>
      <c r="O41" s="102"/>
      <c r="P41" s="102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>
      <c r="A42" s="77">
        <f t="shared" si="1"/>
        <v>37</v>
      </c>
      <c r="B42" s="78" t="s">
        <v>261</v>
      </c>
      <c r="C42" s="82" t="s">
        <v>5</v>
      </c>
      <c r="D42" s="83"/>
      <c r="E42" s="84"/>
      <c r="F42" s="85" t="s">
        <v>43</v>
      </c>
      <c r="G42" s="86" t="s">
        <v>87</v>
      </c>
      <c r="H42" s="77"/>
      <c r="I42" s="82"/>
      <c r="J42" s="87" t="s">
        <v>99</v>
      </c>
      <c r="K42" s="87" t="s">
        <v>263</v>
      </c>
      <c r="L42" s="89"/>
      <c r="M42" s="77"/>
      <c r="N42" s="77"/>
      <c r="O42" s="77"/>
      <c r="P42" s="77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>
      <c r="A43" s="102">
        <f t="shared" si="1"/>
        <v>38</v>
      </c>
      <c r="B43" s="94" t="s">
        <v>216</v>
      </c>
      <c r="C43" s="95" t="s">
        <v>5</v>
      </c>
      <c r="D43" s="96"/>
      <c r="E43" s="97"/>
      <c r="F43" s="98" t="s">
        <v>43</v>
      </c>
      <c r="G43" s="99" t="s">
        <v>87</v>
      </c>
      <c r="H43" s="102"/>
      <c r="I43" s="95"/>
      <c r="J43" s="93" t="s">
        <v>47</v>
      </c>
      <c r="K43" s="93">
        <v>15.0</v>
      </c>
      <c r="L43" s="101"/>
      <c r="M43" s="102"/>
      <c r="N43" s="112"/>
      <c r="O43" s="102"/>
      <c r="P43" s="102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>
      <c r="A44" s="77">
        <f t="shared" si="1"/>
        <v>39</v>
      </c>
      <c r="B44" s="78" t="s">
        <v>268</v>
      </c>
      <c r="C44" s="82" t="s">
        <v>9</v>
      </c>
      <c r="D44" s="83"/>
      <c r="E44" s="84"/>
      <c r="F44" s="85" t="s">
        <v>43</v>
      </c>
      <c r="G44" s="86" t="s">
        <v>87</v>
      </c>
      <c r="H44" s="77"/>
      <c r="I44" s="82"/>
      <c r="J44" s="87" t="s">
        <v>89</v>
      </c>
      <c r="K44" s="87">
        <v>37.0</v>
      </c>
      <c r="L44" s="89"/>
      <c r="M44" s="77"/>
      <c r="N44" s="77"/>
      <c r="O44" s="77"/>
      <c r="P44" s="77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>
      <c r="A45" s="102">
        <f t="shared" si="1"/>
        <v>40</v>
      </c>
      <c r="B45" s="94" t="s">
        <v>273</v>
      </c>
      <c r="C45" s="95" t="s">
        <v>49</v>
      </c>
      <c r="D45" s="96"/>
      <c r="E45" s="97"/>
      <c r="F45" s="98" t="s">
        <v>43</v>
      </c>
      <c r="G45" s="99" t="s">
        <v>53</v>
      </c>
      <c r="H45" s="102"/>
      <c r="I45" s="95"/>
      <c r="J45" s="93" t="s">
        <v>68</v>
      </c>
      <c r="K45" s="93">
        <v>31.0</v>
      </c>
      <c r="L45" s="101"/>
      <c r="M45" s="102"/>
      <c r="N45" s="102"/>
      <c r="O45" s="102"/>
      <c r="P45" s="102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A46" s="77">
        <f t="shared" si="1"/>
        <v>41</v>
      </c>
      <c r="B46" s="78" t="s">
        <v>277</v>
      </c>
      <c r="C46" s="82" t="s">
        <v>49</v>
      </c>
      <c r="D46" s="83"/>
      <c r="E46" s="84"/>
      <c r="F46" s="114" t="s">
        <v>43</v>
      </c>
      <c r="G46" s="86" t="s">
        <v>53</v>
      </c>
      <c r="H46" s="87" t="s">
        <v>278</v>
      </c>
      <c r="I46" s="82"/>
      <c r="J46" s="87" t="s">
        <v>51</v>
      </c>
      <c r="K46" s="77"/>
      <c r="L46" s="89"/>
      <c r="M46" s="77"/>
      <c r="N46" s="87" t="s">
        <v>60</v>
      </c>
      <c r="O46" s="77"/>
      <c r="P46" s="77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A47" s="102">
        <f t="shared" si="1"/>
        <v>42</v>
      </c>
      <c r="B47" s="94" t="s">
        <v>282</v>
      </c>
      <c r="C47" s="95" t="s">
        <v>49</v>
      </c>
      <c r="D47" s="96"/>
      <c r="E47" s="97"/>
      <c r="F47" s="98" t="s">
        <v>43</v>
      </c>
      <c r="G47" s="99" t="s">
        <v>53</v>
      </c>
      <c r="H47" s="102"/>
      <c r="I47" s="95"/>
      <c r="J47" s="93" t="s">
        <v>68</v>
      </c>
      <c r="K47" s="93">
        <v>14.0</v>
      </c>
      <c r="L47" s="101"/>
      <c r="M47" s="102"/>
      <c r="N47" s="102"/>
      <c r="O47" s="102"/>
      <c r="P47" s="102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A48" s="77">
        <f t="shared" si="1"/>
        <v>43</v>
      </c>
      <c r="B48" s="78" t="s">
        <v>288</v>
      </c>
      <c r="C48" s="82" t="s">
        <v>5</v>
      </c>
      <c r="D48" s="83"/>
      <c r="E48" s="84"/>
      <c r="F48" s="85" t="s">
        <v>43</v>
      </c>
      <c r="G48" s="86" t="s">
        <v>87</v>
      </c>
      <c r="H48" s="77"/>
      <c r="I48" s="82"/>
      <c r="J48" s="87" t="s">
        <v>89</v>
      </c>
      <c r="K48" s="87">
        <v>35.0</v>
      </c>
      <c r="L48" s="89"/>
      <c r="M48" s="77"/>
      <c r="N48" s="77"/>
      <c r="O48" s="77"/>
      <c r="P48" s="77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>
      <c r="A49" s="102">
        <f t="shared" si="1"/>
        <v>44</v>
      </c>
      <c r="B49" s="94" t="s">
        <v>292</v>
      </c>
      <c r="C49" s="95" t="s">
        <v>69</v>
      </c>
      <c r="D49" s="96"/>
      <c r="E49" s="97"/>
      <c r="F49" s="98" t="s">
        <v>43</v>
      </c>
      <c r="G49" s="99" t="s">
        <v>87</v>
      </c>
      <c r="H49" s="102"/>
      <c r="I49" s="95"/>
      <c r="J49" s="93" t="s">
        <v>89</v>
      </c>
      <c r="K49" s="93">
        <v>32.0</v>
      </c>
      <c r="L49" s="101"/>
      <c r="M49" s="102"/>
      <c r="N49" s="102"/>
      <c r="O49" s="102"/>
      <c r="P49" s="102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>
      <c r="A50" s="77">
        <f t="shared" si="1"/>
        <v>45</v>
      </c>
      <c r="B50" s="78" t="s">
        <v>295</v>
      </c>
      <c r="C50" s="82" t="s">
        <v>49</v>
      </c>
      <c r="D50" s="83"/>
      <c r="E50" s="84"/>
      <c r="F50" s="85" t="s">
        <v>43</v>
      </c>
      <c r="G50" s="86" t="s">
        <v>53</v>
      </c>
      <c r="H50" s="87" t="s">
        <v>298</v>
      </c>
      <c r="I50" s="82"/>
      <c r="J50" s="87" t="s">
        <v>96</v>
      </c>
      <c r="K50" s="87">
        <v>34.0</v>
      </c>
      <c r="L50" s="89"/>
      <c r="M50" s="77"/>
      <c r="N50" s="91" t="s">
        <v>43</v>
      </c>
      <c r="O50" s="77"/>
      <c r="P50" s="77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>
      <c r="A51" s="102">
        <f t="shared" si="1"/>
        <v>46</v>
      </c>
      <c r="B51" s="94" t="s">
        <v>300</v>
      </c>
      <c r="C51" s="95" t="s">
        <v>49</v>
      </c>
      <c r="D51" s="96"/>
      <c r="E51" s="112"/>
      <c r="F51" s="98" t="s">
        <v>60</v>
      </c>
      <c r="G51" s="99" t="s">
        <v>53</v>
      </c>
      <c r="H51" s="93" t="s">
        <v>301</v>
      </c>
      <c r="I51" s="95"/>
      <c r="J51" s="93" t="s">
        <v>47</v>
      </c>
      <c r="K51" s="93">
        <v>32.0</v>
      </c>
      <c r="L51" s="101"/>
      <c r="M51" s="102"/>
      <c r="N51" s="103" t="s">
        <v>60</v>
      </c>
      <c r="O51" s="102"/>
      <c r="P51" s="102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>
      <c r="A52" s="77">
        <f t="shared" si="1"/>
        <v>47</v>
      </c>
      <c r="B52" s="78" t="s">
        <v>305</v>
      </c>
      <c r="C52" s="82" t="s">
        <v>49</v>
      </c>
      <c r="D52" s="83"/>
      <c r="E52" s="84"/>
      <c r="F52" s="85" t="s">
        <v>60</v>
      </c>
      <c r="G52" s="86" t="s">
        <v>49</v>
      </c>
      <c r="H52" s="87" t="s">
        <v>307</v>
      </c>
      <c r="I52" s="82"/>
      <c r="J52" s="87" t="s">
        <v>96</v>
      </c>
      <c r="K52" s="87">
        <v>15.0</v>
      </c>
      <c r="L52" s="89"/>
      <c r="M52" s="77"/>
      <c r="N52" s="91" t="s">
        <v>43</v>
      </c>
      <c r="O52" s="77"/>
      <c r="P52" s="77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A53" s="102">
        <f t="shared" si="1"/>
        <v>48</v>
      </c>
      <c r="B53" s="94" t="s">
        <v>310</v>
      </c>
      <c r="C53" s="95" t="s">
        <v>49</v>
      </c>
      <c r="D53" s="96"/>
      <c r="E53" s="97"/>
      <c r="F53" s="98" t="s">
        <v>60</v>
      </c>
      <c r="G53" s="99" t="s">
        <v>49</v>
      </c>
      <c r="H53" s="102"/>
      <c r="I53" s="95"/>
      <c r="J53" s="93" t="s">
        <v>55</v>
      </c>
      <c r="K53" s="93">
        <v>13.0</v>
      </c>
      <c r="L53" s="101"/>
      <c r="M53" s="102"/>
      <c r="N53" s="102"/>
      <c r="O53" s="102"/>
      <c r="P53" s="102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A54" s="77">
        <f t="shared" si="1"/>
        <v>49</v>
      </c>
      <c r="B54" s="78" t="s">
        <v>266</v>
      </c>
      <c r="C54" s="82" t="s">
        <v>49</v>
      </c>
      <c r="D54" s="83"/>
      <c r="E54" s="84"/>
      <c r="F54" s="85" t="s">
        <v>43</v>
      </c>
      <c r="G54" s="86" t="s">
        <v>53</v>
      </c>
      <c r="H54" s="77"/>
      <c r="I54" s="82"/>
      <c r="J54" s="87" t="s">
        <v>47</v>
      </c>
      <c r="K54" s="87">
        <v>23.0</v>
      </c>
      <c r="L54" s="89"/>
      <c r="M54" s="77"/>
      <c r="N54" s="77"/>
      <c r="O54" s="77"/>
      <c r="P54" s="77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A55" s="102">
        <f t="shared" si="1"/>
        <v>50</v>
      </c>
      <c r="B55" s="94" t="s">
        <v>316</v>
      </c>
      <c r="C55" s="95" t="s">
        <v>49</v>
      </c>
      <c r="D55" s="96"/>
      <c r="E55" s="97"/>
      <c r="F55" s="109" t="s">
        <v>43</v>
      </c>
      <c r="G55" s="99" t="s">
        <v>87</v>
      </c>
      <c r="H55" s="102"/>
      <c r="I55" s="95"/>
      <c r="J55" s="93" t="s">
        <v>55</v>
      </c>
      <c r="K55" s="102"/>
      <c r="L55" s="101"/>
      <c r="M55" s="102"/>
      <c r="N55" s="102"/>
      <c r="O55" s="102"/>
      <c r="P55" s="102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A56" s="77">
        <f t="shared" si="1"/>
        <v>51</v>
      </c>
      <c r="B56" s="78" t="s">
        <v>322</v>
      </c>
      <c r="C56" s="111" t="s">
        <v>5</v>
      </c>
      <c r="D56" s="83"/>
      <c r="E56" s="84"/>
      <c r="F56" s="85" t="s">
        <v>43</v>
      </c>
      <c r="G56" s="86" t="s">
        <v>87</v>
      </c>
      <c r="H56" s="77"/>
      <c r="I56" s="82"/>
      <c r="J56" s="87" t="s">
        <v>89</v>
      </c>
      <c r="K56" s="87">
        <v>3.0</v>
      </c>
      <c r="L56" s="89"/>
      <c r="M56" s="77"/>
      <c r="N56" s="77"/>
      <c r="O56" s="77"/>
      <c r="P56" s="77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A57" s="102">
        <f t="shared" si="1"/>
        <v>52</v>
      </c>
      <c r="B57" s="94" t="s">
        <v>330</v>
      </c>
      <c r="C57" s="95" t="s">
        <v>49</v>
      </c>
      <c r="D57" s="96"/>
      <c r="E57" s="97"/>
      <c r="F57" s="98" t="s">
        <v>43</v>
      </c>
      <c r="G57" s="99" t="s">
        <v>53</v>
      </c>
      <c r="H57" s="93" t="s">
        <v>331</v>
      </c>
      <c r="I57" s="95"/>
      <c r="J57" s="93" t="s">
        <v>96</v>
      </c>
      <c r="K57" s="93">
        <v>37.0</v>
      </c>
      <c r="L57" s="101"/>
      <c r="M57" s="102"/>
      <c r="N57" s="103" t="s">
        <v>43</v>
      </c>
      <c r="O57" s="102"/>
      <c r="P57" s="102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A58" s="77">
        <f t="shared" si="1"/>
        <v>53</v>
      </c>
      <c r="B58" s="78" t="s">
        <v>335</v>
      </c>
      <c r="C58" s="82" t="s">
        <v>9</v>
      </c>
      <c r="D58" s="83"/>
      <c r="E58" s="84"/>
      <c r="F58" s="114" t="s">
        <v>43</v>
      </c>
      <c r="G58" s="86" t="s">
        <v>87</v>
      </c>
      <c r="H58" s="77"/>
      <c r="I58" s="82"/>
      <c r="J58" s="87" t="s">
        <v>68</v>
      </c>
      <c r="K58" s="77"/>
      <c r="L58" s="89"/>
      <c r="M58" s="77"/>
      <c r="N58" s="77"/>
      <c r="O58" s="77"/>
      <c r="P58" s="77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A59" s="102">
        <f t="shared" si="1"/>
        <v>54</v>
      </c>
      <c r="B59" s="94" t="s">
        <v>338</v>
      </c>
      <c r="C59" s="95" t="s">
        <v>49</v>
      </c>
      <c r="D59" s="96"/>
      <c r="E59" s="97"/>
      <c r="F59" s="98" t="s">
        <v>60</v>
      </c>
      <c r="G59" s="99" t="s">
        <v>49</v>
      </c>
      <c r="H59" s="93" t="s">
        <v>341</v>
      </c>
      <c r="I59" s="95"/>
      <c r="J59" s="93" t="s">
        <v>96</v>
      </c>
      <c r="K59" s="93">
        <v>36.0</v>
      </c>
      <c r="L59" s="101"/>
      <c r="M59" s="102"/>
      <c r="N59" s="103" t="s">
        <v>43</v>
      </c>
      <c r="O59" s="102"/>
      <c r="P59" s="102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A60" s="77">
        <f t="shared" si="1"/>
        <v>55</v>
      </c>
      <c r="B60" s="78" t="s">
        <v>343</v>
      </c>
      <c r="C60" s="82" t="s">
        <v>49</v>
      </c>
      <c r="D60" s="83"/>
      <c r="E60" s="113"/>
      <c r="F60" s="85" t="s">
        <v>43</v>
      </c>
      <c r="G60" s="86" t="s">
        <v>53</v>
      </c>
      <c r="H60" s="87" t="s">
        <v>344</v>
      </c>
      <c r="I60" s="82"/>
      <c r="J60" s="87" t="s">
        <v>47</v>
      </c>
      <c r="K60" s="87">
        <v>30.0</v>
      </c>
      <c r="L60" s="89"/>
      <c r="M60" s="77"/>
      <c r="N60" s="91" t="s">
        <v>60</v>
      </c>
      <c r="O60" s="77"/>
      <c r="P60" s="77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A61" s="102">
        <f t="shared" si="1"/>
        <v>56</v>
      </c>
      <c r="B61" s="94" t="s">
        <v>347</v>
      </c>
      <c r="C61" s="95" t="s">
        <v>49</v>
      </c>
      <c r="D61" s="96"/>
      <c r="E61" s="97"/>
      <c r="F61" s="98" t="s">
        <v>43</v>
      </c>
      <c r="G61" s="99" t="s">
        <v>53</v>
      </c>
      <c r="H61" s="102"/>
      <c r="I61" s="95"/>
      <c r="J61" s="93" t="s">
        <v>47</v>
      </c>
      <c r="K61" s="93">
        <v>30.0</v>
      </c>
      <c r="L61" s="101"/>
      <c r="M61" s="102"/>
      <c r="N61" s="102"/>
      <c r="O61" s="102"/>
      <c r="P61" s="102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A62" s="77">
        <f t="shared" si="1"/>
        <v>57</v>
      </c>
      <c r="B62" s="78" t="s">
        <v>351</v>
      </c>
      <c r="C62" s="82" t="s">
        <v>81</v>
      </c>
      <c r="D62" s="83"/>
      <c r="E62" s="84"/>
      <c r="F62" s="85" t="s">
        <v>43</v>
      </c>
      <c r="G62" s="86" t="s">
        <v>87</v>
      </c>
      <c r="H62" s="87" t="s">
        <v>354</v>
      </c>
      <c r="I62" s="82"/>
      <c r="J62" s="87" t="s">
        <v>89</v>
      </c>
      <c r="K62" s="87">
        <v>17.0</v>
      </c>
      <c r="L62" s="89"/>
      <c r="M62" s="77"/>
      <c r="N62" s="91" t="s">
        <v>43</v>
      </c>
      <c r="O62" s="77"/>
      <c r="P62" s="77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A63" s="102">
        <f t="shared" si="1"/>
        <v>58</v>
      </c>
      <c r="B63" s="94" t="s">
        <v>359</v>
      </c>
      <c r="C63" s="95" t="s">
        <v>49</v>
      </c>
      <c r="D63" s="96"/>
      <c r="E63" s="97"/>
      <c r="F63" s="98" t="s">
        <v>43</v>
      </c>
      <c r="G63" s="99" t="s">
        <v>53</v>
      </c>
      <c r="H63" s="93" t="s">
        <v>361</v>
      </c>
      <c r="I63" s="95"/>
      <c r="J63" s="93" t="s">
        <v>96</v>
      </c>
      <c r="K63" s="93">
        <v>35.0</v>
      </c>
      <c r="L63" s="101"/>
      <c r="M63" s="102"/>
      <c r="N63" s="103" t="s">
        <v>43</v>
      </c>
      <c r="O63" s="102"/>
      <c r="P63" s="102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A64" s="77">
        <f t="shared" si="1"/>
        <v>59</v>
      </c>
      <c r="B64" s="78" t="s">
        <v>367</v>
      </c>
      <c r="C64" s="82" t="s">
        <v>69</v>
      </c>
      <c r="D64" s="83"/>
      <c r="E64" s="84"/>
      <c r="F64" s="114" t="s">
        <v>43</v>
      </c>
      <c r="G64" s="86" t="s">
        <v>87</v>
      </c>
      <c r="H64" s="77"/>
      <c r="I64" s="82"/>
      <c r="J64" s="87" t="s">
        <v>89</v>
      </c>
      <c r="K64" s="77"/>
      <c r="L64" s="89"/>
      <c r="M64" s="77"/>
      <c r="N64" s="77"/>
      <c r="O64" s="77"/>
      <c r="P64" s="77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A65" s="102">
        <f t="shared" si="1"/>
        <v>60</v>
      </c>
      <c r="B65" s="94" t="s">
        <v>372</v>
      </c>
      <c r="C65" s="95" t="s">
        <v>49</v>
      </c>
      <c r="D65" s="96"/>
      <c r="E65" s="97"/>
      <c r="F65" s="109" t="s">
        <v>43</v>
      </c>
      <c r="G65" s="99" t="s">
        <v>53</v>
      </c>
      <c r="H65" s="102"/>
      <c r="I65" s="95"/>
      <c r="J65" s="93" t="s">
        <v>96</v>
      </c>
      <c r="K65" s="102"/>
      <c r="L65" s="101"/>
      <c r="M65" s="102"/>
      <c r="N65" s="102"/>
      <c r="O65" s="102"/>
      <c r="P65" s="102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A66" s="77">
        <f t="shared" si="1"/>
        <v>61</v>
      </c>
      <c r="B66" s="78" t="s">
        <v>378</v>
      </c>
      <c r="C66" s="82" t="s">
        <v>49</v>
      </c>
      <c r="D66" s="83"/>
      <c r="E66" s="84"/>
      <c r="F66" s="85" t="s">
        <v>43</v>
      </c>
      <c r="G66" s="86" t="s">
        <v>53</v>
      </c>
      <c r="H66" s="77"/>
      <c r="I66" s="82"/>
      <c r="J66" s="87" t="s">
        <v>174</v>
      </c>
      <c r="K66" s="87">
        <v>3.0</v>
      </c>
      <c r="L66" s="89"/>
      <c r="M66" s="77"/>
      <c r="N66" s="77"/>
      <c r="O66" s="77"/>
      <c r="P66" s="77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A67" s="102">
        <f t="shared" si="1"/>
        <v>62</v>
      </c>
      <c r="B67" s="94" t="s">
        <v>315</v>
      </c>
      <c r="C67" s="95" t="s">
        <v>49</v>
      </c>
      <c r="D67" s="96"/>
      <c r="E67" s="112"/>
      <c r="F67" s="98" t="s">
        <v>43</v>
      </c>
      <c r="G67" s="99" t="s">
        <v>53</v>
      </c>
      <c r="H67" s="93" t="s">
        <v>382</v>
      </c>
      <c r="I67" s="95"/>
      <c r="J67" s="93" t="s">
        <v>47</v>
      </c>
      <c r="K67" s="93">
        <v>25.0</v>
      </c>
      <c r="L67" s="101"/>
      <c r="M67" s="102"/>
      <c r="N67" s="103" t="s">
        <v>43</v>
      </c>
      <c r="O67" s="102"/>
      <c r="P67" s="102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A68" s="77">
        <f t="shared" si="1"/>
        <v>63</v>
      </c>
      <c r="B68" s="78" t="s">
        <v>384</v>
      </c>
      <c r="C68" s="82" t="s">
        <v>49</v>
      </c>
      <c r="D68" s="83"/>
      <c r="E68" s="84"/>
      <c r="F68" s="85" t="s">
        <v>43</v>
      </c>
      <c r="G68" s="86" t="s">
        <v>53</v>
      </c>
      <c r="H68" s="87" t="s">
        <v>386</v>
      </c>
      <c r="I68" s="82"/>
      <c r="J68" s="87" t="s">
        <v>96</v>
      </c>
      <c r="K68" s="87">
        <v>1.0</v>
      </c>
      <c r="L68" s="89"/>
      <c r="M68" s="77"/>
      <c r="N68" s="91" t="s">
        <v>43</v>
      </c>
      <c r="O68" s="77"/>
      <c r="P68" s="77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A69" s="102">
        <f t="shared" si="1"/>
        <v>64</v>
      </c>
      <c r="B69" s="94" t="s">
        <v>390</v>
      </c>
      <c r="C69" s="95" t="s">
        <v>49</v>
      </c>
      <c r="D69" s="96"/>
      <c r="E69" s="112"/>
      <c r="F69" s="98" t="s">
        <v>43</v>
      </c>
      <c r="G69" s="99" t="s">
        <v>53</v>
      </c>
      <c r="H69" s="93"/>
      <c r="I69" s="95"/>
      <c r="J69" s="93" t="s">
        <v>174</v>
      </c>
      <c r="K69" s="93" t="s">
        <v>391</v>
      </c>
      <c r="L69" s="101"/>
      <c r="M69" s="102"/>
      <c r="N69" s="102"/>
      <c r="O69" s="102"/>
      <c r="P69" s="102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A70" s="77">
        <f t="shared" si="1"/>
        <v>65</v>
      </c>
      <c r="B70" s="78" t="s">
        <v>393</v>
      </c>
      <c r="C70" s="82" t="s">
        <v>172</v>
      </c>
      <c r="D70" s="83"/>
      <c r="E70" s="84"/>
      <c r="F70" s="85" t="s">
        <v>43</v>
      </c>
      <c r="G70" s="86" t="s">
        <v>53</v>
      </c>
      <c r="H70" s="87" t="s">
        <v>396</v>
      </c>
      <c r="I70" s="82"/>
      <c r="J70" s="87" t="s">
        <v>55</v>
      </c>
      <c r="K70" s="87">
        <v>18.0</v>
      </c>
      <c r="L70" s="89"/>
      <c r="M70" s="77"/>
      <c r="N70" s="91" t="s">
        <v>43</v>
      </c>
      <c r="O70" s="77"/>
      <c r="P70" s="77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A71" s="102">
        <f t="shared" si="1"/>
        <v>66</v>
      </c>
      <c r="B71" s="94" t="s">
        <v>398</v>
      </c>
      <c r="C71" s="95" t="s">
        <v>49</v>
      </c>
      <c r="D71" s="96"/>
      <c r="E71" s="97"/>
      <c r="F71" s="109" t="s">
        <v>43</v>
      </c>
      <c r="G71" s="99" t="s">
        <v>53</v>
      </c>
      <c r="H71" s="93" t="s">
        <v>399</v>
      </c>
      <c r="I71" s="95"/>
      <c r="J71" s="93" t="s">
        <v>89</v>
      </c>
      <c r="K71" s="102"/>
      <c r="L71" s="101"/>
      <c r="M71" s="102"/>
      <c r="N71" s="102"/>
      <c r="O71" s="102"/>
      <c r="P71" s="102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A72" s="77">
        <f t="shared" si="1"/>
        <v>67</v>
      </c>
      <c r="B72" s="78" t="s">
        <v>403</v>
      </c>
      <c r="C72" s="82" t="s">
        <v>49</v>
      </c>
      <c r="D72" s="83"/>
      <c r="E72" s="84"/>
      <c r="F72" s="85" t="s">
        <v>43</v>
      </c>
      <c r="G72" s="86" t="s">
        <v>87</v>
      </c>
      <c r="H72" s="87" t="s">
        <v>405</v>
      </c>
      <c r="I72" s="82"/>
      <c r="J72" s="87" t="s">
        <v>68</v>
      </c>
      <c r="K72" s="87">
        <v>11.0</v>
      </c>
      <c r="L72" s="89"/>
      <c r="M72" s="77"/>
      <c r="N72" s="91" t="s">
        <v>43</v>
      </c>
      <c r="O72" s="77"/>
      <c r="P72" s="77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A73" s="102">
        <f t="shared" si="1"/>
        <v>68</v>
      </c>
      <c r="B73" s="94" t="s">
        <v>407</v>
      </c>
      <c r="C73" s="95" t="s">
        <v>49</v>
      </c>
      <c r="D73" s="96"/>
      <c r="E73" s="97"/>
      <c r="F73" s="98" t="s">
        <v>43</v>
      </c>
      <c r="G73" s="99" t="s">
        <v>87</v>
      </c>
      <c r="H73" s="93" t="s">
        <v>411</v>
      </c>
      <c r="I73" s="107" t="s">
        <v>5</v>
      </c>
      <c r="J73" s="93" t="s">
        <v>99</v>
      </c>
      <c r="K73" s="93">
        <v>11.0</v>
      </c>
      <c r="L73" s="101"/>
      <c r="M73" s="102"/>
      <c r="N73" s="103" t="s">
        <v>43</v>
      </c>
      <c r="O73" s="102"/>
      <c r="P73" s="102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A74" s="77">
        <f t="shared" si="1"/>
        <v>69</v>
      </c>
      <c r="B74" s="78" t="s">
        <v>413</v>
      </c>
      <c r="C74" s="82" t="s">
        <v>49</v>
      </c>
      <c r="D74" s="83"/>
      <c r="E74" s="113"/>
      <c r="F74" s="85" t="s">
        <v>60</v>
      </c>
      <c r="G74" s="86" t="s">
        <v>87</v>
      </c>
      <c r="H74" s="87" t="s">
        <v>414</v>
      </c>
      <c r="I74" s="82"/>
      <c r="J74" s="87" t="s">
        <v>47</v>
      </c>
      <c r="K74" s="87">
        <v>1.0</v>
      </c>
      <c r="L74" s="87"/>
      <c r="M74" s="115" t="s">
        <v>115</v>
      </c>
      <c r="N74" s="114" t="s">
        <v>43</v>
      </c>
      <c r="O74" s="77"/>
      <c r="P74" s="77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A75" s="102">
        <f t="shared" si="1"/>
        <v>70</v>
      </c>
      <c r="B75" s="94" t="s">
        <v>419</v>
      </c>
      <c r="C75" s="95" t="s">
        <v>9</v>
      </c>
      <c r="D75" s="96"/>
      <c r="E75" s="97"/>
      <c r="F75" s="98" t="s">
        <v>43</v>
      </c>
      <c r="G75" s="99" t="s">
        <v>87</v>
      </c>
      <c r="H75" s="93" t="s">
        <v>420</v>
      </c>
      <c r="I75" s="95"/>
      <c r="J75" s="93" t="s">
        <v>96</v>
      </c>
      <c r="K75" s="93">
        <v>30.0</v>
      </c>
      <c r="L75" s="101"/>
      <c r="M75" s="102"/>
      <c r="N75" s="103" t="s">
        <v>43</v>
      </c>
      <c r="O75" s="102"/>
      <c r="P75" s="102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A76" s="77">
        <f t="shared" si="1"/>
        <v>71</v>
      </c>
      <c r="B76" s="78" t="s">
        <v>422</v>
      </c>
      <c r="C76" s="82" t="s">
        <v>5</v>
      </c>
      <c r="D76" s="83"/>
      <c r="E76" s="84"/>
      <c r="F76" s="85" t="s">
        <v>43</v>
      </c>
      <c r="G76" s="86" t="s">
        <v>87</v>
      </c>
      <c r="H76" s="87" t="s">
        <v>423</v>
      </c>
      <c r="I76" s="82"/>
      <c r="J76" s="87" t="s">
        <v>51</v>
      </c>
      <c r="K76" s="87">
        <v>4.0</v>
      </c>
      <c r="L76" s="89"/>
      <c r="M76" s="77"/>
      <c r="N76" s="91" t="s">
        <v>43</v>
      </c>
      <c r="O76" s="77"/>
      <c r="P76" s="77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A77" s="102">
        <f t="shared" si="1"/>
        <v>72</v>
      </c>
      <c r="B77" s="94" t="s">
        <v>427</v>
      </c>
      <c r="C77" s="95" t="s">
        <v>5</v>
      </c>
      <c r="D77" s="96"/>
      <c r="E77" s="97"/>
      <c r="F77" s="98" t="s">
        <v>43</v>
      </c>
      <c r="G77" s="99" t="s">
        <v>87</v>
      </c>
      <c r="H77" s="102"/>
      <c r="I77" s="95"/>
      <c r="J77" s="93" t="s">
        <v>96</v>
      </c>
      <c r="K77" s="93">
        <v>6.0</v>
      </c>
      <c r="L77" s="101"/>
      <c r="M77" s="102"/>
      <c r="N77" s="102"/>
      <c r="O77" s="102"/>
      <c r="P77" s="102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A78" s="77">
        <f t="shared" si="1"/>
        <v>73</v>
      </c>
      <c r="B78" s="78" t="s">
        <v>429</v>
      </c>
      <c r="C78" s="82" t="s">
        <v>49</v>
      </c>
      <c r="D78" s="83"/>
      <c r="E78" s="84"/>
      <c r="F78" s="85" t="s">
        <v>43</v>
      </c>
      <c r="G78" s="86" t="s">
        <v>53</v>
      </c>
      <c r="H78" s="87" t="s">
        <v>433</v>
      </c>
      <c r="I78" s="82"/>
      <c r="J78" s="87" t="s">
        <v>68</v>
      </c>
      <c r="K78" s="87">
        <v>39.0</v>
      </c>
      <c r="L78" s="89"/>
      <c r="M78" s="77"/>
      <c r="N78" s="91" t="s">
        <v>43</v>
      </c>
      <c r="O78" s="77"/>
      <c r="P78" s="77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A79" s="102">
        <f t="shared" si="1"/>
        <v>74</v>
      </c>
      <c r="B79" s="94" t="s">
        <v>437</v>
      </c>
      <c r="C79" s="95" t="s">
        <v>49</v>
      </c>
      <c r="D79" s="96"/>
      <c r="E79" s="97"/>
      <c r="F79" s="98" t="s">
        <v>43</v>
      </c>
      <c r="G79" s="99" t="s">
        <v>53</v>
      </c>
      <c r="H79" s="93" t="s">
        <v>438</v>
      </c>
      <c r="I79" s="95"/>
      <c r="J79" s="93" t="s">
        <v>68</v>
      </c>
      <c r="K79" s="93">
        <v>32.0</v>
      </c>
      <c r="L79" s="101"/>
      <c r="M79" s="102"/>
      <c r="N79" s="103" t="s">
        <v>43</v>
      </c>
      <c r="O79" s="102"/>
      <c r="P79" s="102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A80" s="77">
        <f t="shared" si="1"/>
        <v>75</v>
      </c>
      <c r="B80" s="78" t="s">
        <v>440</v>
      </c>
      <c r="C80" s="82" t="s">
        <v>49</v>
      </c>
      <c r="D80" s="83"/>
      <c r="E80" s="84"/>
      <c r="F80" s="85" t="s">
        <v>43</v>
      </c>
      <c r="G80" s="86" t="s">
        <v>53</v>
      </c>
      <c r="H80" s="77"/>
      <c r="I80" s="82"/>
      <c r="J80" s="87" t="s">
        <v>51</v>
      </c>
      <c r="K80" s="87">
        <v>24.0</v>
      </c>
      <c r="L80" s="89"/>
      <c r="M80" s="77"/>
      <c r="N80" s="77"/>
      <c r="O80" s="77"/>
      <c r="P80" s="77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A81" s="102">
        <f t="shared" si="1"/>
        <v>76</v>
      </c>
      <c r="B81" s="94" t="s">
        <v>445</v>
      </c>
      <c r="C81" s="95" t="s">
        <v>49</v>
      </c>
      <c r="D81" s="96"/>
      <c r="E81" s="97"/>
      <c r="F81" s="98" t="s">
        <v>43</v>
      </c>
      <c r="G81" s="99" t="s">
        <v>53</v>
      </c>
      <c r="H81" s="93" t="s">
        <v>446</v>
      </c>
      <c r="I81" s="95"/>
      <c r="J81" s="93" t="s">
        <v>89</v>
      </c>
      <c r="K81" s="93">
        <v>21.0</v>
      </c>
      <c r="L81" s="101"/>
      <c r="M81" s="102"/>
      <c r="N81" s="103" t="s">
        <v>43</v>
      </c>
      <c r="O81" s="102"/>
      <c r="P81" s="102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A82" s="77">
        <f t="shared" si="1"/>
        <v>77</v>
      </c>
      <c r="B82" s="78" t="s">
        <v>450</v>
      </c>
      <c r="C82" s="82" t="s">
        <v>49</v>
      </c>
      <c r="D82" s="83"/>
      <c r="E82" s="84"/>
      <c r="F82" s="85" t="s">
        <v>60</v>
      </c>
      <c r="G82" s="86" t="s">
        <v>53</v>
      </c>
      <c r="H82" s="87" t="s">
        <v>454</v>
      </c>
      <c r="I82" s="82"/>
      <c r="J82" s="87" t="s">
        <v>99</v>
      </c>
      <c r="K82" s="87" t="s">
        <v>455</v>
      </c>
      <c r="L82" s="89"/>
      <c r="M82" s="77"/>
      <c r="N82" s="91" t="s">
        <v>43</v>
      </c>
      <c r="O82" s="77"/>
      <c r="P82" s="77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A83" s="102">
        <f t="shared" si="1"/>
        <v>78</v>
      </c>
      <c r="B83" s="94" t="s">
        <v>457</v>
      </c>
      <c r="C83" s="95" t="s">
        <v>49</v>
      </c>
      <c r="D83" s="96"/>
      <c r="E83" s="97"/>
      <c r="F83" s="98" t="s">
        <v>43</v>
      </c>
      <c r="G83" s="99" t="s">
        <v>53</v>
      </c>
      <c r="H83" s="93" t="s">
        <v>458</v>
      </c>
      <c r="I83" s="95"/>
      <c r="J83" s="93" t="s">
        <v>51</v>
      </c>
      <c r="K83" s="93">
        <v>24.0</v>
      </c>
      <c r="L83" s="101"/>
      <c r="M83" s="102"/>
      <c r="N83" s="103" t="s">
        <v>43</v>
      </c>
      <c r="O83" s="102"/>
      <c r="P83" s="102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A84" s="77">
        <f t="shared" si="1"/>
        <v>79</v>
      </c>
      <c r="B84" s="78" t="s">
        <v>461</v>
      </c>
      <c r="C84" s="82" t="s">
        <v>49</v>
      </c>
      <c r="D84" s="83"/>
      <c r="E84" s="84"/>
      <c r="F84" s="85" t="s">
        <v>60</v>
      </c>
      <c r="G84" s="86" t="s">
        <v>49</v>
      </c>
      <c r="H84" s="87" t="s">
        <v>463</v>
      </c>
      <c r="I84" s="82"/>
      <c r="J84" s="87" t="s">
        <v>55</v>
      </c>
      <c r="K84" s="87">
        <v>26.0</v>
      </c>
      <c r="L84" s="89"/>
      <c r="M84" s="77"/>
      <c r="N84" s="91" t="s">
        <v>43</v>
      </c>
      <c r="O84" s="77"/>
      <c r="P84" s="77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A85" s="102">
        <f t="shared" si="1"/>
        <v>80</v>
      </c>
      <c r="B85" s="94" t="s">
        <v>465</v>
      </c>
      <c r="C85" s="95" t="s">
        <v>49</v>
      </c>
      <c r="D85" s="96"/>
      <c r="E85" s="97"/>
      <c r="F85" s="98" t="s">
        <v>203</v>
      </c>
      <c r="G85" s="99" t="s">
        <v>49</v>
      </c>
      <c r="H85" s="93" t="s">
        <v>467</v>
      </c>
      <c r="I85" s="95"/>
      <c r="J85" s="93" t="s">
        <v>55</v>
      </c>
      <c r="K85" s="93">
        <v>10.0</v>
      </c>
      <c r="L85" s="101"/>
      <c r="M85" s="102"/>
      <c r="N85" s="103" t="s">
        <v>60</v>
      </c>
      <c r="O85" s="102"/>
      <c r="P85" s="102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A86" s="77">
        <f t="shared" si="1"/>
        <v>81</v>
      </c>
      <c r="B86" s="78" t="s">
        <v>471</v>
      </c>
      <c r="C86" s="111" t="s">
        <v>5</v>
      </c>
      <c r="D86" s="83"/>
      <c r="E86" s="84"/>
      <c r="F86" s="85" t="s">
        <v>43</v>
      </c>
      <c r="G86" s="86" t="s">
        <v>87</v>
      </c>
      <c r="H86" s="87" t="s">
        <v>472</v>
      </c>
      <c r="I86" s="111" t="s">
        <v>5</v>
      </c>
      <c r="J86" s="87" t="s">
        <v>99</v>
      </c>
      <c r="K86" s="87" t="s">
        <v>473</v>
      </c>
      <c r="L86" s="89"/>
      <c r="M86" s="77"/>
      <c r="N86" s="91" t="s">
        <v>43</v>
      </c>
      <c r="O86" s="77"/>
      <c r="P86" s="77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A87" s="102">
        <f t="shared" si="1"/>
        <v>82</v>
      </c>
      <c r="B87" s="94" t="s">
        <v>475</v>
      </c>
      <c r="C87" s="95" t="s">
        <v>49</v>
      </c>
      <c r="D87" s="96"/>
      <c r="E87" s="97"/>
      <c r="F87" s="98" t="s">
        <v>43</v>
      </c>
      <c r="G87" s="99" t="s">
        <v>53</v>
      </c>
      <c r="H87" s="93" t="s">
        <v>477</v>
      </c>
      <c r="I87" s="95"/>
      <c r="J87" s="93" t="s">
        <v>96</v>
      </c>
      <c r="K87" s="93">
        <v>1.0</v>
      </c>
      <c r="L87" s="101"/>
      <c r="M87" s="102"/>
      <c r="N87" s="103" t="s">
        <v>43</v>
      </c>
      <c r="O87" s="102"/>
      <c r="P87" s="102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A88" s="77">
        <f t="shared" si="1"/>
        <v>83</v>
      </c>
      <c r="B88" s="78" t="s">
        <v>479</v>
      </c>
      <c r="C88" s="82" t="s">
        <v>49</v>
      </c>
      <c r="D88" s="83"/>
      <c r="E88" s="84"/>
      <c r="F88" s="85" t="s">
        <v>43</v>
      </c>
      <c r="G88" s="86" t="s">
        <v>53</v>
      </c>
      <c r="H88" s="87" t="s">
        <v>480</v>
      </c>
      <c r="I88" s="82"/>
      <c r="J88" s="87" t="s">
        <v>68</v>
      </c>
      <c r="K88" s="87">
        <v>27.0</v>
      </c>
      <c r="L88" s="89"/>
      <c r="M88" s="77"/>
      <c r="N88" s="91" t="s">
        <v>43</v>
      </c>
      <c r="O88" s="77"/>
      <c r="P88" s="77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A89" s="102">
        <f t="shared" si="1"/>
        <v>84</v>
      </c>
      <c r="B89" s="94" t="s">
        <v>485</v>
      </c>
      <c r="C89" s="95" t="s">
        <v>49</v>
      </c>
      <c r="D89" s="96"/>
      <c r="E89" s="112"/>
      <c r="F89" s="98" t="s">
        <v>43</v>
      </c>
      <c r="G89" s="99" t="s">
        <v>87</v>
      </c>
      <c r="H89" s="93" t="s">
        <v>487</v>
      </c>
      <c r="I89" s="95" t="s">
        <v>88</v>
      </c>
      <c r="J89" s="93" t="s">
        <v>174</v>
      </c>
      <c r="K89" s="93">
        <v>27.0</v>
      </c>
      <c r="L89" s="101"/>
      <c r="M89" s="102"/>
      <c r="N89" s="103" t="s">
        <v>43</v>
      </c>
      <c r="O89" s="102"/>
      <c r="P89" s="102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A90" s="77">
        <f t="shared" si="1"/>
        <v>85</v>
      </c>
      <c r="B90" s="78" t="s">
        <v>489</v>
      </c>
      <c r="C90" s="82" t="s">
        <v>49</v>
      </c>
      <c r="D90" s="83"/>
      <c r="E90" s="84"/>
      <c r="F90" s="85" t="s">
        <v>60</v>
      </c>
      <c r="G90" s="86" t="s">
        <v>49</v>
      </c>
      <c r="H90" s="87" t="s">
        <v>491</v>
      </c>
      <c r="I90" s="82"/>
      <c r="J90" s="87" t="s">
        <v>96</v>
      </c>
      <c r="K90" s="87">
        <v>8.0</v>
      </c>
      <c r="L90" s="89"/>
      <c r="M90" s="77"/>
      <c r="N90" s="91" t="s">
        <v>43</v>
      </c>
      <c r="O90" s="77"/>
      <c r="P90" s="77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A91" s="102">
        <f t="shared" si="1"/>
        <v>86</v>
      </c>
      <c r="B91" s="94" t="s">
        <v>496</v>
      </c>
      <c r="C91" s="95" t="s">
        <v>9</v>
      </c>
      <c r="D91" s="96"/>
      <c r="E91" s="97"/>
      <c r="F91" s="98" t="s">
        <v>43</v>
      </c>
      <c r="G91" s="99" t="s">
        <v>87</v>
      </c>
      <c r="H91" s="102"/>
      <c r="I91" s="95"/>
      <c r="J91" s="93" t="s">
        <v>68</v>
      </c>
      <c r="K91" s="93">
        <v>24.0</v>
      </c>
      <c r="L91" s="101"/>
      <c r="M91" s="102"/>
      <c r="N91" s="102"/>
      <c r="O91" s="102"/>
      <c r="P91" s="102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A92" s="77">
        <f t="shared" si="1"/>
        <v>87</v>
      </c>
      <c r="B92" s="78" t="s">
        <v>500</v>
      </c>
      <c r="C92" s="82" t="s">
        <v>5</v>
      </c>
      <c r="D92" s="83"/>
      <c r="E92" s="84"/>
      <c r="F92" s="114" t="s">
        <v>43</v>
      </c>
      <c r="G92" s="86" t="s">
        <v>87</v>
      </c>
      <c r="H92" s="77"/>
      <c r="I92" s="82"/>
      <c r="J92" s="87" t="s">
        <v>89</v>
      </c>
      <c r="K92" s="77"/>
      <c r="L92" s="89"/>
      <c r="M92" s="77"/>
      <c r="N92" s="77"/>
      <c r="O92" s="77"/>
      <c r="P92" s="77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A93" s="102">
        <f t="shared" si="1"/>
        <v>88</v>
      </c>
      <c r="B93" s="94" t="s">
        <v>503</v>
      </c>
      <c r="C93" s="95" t="s">
        <v>49</v>
      </c>
      <c r="D93" s="96"/>
      <c r="E93" s="97"/>
      <c r="F93" s="98" t="s">
        <v>60</v>
      </c>
      <c r="G93" s="99" t="s">
        <v>53</v>
      </c>
      <c r="H93" s="93" t="s">
        <v>504</v>
      </c>
      <c r="I93" s="95"/>
      <c r="J93" s="93" t="s">
        <v>89</v>
      </c>
      <c r="K93" s="93">
        <v>22.0</v>
      </c>
      <c r="L93" s="101"/>
      <c r="M93" s="102"/>
      <c r="N93" s="103" t="s">
        <v>43</v>
      </c>
      <c r="O93" s="102"/>
      <c r="P93" s="102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A94" s="77">
        <f t="shared" si="1"/>
        <v>89</v>
      </c>
      <c r="B94" s="78" t="s">
        <v>508</v>
      </c>
      <c r="C94" s="82" t="s">
        <v>49</v>
      </c>
      <c r="D94" s="83"/>
      <c r="E94" s="84"/>
      <c r="F94" s="85" t="s">
        <v>60</v>
      </c>
      <c r="G94" s="86" t="s">
        <v>53</v>
      </c>
      <c r="H94" s="87" t="s">
        <v>510</v>
      </c>
      <c r="I94" s="82"/>
      <c r="J94" s="87" t="s">
        <v>55</v>
      </c>
      <c r="K94" s="87">
        <v>11.0</v>
      </c>
      <c r="L94" s="89"/>
      <c r="M94" s="77"/>
      <c r="N94" s="91" t="s">
        <v>43</v>
      </c>
      <c r="O94" s="77"/>
      <c r="P94" s="77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A95" s="102">
        <f t="shared" si="1"/>
        <v>90</v>
      </c>
      <c r="B95" s="94" t="s">
        <v>512</v>
      </c>
      <c r="C95" s="95" t="s">
        <v>5</v>
      </c>
      <c r="D95" s="96"/>
      <c r="E95" s="97"/>
      <c r="F95" s="98" t="s">
        <v>43</v>
      </c>
      <c r="G95" s="99" t="s">
        <v>87</v>
      </c>
      <c r="H95" s="93" t="s">
        <v>515</v>
      </c>
      <c r="I95" s="95" t="s">
        <v>5</v>
      </c>
      <c r="J95" s="93" t="s">
        <v>89</v>
      </c>
      <c r="K95" s="93">
        <v>21.0</v>
      </c>
      <c r="L95" s="101"/>
      <c r="M95" s="102"/>
      <c r="N95" s="103" t="s">
        <v>43</v>
      </c>
      <c r="O95" s="102"/>
      <c r="P95" s="102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A96" s="77">
        <f t="shared" si="1"/>
        <v>91</v>
      </c>
      <c r="B96" s="78" t="s">
        <v>518</v>
      </c>
      <c r="C96" s="82" t="s">
        <v>9</v>
      </c>
      <c r="D96" s="83"/>
      <c r="E96" s="84"/>
      <c r="F96" s="114" t="s">
        <v>43</v>
      </c>
      <c r="G96" s="86" t="s">
        <v>87</v>
      </c>
      <c r="H96" s="77"/>
      <c r="I96" s="82"/>
      <c r="J96" s="87" t="s">
        <v>47</v>
      </c>
      <c r="K96" s="77"/>
      <c r="L96" s="89"/>
      <c r="M96" s="77"/>
      <c r="N96" s="77"/>
      <c r="O96" s="77"/>
      <c r="P96" s="77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A97" s="102">
        <f t="shared" si="1"/>
        <v>92</v>
      </c>
      <c r="B97" s="94" t="s">
        <v>520</v>
      </c>
      <c r="C97" s="95" t="s">
        <v>49</v>
      </c>
      <c r="D97" s="96"/>
      <c r="E97" s="97"/>
      <c r="F97" s="98" t="s">
        <v>43</v>
      </c>
      <c r="G97" s="99" t="s">
        <v>53</v>
      </c>
      <c r="H97" s="93" t="s">
        <v>522</v>
      </c>
      <c r="I97" s="95"/>
      <c r="J97" s="93" t="s">
        <v>96</v>
      </c>
      <c r="K97" s="93" t="s">
        <v>196</v>
      </c>
      <c r="L97" s="101"/>
      <c r="M97" s="102"/>
      <c r="N97" s="103" t="s">
        <v>60</v>
      </c>
      <c r="O97" s="102"/>
      <c r="P97" s="102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A98" s="77">
        <f t="shared" si="1"/>
        <v>93</v>
      </c>
      <c r="B98" s="78" t="s">
        <v>525</v>
      </c>
      <c r="C98" s="82" t="s">
        <v>9</v>
      </c>
      <c r="D98" s="83"/>
      <c r="E98" s="84"/>
      <c r="F98" s="114" t="s">
        <v>43</v>
      </c>
      <c r="G98" s="86" t="s">
        <v>87</v>
      </c>
      <c r="H98" s="77"/>
      <c r="I98" s="82"/>
      <c r="J98" s="87" t="s">
        <v>51</v>
      </c>
      <c r="K98" s="77"/>
      <c r="L98" s="89"/>
      <c r="M98" s="77"/>
      <c r="N98" s="77"/>
      <c r="O98" s="77"/>
      <c r="P98" s="77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A99" s="102">
        <f t="shared" si="1"/>
        <v>94</v>
      </c>
      <c r="B99" s="94" t="s">
        <v>528</v>
      </c>
      <c r="C99" s="95" t="s">
        <v>49</v>
      </c>
      <c r="D99" s="96"/>
      <c r="E99" s="97"/>
      <c r="F99" s="98" t="s">
        <v>43</v>
      </c>
      <c r="G99" s="99" t="s">
        <v>53</v>
      </c>
      <c r="H99" s="93" t="s">
        <v>529</v>
      </c>
      <c r="I99" s="95"/>
      <c r="J99" s="93" t="s">
        <v>99</v>
      </c>
      <c r="K99" s="93">
        <v>36.0</v>
      </c>
      <c r="L99" s="101"/>
      <c r="M99" s="102"/>
      <c r="N99" s="103" t="s">
        <v>43</v>
      </c>
      <c r="O99" s="102"/>
      <c r="P99" s="102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A100" s="77">
        <f t="shared" si="1"/>
        <v>95</v>
      </c>
      <c r="B100" s="78" t="s">
        <v>531</v>
      </c>
      <c r="C100" s="82" t="s">
        <v>49</v>
      </c>
      <c r="D100" s="83"/>
      <c r="E100" s="84"/>
      <c r="F100" s="85" t="s">
        <v>43</v>
      </c>
      <c r="G100" s="86" t="s">
        <v>53</v>
      </c>
      <c r="H100" s="87" t="s">
        <v>532</v>
      </c>
      <c r="I100" s="82" t="s">
        <v>88</v>
      </c>
      <c r="J100" s="87" t="s">
        <v>89</v>
      </c>
      <c r="K100" s="87">
        <v>23.0</v>
      </c>
      <c r="L100" s="89"/>
      <c r="M100" s="77"/>
      <c r="N100" s="91" t="s">
        <v>60</v>
      </c>
      <c r="O100" s="77"/>
      <c r="P100" s="77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A101" s="102">
        <f t="shared" si="1"/>
        <v>96</v>
      </c>
      <c r="B101" s="94" t="s">
        <v>537</v>
      </c>
      <c r="C101" s="95" t="s">
        <v>9</v>
      </c>
      <c r="D101" s="96"/>
      <c r="E101" s="97"/>
      <c r="F101" s="109" t="s">
        <v>43</v>
      </c>
      <c r="G101" s="99" t="s">
        <v>87</v>
      </c>
      <c r="H101" s="102"/>
      <c r="I101" s="95"/>
      <c r="J101" s="93" t="s">
        <v>99</v>
      </c>
      <c r="K101" s="102"/>
      <c r="L101" s="101"/>
      <c r="M101" s="102"/>
      <c r="N101" s="102"/>
      <c r="O101" s="102"/>
      <c r="P101" s="102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A102" s="77">
        <f t="shared" si="1"/>
        <v>97</v>
      </c>
      <c r="B102" s="116" t="s">
        <v>540</v>
      </c>
      <c r="C102" s="82" t="s">
        <v>5</v>
      </c>
      <c r="D102" s="83"/>
      <c r="E102" s="84"/>
      <c r="F102" s="85" t="s">
        <v>43</v>
      </c>
      <c r="G102" s="86" t="s">
        <v>53</v>
      </c>
      <c r="H102" s="87" t="s">
        <v>542</v>
      </c>
      <c r="I102" s="82"/>
      <c r="J102" s="87" t="s">
        <v>99</v>
      </c>
      <c r="K102" s="87">
        <v>35.0</v>
      </c>
      <c r="L102" s="89"/>
      <c r="M102" s="77"/>
      <c r="N102" s="91" t="s">
        <v>43</v>
      </c>
      <c r="O102" s="77"/>
      <c r="P102" s="77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A103" s="102">
        <f t="shared" si="1"/>
        <v>98</v>
      </c>
      <c r="B103" s="94" t="s">
        <v>546</v>
      </c>
      <c r="C103" s="95" t="s">
        <v>49</v>
      </c>
      <c r="D103" s="96"/>
      <c r="E103" s="97"/>
      <c r="F103" s="98" t="s">
        <v>60</v>
      </c>
      <c r="G103" s="99" t="s">
        <v>49</v>
      </c>
      <c r="H103" s="93" t="s">
        <v>547</v>
      </c>
      <c r="I103" s="95"/>
      <c r="J103" s="93" t="s">
        <v>68</v>
      </c>
      <c r="K103" s="93">
        <v>22.0</v>
      </c>
      <c r="L103" s="101"/>
      <c r="M103" s="102"/>
      <c r="N103" s="103" t="s">
        <v>60</v>
      </c>
      <c r="O103" s="102"/>
      <c r="P103" s="102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A104" s="77">
        <f t="shared" si="1"/>
        <v>99</v>
      </c>
      <c r="B104" s="78" t="s">
        <v>553</v>
      </c>
      <c r="C104" s="82" t="s">
        <v>49</v>
      </c>
      <c r="D104" s="83"/>
      <c r="E104" s="84"/>
      <c r="F104" s="114" t="s">
        <v>43</v>
      </c>
      <c r="G104" s="86" t="s">
        <v>53</v>
      </c>
      <c r="H104" s="77"/>
      <c r="I104" s="82"/>
      <c r="J104" s="87" t="s">
        <v>68</v>
      </c>
      <c r="K104" s="77"/>
      <c r="L104" s="89"/>
      <c r="M104" s="77"/>
      <c r="N104" s="77"/>
      <c r="O104" s="77"/>
      <c r="P104" s="77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A105" s="102">
        <f t="shared" si="1"/>
        <v>100</v>
      </c>
      <c r="B105" s="94" t="s">
        <v>556</v>
      </c>
      <c r="C105" s="95" t="s">
        <v>49</v>
      </c>
      <c r="D105" s="96"/>
      <c r="E105" s="97"/>
      <c r="F105" s="98" t="s">
        <v>43</v>
      </c>
      <c r="G105" s="99" t="s">
        <v>53</v>
      </c>
      <c r="H105" s="102"/>
      <c r="I105" s="95"/>
      <c r="J105" s="93" t="s">
        <v>51</v>
      </c>
      <c r="K105" s="93">
        <v>6.0</v>
      </c>
      <c r="L105" s="101"/>
      <c r="M105" s="102"/>
      <c r="N105" s="102"/>
      <c r="O105" s="102"/>
      <c r="P105" s="102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A106" s="77">
        <f t="shared" si="1"/>
        <v>101</v>
      </c>
      <c r="B106" s="78" t="s">
        <v>561</v>
      </c>
      <c r="C106" s="111" t="s">
        <v>5</v>
      </c>
      <c r="D106" s="83"/>
      <c r="E106" s="84"/>
      <c r="F106" s="85" t="s">
        <v>43</v>
      </c>
      <c r="G106" s="86" t="s">
        <v>87</v>
      </c>
      <c r="H106" s="87" t="s">
        <v>562</v>
      </c>
      <c r="I106" s="82"/>
      <c r="J106" s="87" t="s">
        <v>99</v>
      </c>
      <c r="K106" s="87">
        <v>39.0</v>
      </c>
      <c r="L106" s="89"/>
      <c r="M106" s="77"/>
      <c r="N106" s="91" t="s">
        <v>43</v>
      </c>
      <c r="O106" s="77"/>
      <c r="P106" s="77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A107" s="102">
        <f t="shared" si="1"/>
        <v>102</v>
      </c>
      <c r="B107" s="94" t="s">
        <v>294</v>
      </c>
      <c r="C107" s="95" t="s">
        <v>88</v>
      </c>
      <c r="D107" s="96"/>
      <c r="E107" s="112"/>
      <c r="F107" s="98" t="s">
        <v>43</v>
      </c>
      <c r="G107" s="99" t="s">
        <v>53</v>
      </c>
      <c r="H107" s="93" t="s">
        <v>564</v>
      </c>
      <c r="I107" s="95"/>
      <c r="J107" s="93" t="s">
        <v>47</v>
      </c>
      <c r="K107" s="93">
        <v>24.0</v>
      </c>
      <c r="L107" s="101"/>
      <c r="M107" s="102"/>
      <c r="N107" s="103" t="s">
        <v>43</v>
      </c>
      <c r="O107" s="102"/>
      <c r="P107" s="102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A108" s="77">
        <f t="shared" si="1"/>
        <v>103</v>
      </c>
      <c r="B108" s="78" t="s">
        <v>570</v>
      </c>
      <c r="C108" s="82" t="s">
        <v>49</v>
      </c>
      <c r="D108" s="83"/>
      <c r="E108" s="84"/>
      <c r="F108" s="85" t="s">
        <v>43</v>
      </c>
      <c r="G108" s="86" t="s">
        <v>53</v>
      </c>
      <c r="H108" s="87" t="s">
        <v>571</v>
      </c>
      <c r="I108" s="82"/>
      <c r="J108" s="87" t="s">
        <v>68</v>
      </c>
      <c r="K108" s="87">
        <v>13.0</v>
      </c>
      <c r="L108" s="89"/>
      <c r="M108" s="77"/>
      <c r="N108" s="91" t="s">
        <v>60</v>
      </c>
      <c r="O108" s="77"/>
      <c r="P108" s="77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A109" s="102">
        <f t="shared" si="1"/>
        <v>104</v>
      </c>
      <c r="B109" s="94" t="s">
        <v>574</v>
      </c>
      <c r="C109" s="95" t="s">
        <v>49</v>
      </c>
      <c r="D109" s="96"/>
      <c r="E109" s="97"/>
      <c r="F109" s="98" t="s">
        <v>43</v>
      </c>
      <c r="G109" s="99" t="s">
        <v>53</v>
      </c>
      <c r="H109" s="102"/>
      <c r="I109" s="95"/>
      <c r="J109" s="93" t="s">
        <v>68</v>
      </c>
      <c r="K109" s="93">
        <v>4.0</v>
      </c>
      <c r="L109" s="101"/>
      <c r="M109" s="102"/>
      <c r="N109" s="102"/>
      <c r="O109" s="102"/>
      <c r="P109" s="102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A110" s="77">
        <f t="shared" si="1"/>
        <v>105</v>
      </c>
      <c r="B110" s="78" t="s">
        <v>579</v>
      </c>
      <c r="C110" s="82" t="s">
        <v>580</v>
      </c>
      <c r="D110" s="83"/>
      <c r="E110" s="84"/>
      <c r="F110" s="85" t="s">
        <v>43</v>
      </c>
      <c r="G110" s="86" t="s">
        <v>87</v>
      </c>
      <c r="H110" s="87" t="s">
        <v>581</v>
      </c>
      <c r="I110" s="82"/>
      <c r="J110" s="87" t="s">
        <v>68</v>
      </c>
      <c r="K110" s="87">
        <v>13.0</v>
      </c>
      <c r="L110" s="89"/>
      <c r="M110" s="77"/>
      <c r="N110" s="91" t="s">
        <v>43</v>
      </c>
      <c r="O110" s="77"/>
      <c r="P110" s="77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A111" s="102">
        <f t="shared" si="1"/>
        <v>106</v>
      </c>
      <c r="B111" s="94" t="s">
        <v>583</v>
      </c>
      <c r="C111" s="95" t="s">
        <v>5</v>
      </c>
      <c r="D111" s="96"/>
      <c r="E111" s="97"/>
      <c r="F111" s="109" t="s">
        <v>43</v>
      </c>
      <c r="G111" s="99" t="s">
        <v>87</v>
      </c>
      <c r="H111" s="102"/>
      <c r="I111" s="95"/>
      <c r="J111" s="93" t="s">
        <v>99</v>
      </c>
      <c r="K111" s="102"/>
      <c r="L111" s="101"/>
      <c r="M111" s="102"/>
      <c r="N111" s="102"/>
      <c r="O111" s="102"/>
      <c r="P111" s="102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A112" s="77">
        <f t="shared" si="1"/>
        <v>107</v>
      </c>
      <c r="B112" s="78" t="s">
        <v>587</v>
      </c>
      <c r="C112" s="82" t="s">
        <v>49</v>
      </c>
      <c r="D112" s="83"/>
      <c r="E112" s="84"/>
      <c r="F112" s="85" t="s">
        <v>43</v>
      </c>
      <c r="G112" s="86" t="s">
        <v>53</v>
      </c>
      <c r="H112" s="77"/>
      <c r="I112" s="82"/>
      <c r="J112" s="87" t="s">
        <v>89</v>
      </c>
      <c r="K112" s="87">
        <v>6.0</v>
      </c>
      <c r="L112" s="89"/>
      <c r="M112" s="77"/>
      <c r="N112" s="77"/>
      <c r="O112" s="77"/>
      <c r="P112" s="77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A113" s="102">
        <f t="shared" si="1"/>
        <v>108</v>
      </c>
      <c r="B113" s="94" t="s">
        <v>590</v>
      </c>
      <c r="C113" s="95" t="s">
        <v>49</v>
      </c>
      <c r="D113" s="96"/>
      <c r="E113" s="97"/>
      <c r="F113" s="98" t="s">
        <v>43</v>
      </c>
      <c r="G113" s="99" t="s">
        <v>53</v>
      </c>
      <c r="H113" s="93" t="s">
        <v>593</v>
      </c>
      <c r="I113" s="95"/>
      <c r="J113" s="93" t="s">
        <v>51</v>
      </c>
      <c r="K113" s="93">
        <v>29.0</v>
      </c>
      <c r="L113" s="101"/>
      <c r="M113" s="102"/>
      <c r="N113" s="103" t="s">
        <v>43</v>
      </c>
      <c r="O113" s="102"/>
      <c r="P113" s="102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A114" s="77">
        <f t="shared" si="1"/>
        <v>109</v>
      </c>
      <c r="B114" s="78" t="s">
        <v>595</v>
      </c>
      <c r="C114" s="82" t="s">
        <v>49</v>
      </c>
      <c r="D114" s="83"/>
      <c r="E114" s="84"/>
      <c r="F114" s="85" t="s">
        <v>43</v>
      </c>
      <c r="G114" s="86" t="s">
        <v>53</v>
      </c>
      <c r="H114" s="87" t="s">
        <v>597</v>
      </c>
      <c r="I114" s="82"/>
      <c r="J114" s="87" t="s">
        <v>99</v>
      </c>
      <c r="K114" s="87">
        <v>17.0</v>
      </c>
      <c r="L114" s="89"/>
      <c r="M114" s="77"/>
      <c r="N114" s="91" t="s">
        <v>43</v>
      </c>
      <c r="O114" s="77"/>
      <c r="P114" s="77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A115" s="102">
        <f t="shared" si="1"/>
        <v>110</v>
      </c>
      <c r="B115" s="94" t="s">
        <v>600</v>
      </c>
      <c r="C115" s="95" t="s">
        <v>49</v>
      </c>
      <c r="D115" s="96"/>
      <c r="E115" s="112"/>
      <c r="F115" s="98" t="s">
        <v>43</v>
      </c>
      <c r="G115" s="99" t="s">
        <v>53</v>
      </c>
      <c r="H115" s="93" t="s">
        <v>601</v>
      </c>
      <c r="I115" s="95"/>
      <c r="J115" s="93" t="s">
        <v>47</v>
      </c>
      <c r="K115" s="93">
        <v>8.0</v>
      </c>
      <c r="L115" s="101"/>
      <c r="M115" s="102"/>
      <c r="N115" s="112"/>
      <c r="O115" s="102"/>
      <c r="P115" s="102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A116" s="77">
        <f t="shared" si="1"/>
        <v>111</v>
      </c>
      <c r="B116" s="78" t="s">
        <v>605</v>
      </c>
      <c r="C116" s="82" t="s">
        <v>9</v>
      </c>
      <c r="D116" s="83"/>
      <c r="E116" s="84"/>
      <c r="F116" s="114" t="s">
        <v>43</v>
      </c>
      <c r="G116" s="86" t="s">
        <v>87</v>
      </c>
      <c r="H116" s="77"/>
      <c r="I116" s="82"/>
      <c r="J116" s="87" t="s">
        <v>99</v>
      </c>
      <c r="K116" s="77"/>
      <c r="L116" s="89"/>
      <c r="M116" s="77"/>
      <c r="N116" s="77"/>
      <c r="O116" s="77"/>
      <c r="P116" s="77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A117" s="102">
        <f t="shared" si="1"/>
        <v>112</v>
      </c>
      <c r="B117" s="94" t="s">
        <v>607</v>
      </c>
      <c r="C117" s="95" t="s">
        <v>49</v>
      </c>
      <c r="D117" s="96"/>
      <c r="E117" s="97"/>
      <c r="F117" s="98" t="s">
        <v>43</v>
      </c>
      <c r="G117" s="99" t="s">
        <v>53</v>
      </c>
      <c r="H117" s="93" t="s">
        <v>608</v>
      </c>
      <c r="I117" s="95"/>
      <c r="J117" s="93" t="s">
        <v>51</v>
      </c>
      <c r="K117" s="93">
        <v>10.0</v>
      </c>
      <c r="L117" s="101"/>
      <c r="M117" s="102"/>
      <c r="N117" s="103" t="s">
        <v>60</v>
      </c>
      <c r="O117" s="102"/>
      <c r="P117" s="102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A118" s="77">
        <f t="shared" si="1"/>
        <v>113</v>
      </c>
      <c r="B118" s="78" t="s">
        <v>376</v>
      </c>
      <c r="C118" s="82" t="s">
        <v>172</v>
      </c>
      <c r="D118" s="83"/>
      <c r="E118" s="113"/>
      <c r="F118" s="85" t="s">
        <v>60</v>
      </c>
      <c r="G118" s="86" t="s">
        <v>53</v>
      </c>
      <c r="H118" s="87" t="s">
        <v>615</v>
      </c>
      <c r="I118" s="82"/>
      <c r="J118" s="87" t="s">
        <v>174</v>
      </c>
      <c r="K118" s="87" t="s">
        <v>616</v>
      </c>
      <c r="L118" s="89"/>
      <c r="M118" s="77"/>
      <c r="N118" s="91" t="s">
        <v>43</v>
      </c>
      <c r="O118" s="77"/>
      <c r="P118" s="77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A119" s="102">
        <f t="shared" si="1"/>
        <v>114</v>
      </c>
      <c r="B119" s="94" t="s">
        <v>618</v>
      </c>
      <c r="C119" s="95" t="s">
        <v>49</v>
      </c>
      <c r="D119" s="96"/>
      <c r="E119" s="97"/>
      <c r="F119" s="98" t="s">
        <v>43</v>
      </c>
      <c r="G119" s="99" t="s">
        <v>53</v>
      </c>
      <c r="H119" s="93" t="s">
        <v>619</v>
      </c>
      <c r="I119" s="95"/>
      <c r="J119" s="93" t="s">
        <v>99</v>
      </c>
      <c r="K119" s="93">
        <v>8.0</v>
      </c>
      <c r="L119" s="101"/>
      <c r="M119" s="102"/>
      <c r="N119" s="103" t="s">
        <v>43</v>
      </c>
      <c r="O119" s="102"/>
      <c r="P119" s="102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A120" s="77">
        <f t="shared" si="1"/>
        <v>115</v>
      </c>
      <c r="B120" s="78" t="s">
        <v>621</v>
      </c>
      <c r="C120" s="82" t="s">
        <v>49</v>
      </c>
      <c r="D120" s="83"/>
      <c r="E120" s="84"/>
      <c r="F120" s="85" t="s">
        <v>203</v>
      </c>
      <c r="G120" s="86" t="s">
        <v>53</v>
      </c>
      <c r="H120" s="87" t="s">
        <v>624</v>
      </c>
      <c r="I120" s="82"/>
      <c r="J120" s="87" t="s">
        <v>99</v>
      </c>
      <c r="K120" s="87">
        <v>23.0</v>
      </c>
      <c r="L120" s="89"/>
      <c r="M120" s="77"/>
      <c r="N120" s="91" t="s">
        <v>43</v>
      </c>
      <c r="O120" s="77"/>
      <c r="P120" s="77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A121" s="102">
        <f t="shared" si="1"/>
        <v>116</v>
      </c>
      <c r="B121" s="94" t="s">
        <v>237</v>
      </c>
      <c r="C121" s="95" t="s">
        <v>49</v>
      </c>
      <c r="D121" s="96"/>
      <c r="E121" s="112"/>
      <c r="F121" s="98" t="s">
        <v>43</v>
      </c>
      <c r="G121" s="99" t="s">
        <v>87</v>
      </c>
      <c r="H121" s="93" t="s">
        <v>626</v>
      </c>
      <c r="I121" s="95"/>
      <c r="J121" s="93" t="s">
        <v>47</v>
      </c>
      <c r="K121" s="93">
        <v>18.0</v>
      </c>
      <c r="L121" s="101"/>
      <c r="M121" s="102"/>
      <c r="N121" s="112"/>
      <c r="O121" s="102"/>
      <c r="P121" s="102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A122" s="77">
        <f t="shared" si="1"/>
        <v>117</v>
      </c>
      <c r="B122" s="78" t="s">
        <v>628</v>
      </c>
      <c r="C122" s="82" t="s">
        <v>5</v>
      </c>
      <c r="D122" s="83"/>
      <c r="E122" s="84"/>
      <c r="F122" s="85" t="s">
        <v>43</v>
      </c>
      <c r="G122" s="86" t="s">
        <v>87</v>
      </c>
      <c r="H122" s="77"/>
      <c r="I122" s="82"/>
      <c r="J122" s="87" t="s">
        <v>68</v>
      </c>
      <c r="K122" s="87">
        <v>8.0</v>
      </c>
      <c r="L122" s="89"/>
      <c r="M122" s="77"/>
      <c r="N122" s="77"/>
      <c r="O122" s="77"/>
      <c r="P122" s="77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A123" s="102">
        <f t="shared" si="1"/>
        <v>118</v>
      </c>
      <c r="B123" s="94" t="s">
        <v>633</v>
      </c>
      <c r="C123" s="95" t="s">
        <v>5</v>
      </c>
      <c r="D123" s="96"/>
      <c r="E123" s="97"/>
      <c r="F123" s="98" t="s">
        <v>43</v>
      </c>
      <c r="G123" s="99" t="s">
        <v>87</v>
      </c>
      <c r="H123" s="93" t="s">
        <v>634</v>
      </c>
      <c r="I123" s="95" t="s">
        <v>5</v>
      </c>
      <c r="J123" s="93" t="s">
        <v>51</v>
      </c>
      <c r="K123" s="93">
        <v>28.0</v>
      </c>
      <c r="L123" s="101"/>
      <c r="M123" s="102"/>
      <c r="N123" s="103" t="s">
        <v>43</v>
      </c>
      <c r="O123" s="102"/>
      <c r="P123" s="102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A124" s="77">
        <f t="shared" si="1"/>
        <v>119</v>
      </c>
      <c r="B124" s="78" t="s">
        <v>638</v>
      </c>
      <c r="C124" s="82" t="s">
        <v>49</v>
      </c>
      <c r="D124" s="83"/>
      <c r="E124" s="84"/>
      <c r="F124" s="85" t="s">
        <v>60</v>
      </c>
      <c r="G124" s="86" t="s">
        <v>49</v>
      </c>
      <c r="H124" s="77"/>
      <c r="I124" s="82"/>
      <c r="J124" s="87" t="s">
        <v>89</v>
      </c>
      <c r="K124" s="87">
        <v>8.0</v>
      </c>
      <c r="L124" s="89"/>
      <c r="M124" s="77"/>
      <c r="N124" s="77"/>
      <c r="O124" s="77"/>
      <c r="P124" s="77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A125" s="102">
        <f t="shared" si="1"/>
        <v>120</v>
      </c>
      <c r="B125" s="94" t="s">
        <v>642</v>
      </c>
      <c r="C125" s="107" t="s">
        <v>5</v>
      </c>
      <c r="D125" s="96"/>
      <c r="E125" s="97"/>
      <c r="F125" s="98" t="s">
        <v>43</v>
      </c>
      <c r="G125" s="99" t="s">
        <v>87</v>
      </c>
      <c r="H125" s="102"/>
      <c r="I125" s="95"/>
      <c r="J125" s="93" t="s">
        <v>174</v>
      </c>
      <c r="K125" s="93">
        <v>9.0</v>
      </c>
      <c r="L125" s="101"/>
      <c r="M125" s="102"/>
      <c r="N125" s="102"/>
      <c r="O125" s="102"/>
      <c r="P125" s="102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A126" s="77">
        <f t="shared" si="1"/>
        <v>121</v>
      </c>
      <c r="B126" s="78" t="s">
        <v>644</v>
      </c>
      <c r="C126" s="82" t="s">
        <v>5</v>
      </c>
      <c r="D126" s="83"/>
      <c r="E126" s="84"/>
      <c r="F126" s="85" t="s">
        <v>43</v>
      </c>
      <c r="G126" s="86" t="s">
        <v>87</v>
      </c>
      <c r="H126" s="77"/>
      <c r="I126" s="82"/>
      <c r="J126" s="87" t="s">
        <v>68</v>
      </c>
      <c r="K126" s="87">
        <v>4.0</v>
      </c>
      <c r="L126" s="89"/>
      <c r="M126" s="77"/>
      <c r="N126" s="77"/>
      <c r="O126" s="77"/>
      <c r="P126" s="87" t="s">
        <v>646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A127" s="102">
        <f t="shared" si="1"/>
        <v>122</v>
      </c>
      <c r="B127" s="94" t="s">
        <v>650</v>
      </c>
      <c r="C127" s="95" t="s">
        <v>49</v>
      </c>
      <c r="D127" s="96"/>
      <c r="E127" s="97"/>
      <c r="F127" s="98" t="s">
        <v>60</v>
      </c>
      <c r="G127" s="99" t="s">
        <v>53</v>
      </c>
      <c r="H127" s="93" t="s">
        <v>651</v>
      </c>
      <c r="I127" s="95" t="s">
        <v>172</v>
      </c>
      <c r="J127" s="93" t="s">
        <v>89</v>
      </c>
      <c r="K127" s="93">
        <v>21.0</v>
      </c>
      <c r="L127" s="101"/>
      <c r="M127" s="102"/>
      <c r="N127" s="103" t="s">
        <v>43</v>
      </c>
      <c r="O127" s="102"/>
      <c r="P127" s="102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A128" s="77">
        <f t="shared" si="1"/>
        <v>123</v>
      </c>
      <c r="B128" s="78" t="s">
        <v>655</v>
      </c>
      <c r="C128" s="82" t="s">
        <v>49</v>
      </c>
      <c r="D128" s="83"/>
      <c r="E128" s="84"/>
      <c r="F128" s="85" t="s">
        <v>43</v>
      </c>
      <c r="G128" s="86" t="s">
        <v>87</v>
      </c>
      <c r="H128" s="87" t="s">
        <v>659</v>
      </c>
      <c r="I128" s="82"/>
      <c r="J128" s="87" t="s">
        <v>96</v>
      </c>
      <c r="K128" s="87">
        <v>15.0</v>
      </c>
      <c r="L128" s="89"/>
      <c r="M128" s="77"/>
      <c r="N128" s="91" t="s">
        <v>43</v>
      </c>
      <c r="O128" s="77"/>
      <c r="P128" s="77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A129" s="102">
        <f t="shared" si="1"/>
        <v>124</v>
      </c>
      <c r="B129" s="94" t="s">
        <v>661</v>
      </c>
      <c r="C129" s="95" t="s">
        <v>5</v>
      </c>
      <c r="D129" s="96"/>
      <c r="E129" s="97"/>
      <c r="F129" s="109" t="s">
        <v>43</v>
      </c>
      <c r="G129" s="99" t="s">
        <v>87</v>
      </c>
      <c r="H129" s="102"/>
      <c r="I129" s="95"/>
      <c r="J129" s="93" t="s">
        <v>55</v>
      </c>
      <c r="K129" s="102"/>
      <c r="L129" s="101"/>
      <c r="M129" s="102"/>
      <c r="N129" s="102"/>
      <c r="O129" s="102"/>
      <c r="P129" s="102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A130" s="77">
        <f t="shared" si="1"/>
        <v>125</v>
      </c>
      <c r="B130" s="78" t="s">
        <v>664</v>
      </c>
      <c r="C130" s="82" t="s">
        <v>5</v>
      </c>
      <c r="D130" s="83"/>
      <c r="E130" s="84"/>
      <c r="F130" s="85" t="s">
        <v>43</v>
      </c>
      <c r="G130" s="86" t="s">
        <v>87</v>
      </c>
      <c r="H130" s="87" t="s">
        <v>665</v>
      </c>
      <c r="I130" s="82" t="s">
        <v>5</v>
      </c>
      <c r="J130" s="87" t="s">
        <v>51</v>
      </c>
      <c r="K130" s="87">
        <v>26.0</v>
      </c>
      <c r="L130" s="89"/>
      <c r="M130" s="77"/>
      <c r="N130" s="91" t="s">
        <v>43</v>
      </c>
      <c r="O130" s="77"/>
      <c r="P130" s="77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A131" s="102">
        <f t="shared" si="1"/>
        <v>126</v>
      </c>
      <c r="B131" s="94" t="s">
        <v>668</v>
      </c>
      <c r="C131" s="95" t="s">
        <v>81</v>
      </c>
      <c r="D131" s="96"/>
      <c r="E131" s="97"/>
      <c r="F131" s="109" t="s">
        <v>43</v>
      </c>
      <c r="G131" s="99" t="s">
        <v>87</v>
      </c>
      <c r="H131" s="102"/>
      <c r="I131" s="95"/>
      <c r="J131" s="93" t="s">
        <v>96</v>
      </c>
      <c r="K131" s="102"/>
      <c r="L131" s="101"/>
      <c r="M131" s="102"/>
      <c r="N131" s="102"/>
      <c r="O131" s="102"/>
      <c r="P131" s="102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A132" s="77">
        <f t="shared" si="1"/>
        <v>127</v>
      </c>
      <c r="B132" s="78" t="s">
        <v>671</v>
      </c>
      <c r="C132" s="82" t="s">
        <v>5</v>
      </c>
      <c r="D132" s="83"/>
      <c r="E132" s="84"/>
      <c r="F132" s="85" t="s">
        <v>43</v>
      </c>
      <c r="G132" s="86" t="s">
        <v>87</v>
      </c>
      <c r="H132" s="87" t="s">
        <v>673</v>
      </c>
      <c r="I132" s="82" t="s">
        <v>5</v>
      </c>
      <c r="J132" s="87" t="s">
        <v>99</v>
      </c>
      <c r="K132" s="87">
        <v>24.0</v>
      </c>
      <c r="L132" s="89"/>
      <c r="M132" s="77"/>
      <c r="N132" s="91" t="s">
        <v>43</v>
      </c>
      <c r="O132" s="77"/>
      <c r="P132" s="77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A133" s="102">
        <f t="shared" si="1"/>
        <v>128</v>
      </c>
      <c r="B133" s="94" t="s">
        <v>677</v>
      </c>
      <c r="C133" s="95" t="s">
        <v>49</v>
      </c>
      <c r="D133" s="96"/>
      <c r="E133" s="97"/>
      <c r="F133" s="98" t="s">
        <v>43</v>
      </c>
      <c r="G133" s="99" t="s">
        <v>53</v>
      </c>
      <c r="H133" s="102"/>
      <c r="I133" s="95"/>
      <c r="J133" s="93" t="s">
        <v>68</v>
      </c>
      <c r="K133" s="93">
        <v>16.0</v>
      </c>
      <c r="L133" s="101"/>
      <c r="M133" s="102"/>
      <c r="N133" s="102"/>
      <c r="O133" s="102"/>
      <c r="P133" s="102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A134" s="77">
        <f t="shared" si="1"/>
        <v>129</v>
      </c>
      <c r="B134" s="116" t="s">
        <v>683</v>
      </c>
      <c r="C134" s="82" t="s">
        <v>49</v>
      </c>
      <c r="D134" s="83"/>
      <c r="E134" s="84"/>
      <c r="F134" s="85" t="s">
        <v>43</v>
      </c>
      <c r="G134" s="86" t="s">
        <v>53</v>
      </c>
      <c r="H134" s="91" t="s">
        <v>686</v>
      </c>
      <c r="I134" s="82"/>
      <c r="J134" s="87" t="s">
        <v>99</v>
      </c>
      <c r="K134" s="87">
        <v>34.0</v>
      </c>
      <c r="L134" s="89"/>
      <c r="M134" s="77"/>
      <c r="N134" s="91" t="s">
        <v>43</v>
      </c>
      <c r="O134" s="77"/>
      <c r="P134" s="77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A135" s="102">
        <f t="shared" si="1"/>
        <v>130</v>
      </c>
      <c r="B135" s="94" t="s">
        <v>192</v>
      </c>
      <c r="C135" s="95" t="s">
        <v>49</v>
      </c>
      <c r="D135" s="96"/>
      <c r="E135" s="112"/>
      <c r="F135" s="98" t="s">
        <v>43</v>
      </c>
      <c r="G135" s="99" t="s">
        <v>53</v>
      </c>
      <c r="H135" s="93" t="s">
        <v>689</v>
      </c>
      <c r="I135" s="95"/>
      <c r="J135" s="93" t="s">
        <v>47</v>
      </c>
      <c r="K135" s="93">
        <v>13.0</v>
      </c>
      <c r="L135" s="101"/>
      <c r="M135" s="102"/>
      <c r="N135" s="112"/>
      <c r="O135" s="102"/>
      <c r="P135" s="102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A136" s="77">
        <f t="shared" si="1"/>
        <v>131</v>
      </c>
      <c r="B136" s="78" t="s">
        <v>694</v>
      </c>
      <c r="C136" s="82" t="s">
        <v>49</v>
      </c>
      <c r="D136" s="83"/>
      <c r="E136" s="84"/>
      <c r="F136" s="85" t="s">
        <v>60</v>
      </c>
      <c r="G136" s="86" t="s">
        <v>49</v>
      </c>
      <c r="H136" s="77"/>
      <c r="I136" s="82"/>
      <c r="J136" s="87" t="s">
        <v>96</v>
      </c>
      <c r="K136" s="87" t="s">
        <v>696</v>
      </c>
      <c r="L136" s="89"/>
      <c r="M136" s="77"/>
      <c r="N136" s="77"/>
      <c r="O136" s="77"/>
      <c r="P136" s="77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A137" s="102">
        <f t="shared" si="1"/>
        <v>132</v>
      </c>
      <c r="B137" s="94" t="s">
        <v>697</v>
      </c>
      <c r="C137" s="95" t="s">
        <v>49</v>
      </c>
      <c r="D137" s="96"/>
      <c r="E137" s="97"/>
      <c r="F137" s="98" t="s">
        <v>60</v>
      </c>
      <c r="G137" s="99" t="s">
        <v>53</v>
      </c>
      <c r="H137" s="93" t="s">
        <v>699</v>
      </c>
      <c r="I137" s="95"/>
      <c r="J137" s="93" t="s">
        <v>99</v>
      </c>
      <c r="K137" s="93">
        <v>22.0</v>
      </c>
      <c r="L137" s="101"/>
      <c r="M137" s="102"/>
      <c r="N137" s="103" t="s">
        <v>43</v>
      </c>
      <c r="O137" s="102"/>
      <c r="P137" s="102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A138" s="77">
        <f t="shared" si="1"/>
        <v>133</v>
      </c>
      <c r="B138" s="78" t="s">
        <v>701</v>
      </c>
      <c r="C138" s="82" t="s">
        <v>49</v>
      </c>
      <c r="D138" s="83"/>
      <c r="E138" s="84"/>
      <c r="F138" s="85" t="s">
        <v>43</v>
      </c>
      <c r="G138" s="86" t="s">
        <v>53</v>
      </c>
      <c r="H138" s="87" t="s">
        <v>703</v>
      </c>
      <c r="I138" s="82"/>
      <c r="J138" s="87" t="s">
        <v>68</v>
      </c>
      <c r="K138" s="87">
        <v>15.0</v>
      </c>
      <c r="L138" s="89"/>
      <c r="M138" s="77"/>
      <c r="N138" s="91" t="s">
        <v>43</v>
      </c>
      <c r="O138" s="77"/>
      <c r="P138" s="77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A139" s="102">
        <f t="shared" si="1"/>
        <v>134</v>
      </c>
      <c r="B139" s="94" t="s">
        <v>707</v>
      </c>
      <c r="C139" s="95" t="s">
        <v>49</v>
      </c>
      <c r="D139" s="96"/>
      <c r="E139" s="97"/>
      <c r="F139" s="98" t="s">
        <v>43</v>
      </c>
      <c r="G139" s="99" t="s">
        <v>53</v>
      </c>
      <c r="H139" s="93" t="s">
        <v>710</v>
      </c>
      <c r="I139" s="95"/>
      <c r="J139" s="93" t="s">
        <v>51</v>
      </c>
      <c r="K139" s="93">
        <v>14.0</v>
      </c>
      <c r="L139" s="101"/>
      <c r="M139" s="102"/>
      <c r="N139" s="103" t="s">
        <v>43</v>
      </c>
      <c r="O139" s="102"/>
      <c r="P139" s="102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A140" s="77">
        <f t="shared" si="1"/>
        <v>135</v>
      </c>
      <c r="B140" s="78" t="s">
        <v>714</v>
      </c>
      <c r="C140" s="82" t="s">
        <v>49</v>
      </c>
      <c r="D140" s="83"/>
      <c r="E140" s="84"/>
      <c r="F140" s="85" t="s">
        <v>43</v>
      </c>
      <c r="G140" s="86" t="s">
        <v>87</v>
      </c>
      <c r="H140" s="87" t="s">
        <v>716</v>
      </c>
      <c r="I140" s="111" t="s">
        <v>72</v>
      </c>
      <c r="J140" s="87" t="s">
        <v>89</v>
      </c>
      <c r="K140" s="87">
        <v>31.0</v>
      </c>
      <c r="L140" s="89"/>
      <c r="M140" s="77"/>
      <c r="N140" s="91" t="s">
        <v>43</v>
      </c>
      <c r="O140" s="77"/>
      <c r="P140" s="77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A141" s="102">
        <f t="shared" si="1"/>
        <v>136</v>
      </c>
      <c r="B141" s="94" t="s">
        <v>719</v>
      </c>
      <c r="C141" s="95" t="s">
        <v>49</v>
      </c>
      <c r="D141" s="96"/>
      <c r="E141" s="97"/>
      <c r="F141" s="98" t="s">
        <v>43</v>
      </c>
      <c r="G141" s="99" t="s">
        <v>53</v>
      </c>
      <c r="H141" s="93" t="s">
        <v>721</v>
      </c>
      <c r="I141" s="95"/>
      <c r="J141" s="93" t="s">
        <v>68</v>
      </c>
      <c r="K141" s="93">
        <v>22.0</v>
      </c>
      <c r="L141" s="101"/>
      <c r="M141" s="102"/>
      <c r="N141" s="103" t="s">
        <v>43</v>
      </c>
      <c r="O141" s="102"/>
      <c r="P141" s="102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A142" s="77">
        <f t="shared" si="1"/>
        <v>137</v>
      </c>
      <c r="B142" s="78" t="s">
        <v>723</v>
      </c>
      <c r="C142" s="82" t="s">
        <v>49</v>
      </c>
      <c r="D142" s="83"/>
      <c r="E142" s="84"/>
      <c r="F142" s="85" t="s">
        <v>43</v>
      </c>
      <c r="G142" s="86" t="s">
        <v>53</v>
      </c>
      <c r="H142" s="77"/>
      <c r="I142" s="82"/>
      <c r="J142" s="87" t="s">
        <v>96</v>
      </c>
      <c r="K142" s="87">
        <v>13.0</v>
      </c>
      <c r="L142" s="89"/>
      <c r="M142" s="77"/>
      <c r="N142" s="77"/>
      <c r="O142" s="77"/>
      <c r="P142" s="77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A143" s="102">
        <f t="shared" si="1"/>
        <v>138</v>
      </c>
      <c r="B143" s="94" t="s">
        <v>247</v>
      </c>
      <c r="C143" s="95" t="s">
        <v>49</v>
      </c>
      <c r="D143" s="96"/>
      <c r="E143" s="112"/>
      <c r="F143" s="98" t="s">
        <v>60</v>
      </c>
      <c r="G143" s="99" t="s">
        <v>53</v>
      </c>
      <c r="H143" s="93" t="s">
        <v>728</v>
      </c>
      <c r="I143" s="95"/>
      <c r="J143" s="93" t="s">
        <v>47</v>
      </c>
      <c r="K143" s="93">
        <v>22.0</v>
      </c>
      <c r="L143" s="101"/>
      <c r="M143" s="102"/>
      <c r="N143" s="103" t="s">
        <v>43</v>
      </c>
      <c r="O143" s="102"/>
      <c r="P143" s="102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A144" s="77">
        <f t="shared" si="1"/>
        <v>139</v>
      </c>
      <c r="B144" s="78" t="s">
        <v>732</v>
      </c>
      <c r="C144" s="82" t="s">
        <v>5</v>
      </c>
      <c r="D144" s="83"/>
      <c r="E144" s="84"/>
      <c r="F144" s="85" t="s">
        <v>43</v>
      </c>
      <c r="G144" s="86" t="s">
        <v>87</v>
      </c>
      <c r="H144" s="87"/>
      <c r="I144" s="82"/>
      <c r="J144" s="87" t="s">
        <v>51</v>
      </c>
      <c r="K144" s="87">
        <v>18.0</v>
      </c>
      <c r="L144" s="89"/>
      <c r="M144" s="77"/>
      <c r="N144" s="77"/>
      <c r="O144" s="77"/>
      <c r="P144" s="77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A145" s="102">
        <f t="shared" si="1"/>
        <v>140</v>
      </c>
      <c r="B145" s="94" t="s">
        <v>738</v>
      </c>
      <c r="C145" s="95" t="s">
        <v>5</v>
      </c>
      <c r="D145" s="96"/>
      <c r="E145" s="97"/>
      <c r="F145" s="109" t="s">
        <v>43</v>
      </c>
      <c r="G145" s="99" t="s">
        <v>87</v>
      </c>
      <c r="H145" s="93"/>
      <c r="I145" s="95"/>
      <c r="J145" s="93" t="s">
        <v>89</v>
      </c>
      <c r="K145" s="102"/>
      <c r="L145" s="101"/>
      <c r="M145" s="102"/>
      <c r="N145" s="102"/>
      <c r="O145" s="102"/>
      <c r="P145" s="102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A146" s="77">
        <f t="shared" si="1"/>
        <v>141</v>
      </c>
      <c r="B146" s="78" t="s">
        <v>743</v>
      </c>
      <c r="C146" s="82" t="s">
        <v>5</v>
      </c>
      <c r="D146" s="83"/>
      <c r="E146" s="84"/>
      <c r="F146" s="85" t="s">
        <v>43</v>
      </c>
      <c r="G146" s="86" t="s">
        <v>87</v>
      </c>
      <c r="H146" s="77"/>
      <c r="I146" s="82"/>
      <c r="J146" s="87" t="s">
        <v>68</v>
      </c>
      <c r="K146" s="87">
        <v>23.0</v>
      </c>
      <c r="L146" s="89"/>
      <c r="M146" s="77"/>
      <c r="N146" s="77"/>
      <c r="O146" s="77"/>
      <c r="P146" s="77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A147" s="102">
        <f t="shared" si="1"/>
        <v>142</v>
      </c>
      <c r="B147" s="94" t="s">
        <v>746</v>
      </c>
      <c r="C147" s="95" t="s">
        <v>5</v>
      </c>
      <c r="D147" s="96"/>
      <c r="E147" s="97"/>
      <c r="F147" s="98" t="s">
        <v>43</v>
      </c>
      <c r="G147" s="99" t="s">
        <v>87</v>
      </c>
      <c r="H147" s="102"/>
      <c r="I147" s="95"/>
      <c r="J147" s="93" t="s">
        <v>68</v>
      </c>
      <c r="K147" s="93">
        <v>31.0</v>
      </c>
      <c r="L147" s="101"/>
      <c r="M147" s="102"/>
      <c r="N147" s="102"/>
      <c r="O147" s="102"/>
      <c r="P147" s="102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A148" s="77">
        <f t="shared" si="1"/>
        <v>143</v>
      </c>
      <c r="B148" s="78" t="s">
        <v>749</v>
      </c>
      <c r="C148" s="82" t="s">
        <v>49</v>
      </c>
      <c r="D148" s="83"/>
      <c r="E148" s="84"/>
      <c r="F148" s="85" t="s">
        <v>60</v>
      </c>
      <c r="G148" s="86" t="s">
        <v>53</v>
      </c>
      <c r="H148" s="87" t="s">
        <v>751</v>
      </c>
      <c r="I148" s="82"/>
      <c r="J148" s="87" t="s">
        <v>51</v>
      </c>
      <c r="K148" s="87">
        <v>14.0</v>
      </c>
      <c r="L148" s="89"/>
      <c r="M148" s="77"/>
      <c r="N148" s="91" t="s">
        <v>43</v>
      </c>
      <c r="O148" s="77"/>
      <c r="P148" s="77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A149" s="102">
        <f t="shared" si="1"/>
        <v>144</v>
      </c>
      <c r="B149" s="94" t="s">
        <v>755</v>
      </c>
      <c r="C149" s="95" t="s">
        <v>49</v>
      </c>
      <c r="D149" s="96"/>
      <c r="E149" s="97"/>
      <c r="F149" s="109" t="s">
        <v>43</v>
      </c>
      <c r="G149" s="99" t="s">
        <v>87</v>
      </c>
      <c r="H149" s="102"/>
      <c r="I149" s="95"/>
      <c r="J149" s="93" t="s">
        <v>96</v>
      </c>
      <c r="K149" s="102"/>
      <c r="L149" s="101"/>
      <c r="M149" s="102"/>
      <c r="N149" s="102"/>
      <c r="O149" s="102"/>
      <c r="P149" s="102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A150" s="77">
        <f t="shared" si="1"/>
        <v>145</v>
      </c>
      <c r="B150" s="78" t="s">
        <v>757</v>
      </c>
      <c r="C150" s="82" t="s">
        <v>49</v>
      </c>
      <c r="D150" s="83"/>
      <c r="E150" s="84"/>
      <c r="F150" s="114" t="s">
        <v>43</v>
      </c>
      <c r="G150" s="86" t="s">
        <v>87</v>
      </c>
      <c r="H150" s="87" t="s">
        <v>761</v>
      </c>
      <c r="I150" s="82" t="s">
        <v>69</v>
      </c>
      <c r="J150" s="87" t="s">
        <v>68</v>
      </c>
      <c r="K150" s="77"/>
      <c r="L150" s="89"/>
      <c r="M150" s="77"/>
      <c r="N150" s="77"/>
      <c r="O150" s="77"/>
      <c r="P150" s="77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A151" s="102">
        <f t="shared" si="1"/>
        <v>146</v>
      </c>
      <c r="B151" s="94" t="s">
        <v>765</v>
      </c>
      <c r="C151" s="95" t="s">
        <v>49</v>
      </c>
      <c r="D151" s="96"/>
      <c r="E151" s="97"/>
      <c r="F151" s="98" t="s">
        <v>43</v>
      </c>
      <c r="G151" s="99" t="s">
        <v>53</v>
      </c>
      <c r="H151" s="102"/>
      <c r="I151" s="95"/>
      <c r="J151" s="93" t="s">
        <v>51</v>
      </c>
      <c r="K151" s="93">
        <v>1.0</v>
      </c>
      <c r="L151" s="101"/>
      <c r="M151" s="102"/>
      <c r="N151" s="102"/>
      <c r="O151" s="102"/>
      <c r="P151" s="102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A152" s="77">
        <f t="shared" si="1"/>
        <v>147</v>
      </c>
      <c r="B152" s="78" t="s">
        <v>767</v>
      </c>
      <c r="C152" s="111" t="s">
        <v>72</v>
      </c>
      <c r="D152" s="83"/>
      <c r="E152" s="84"/>
      <c r="F152" s="85" t="s">
        <v>43</v>
      </c>
      <c r="G152" s="86" t="s">
        <v>87</v>
      </c>
      <c r="H152" s="77"/>
      <c r="I152" s="82"/>
      <c r="J152" s="87" t="s">
        <v>89</v>
      </c>
      <c r="K152" s="87">
        <v>23.0</v>
      </c>
      <c r="L152" s="89"/>
      <c r="M152" s="77"/>
      <c r="N152" s="77"/>
      <c r="O152" s="77"/>
      <c r="P152" s="77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A153" s="102">
        <f t="shared" si="1"/>
        <v>148</v>
      </c>
      <c r="B153" s="94" t="s">
        <v>774</v>
      </c>
      <c r="C153" s="95" t="s">
        <v>49</v>
      </c>
      <c r="D153" s="96"/>
      <c r="E153" s="97"/>
      <c r="F153" s="98" t="s">
        <v>43</v>
      </c>
      <c r="G153" s="99" t="s">
        <v>53</v>
      </c>
      <c r="H153" s="102"/>
      <c r="I153" s="95"/>
      <c r="J153" s="93" t="s">
        <v>68</v>
      </c>
      <c r="K153" s="93">
        <v>39.0</v>
      </c>
      <c r="L153" s="101"/>
      <c r="M153" s="102"/>
      <c r="N153" s="102"/>
      <c r="O153" s="102"/>
      <c r="P153" s="102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A154" s="77">
        <f t="shared" si="1"/>
        <v>149</v>
      </c>
      <c r="B154" s="78" t="s">
        <v>778</v>
      </c>
      <c r="C154" s="82" t="s">
        <v>49</v>
      </c>
      <c r="D154" s="83"/>
      <c r="E154" s="84"/>
      <c r="F154" s="85" t="s">
        <v>43</v>
      </c>
      <c r="G154" s="86" t="s">
        <v>53</v>
      </c>
      <c r="H154" s="77"/>
      <c r="I154" s="82"/>
      <c r="J154" s="87" t="s">
        <v>96</v>
      </c>
      <c r="K154" s="87">
        <v>22.0</v>
      </c>
      <c r="L154" s="89"/>
      <c r="M154" s="77"/>
      <c r="N154" s="77"/>
      <c r="O154" s="77"/>
      <c r="P154" s="77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A155" s="102">
        <f t="shared" si="1"/>
        <v>150</v>
      </c>
      <c r="B155" s="94" t="s">
        <v>782</v>
      </c>
      <c r="C155" s="95" t="s">
        <v>5</v>
      </c>
      <c r="D155" s="96"/>
      <c r="E155" s="97"/>
      <c r="F155" s="98" t="s">
        <v>43</v>
      </c>
      <c r="G155" s="99" t="s">
        <v>87</v>
      </c>
      <c r="H155" s="93" t="s">
        <v>785</v>
      </c>
      <c r="I155" s="95" t="s">
        <v>5</v>
      </c>
      <c r="J155" s="93" t="s">
        <v>51</v>
      </c>
      <c r="K155" s="93">
        <v>12.0</v>
      </c>
      <c r="L155" s="101"/>
      <c r="M155" s="102"/>
      <c r="N155" s="102"/>
      <c r="O155" s="99"/>
      <c r="P155" s="102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A156" s="77">
        <f t="shared" si="1"/>
        <v>151</v>
      </c>
      <c r="B156" s="78" t="s">
        <v>789</v>
      </c>
      <c r="C156" s="82" t="s">
        <v>5</v>
      </c>
      <c r="D156" s="83"/>
      <c r="E156" s="84"/>
      <c r="F156" s="114" t="s">
        <v>43</v>
      </c>
      <c r="G156" s="86" t="s">
        <v>87</v>
      </c>
      <c r="H156" s="77"/>
      <c r="I156" s="82"/>
      <c r="J156" s="87" t="s">
        <v>47</v>
      </c>
      <c r="K156" s="77"/>
      <c r="L156" s="89"/>
      <c r="M156" s="77"/>
      <c r="N156" s="77"/>
      <c r="O156" s="77"/>
      <c r="P156" s="77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A157" s="102">
        <f t="shared" si="1"/>
        <v>152</v>
      </c>
      <c r="B157" s="94" t="s">
        <v>793</v>
      </c>
      <c r="C157" s="95" t="s">
        <v>9</v>
      </c>
      <c r="D157" s="96"/>
      <c r="E157" s="97"/>
      <c r="F157" s="109" t="s">
        <v>43</v>
      </c>
      <c r="G157" s="99" t="s">
        <v>87</v>
      </c>
      <c r="H157" s="102"/>
      <c r="I157" s="95"/>
      <c r="J157" s="93" t="s">
        <v>68</v>
      </c>
      <c r="K157" s="102"/>
      <c r="L157" s="101"/>
      <c r="M157" s="102"/>
      <c r="N157" s="102"/>
      <c r="O157" s="102"/>
      <c r="P157" s="102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A158" s="77">
        <f t="shared" si="1"/>
        <v>153</v>
      </c>
      <c r="B158" s="78" t="s">
        <v>798</v>
      </c>
      <c r="C158" s="82" t="s">
        <v>49</v>
      </c>
      <c r="D158" s="83"/>
      <c r="E158" s="84"/>
      <c r="F158" s="85" t="s">
        <v>203</v>
      </c>
      <c r="G158" s="86" t="s">
        <v>49</v>
      </c>
      <c r="H158" s="77"/>
      <c r="I158" s="82"/>
      <c r="J158" s="87" t="s">
        <v>99</v>
      </c>
      <c r="K158" s="87">
        <v>14.0</v>
      </c>
      <c r="L158" s="89"/>
      <c r="M158" s="77"/>
      <c r="N158" s="77"/>
      <c r="O158" s="77"/>
      <c r="P158" s="77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A159" s="102">
        <f t="shared" si="1"/>
        <v>154</v>
      </c>
      <c r="B159" s="94" t="s">
        <v>801</v>
      </c>
      <c r="C159" s="95" t="s">
        <v>5</v>
      </c>
      <c r="D159" s="96"/>
      <c r="E159" s="97"/>
      <c r="F159" s="98" t="s">
        <v>43</v>
      </c>
      <c r="G159" s="99" t="s">
        <v>87</v>
      </c>
      <c r="H159" s="102"/>
      <c r="I159" s="95"/>
      <c r="J159" s="93" t="s">
        <v>47</v>
      </c>
      <c r="K159" s="93">
        <v>13.0</v>
      </c>
      <c r="L159" s="101"/>
      <c r="M159" s="102"/>
      <c r="N159" s="112"/>
      <c r="O159" s="102"/>
      <c r="P159" s="102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A160" s="77">
        <f t="shared" si="1"/>
        <v>155</v>
      </c>
      <c r="B160" s="78" t="s">
        <v>805</v>
      </c>
      <c r="C160" s="82" t="s">
        <v>9</v>
      </c>
      <c r="D160" s="83"/>
      <c r="E160" s="84"/>
      <c r="F160" s="114" t="s">
        <v>43</v>
      </c>
      <c r="G160" s="86" t="s">
        <v>87</v>
      </c>
      <c r="H160" s="77"/>
      <c r="I160" s="82"/>
      <c r="J160" s="87" t="s">
        <v>89</v>
      </c>
      <c r="K160" s="77"/>
      <c r="L160" s="89"/>
      <c r="M160" s="77"/>
      <c r="N160" s="77"/>
      <c r="O160" s="77"/>
      <c r="P160" s="77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A161" s="102">
        <f t="shared" si="1"/>
        <v>156</v>
      </c>
      <c r="B161" s="94" t="s">
        <v>810</v>
      </c>
      <c r="C161" s="95" t="s">
        <v>9</v>
      </c>
      <c r="D161" s="96"/>
      <c r="E161" s="97"/>
      <c r="F161" s="98" t="s">
        <v>43</v>
      </c>
      <c r="G161" s="99" t="s">
        <v>87</v>
      </c>
      <c r="H161" s="93" t="s">
        <v>811</v>
      </c>
      <c r="I161" s="95"/>
      <c r="J161" s="93" t="s">
        <v>68</v>
      </c>
      <c r="K161" s="93">
        <v>27.0</v>
      </c>
      <c r="L161" s="101"/>
      <c r="M161" s="102"/>
      <c r="N161" s="103" t="s">
        <v>43</v>
      </c>
      <c r="O161" s="102"/>
      <c r="P161" s="102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A162" s="77">
        <f t="shared" si="1"/>
        <v>157</v>
      </c>
      <c r="B162" s="78" t="s">
        <v>813</v>
      </c>
      <c r="C162" s="82" t="s">
        <v>49</v>
      </c>
      <c r="D162" s="83"/>
      <c r="E162" s="84"/>
      <c r="F162" s="85" t="s">
        <v>43</v>
      </c>
      <c r="G162" s="86" t="s">
        <v>87</v>
      </c>
      <c r="H162" s="87" t="s">
        <v>814</v>
      </c>
      <c r="I162" s="82"/>
      <c r="J162" s="87" t="s">
        <v>68</v>
      </c>
      <c r="K162" s="87">
        <v>19.0</v>
      </c>
      <c r="L162" s="89"/>
      <c r="M162" s="77"/>
      <c r="N162" s="91" t="s">
        <v>43</v>
      </c>
      <c r="O162" s="77"/>
      <c r="P162" s="77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A163" s="102">
        <f t="shared" si="1"/>
        <v>158</v>
      </c>
      <c r="B163" s="94" t="s">
        <v>818</v>
      </c>
      <c r="C163" s="95" t="s">
        <v>5</v>
      </c>
      <c r="D163" s="96"/>
      <c r="E163" s="97"/>
      <c r="F163" s="98" t="s">
        <v>43</v>
      </c>
      <c r="G163" s="99" t="s">
        <v>87</v>
      </c>
      <c r="H163" s="93" t="s">
        <v>820</v>
      </c>
      <c r="I163" s="107" t="s">
        <v>5</v>
      </c>
      <c r="J163" s="93" t="s">
        <v>96</v>
      </c>
      <c r="K163" s="93">
        <v>5.0</v>
      </c>
      <c r="L163" s="101"/>
      <c r="M163" s="102"/>
      <c r="N163" s="103" t="s">
        <v>43</v>
      </c>
      <c r="O163" s="102"/>
      <c r="P163" s="102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A164" s="77">
        <f t="shared" si="1"/>
        <v>159</v>
      </c>
      <c r="B164" s="78" t="s">
        <v>823</v>
      </c>
      <c r="C164" s="82" t="s">
        <v>49</v>
      </c>
      <c r="D164" s="83"/>
      <c r="E164" s="84"/>
      <c r="F164" s="85" t="s">
        <v>43</v>
      </c>
      <c r="G164" s="86" t="s">
        <v>87</v>
      </c>
      <c r="H164" s="87" t="s">
        <v>825</v>
      </c>
      <c r="I164" s="82"/>
      <c r="J164" s="87" t="s">
        <v>51</v>
      </c>
      <c r="K164" s="87">
        <v>21.0</v>
      </c>
      <c r="L164" s="89"/>
      <c r="M164" s="77"/>
      <c r="N164" s="91" t="s">
        <v>43</v>
      </c>
      <c r="O164" s="77"/>
      <c r="P164" s="77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A165" s="102">
        <f t="shared" si="1"/>
        <v>160</v>
      </c>
      <c r="B165" s="94" t="s">
        <v>827</v>
      </c>
      <c r="C165" s="95" t="s">
        <v>49</v>
      </c>
      <c r="D165" s="96"/>
      <c r="E165" s="97"/>
      <c r="F165" s="98" t="s">
        <v>43</v>
      </c>
      <c r="G165" s="99" t="s">
        <v>87</v>
      </c>
      <c r="H165" s="93" t="s">
        <v>830</v>
      </c>
      <c r="I165" s="95"/>
      <c r="J165" s="93" t="s">
        <v>55</v>
      </c>
      <c r="K165" s="93">
        <v>20.0</v>
      </c>
      <c r="L165" s="101"/>
      <c r="M165" s="102"/>
      <c r="N165" s="103" t="s">
        <v>43</v>
      </c>
      <c r="O165" s="102"/>
      <c r="P165" s="102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A166" s="77">
        <f t="shared" si="1"/>
        <v>161</v>
      </c>
      <c r="B166" s="78" t="s">
        <v>831</v>
      </c>
      <c r="C166" s="82" t="s">
        <v>49</v>
      </c>
      <c r="D166" s="83"/>
      <c r="E166" s="84"/>
      <c r="F166" s="114" t="s">
        <v>834</v>
      </c>
      <c r="G166" s="86" t="s">
        <v>53</v>
      </c>
      <c r="H166" s="87" t="s">
        <v>835</v>
      </c>
      <c r="I166" s="82"/>
      <c r="J166" s="87" t="s">
        <v>99</v>
      </c>
      <c r="K166" s="87">
        <v>36.0</v>
      </c>
      <c r="L166" s="89"/>
      <c r="M166" s="77"/>
      <c r="N166" s="91" t="s">
        <v>43</v>
      </c>
      <c r="O166" s="77"/>
      <c r="P166" s="77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A167" s="102">
        <f t="shared" si="1"/>
        <v>162</v>
      </c>
      <c r="B167" s="94" t="s">
        <v>839</v>
      </c>
      <c r="C167" s="107" t="s">
        <v>72</v>
      </c>
      <c r="D167" s="96"/>
      <c r="E167" s="97"/>
      <c r="F167" s="98" t="s">
        <v>43</v>
      </c>
      <c r="G167" s="99" t="s">
        <v>87</v>
      </c>
      <c r="H167" s="93" t="s">
        <v>840</v>
      </c>
      <c r="I167" s="95" t="s">
        <v>69</v>
      </c>
      <c r="J167" s="93" t="s">
        <v>89</v>
      </c>
      <c r="K167" s="93">
        <v>37.0</v>
      </c>
      <c r="L167" s="101"/>
      <c r="M167" s="102"/>
      <c r="N167" s="102"/>
      <c r="O167" s="102"/>
      <c r="P167" s="102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A168" s="77">
        <f t="shared" si="1"/>
        <v>163</v>
      </c>
      <c r="B168" s="78" t="s">
        <v>844</v>
      </c>
      <c r="C168" s="82" t="s">
        <v>49</v>
      </c>
      <c r="D168" s="83"/>
      <c r="E168" s="84"/>
      <c r="F168" s="85" t="s">
        <v>43</v>
      </c>
      <c r="G168" s="86" t="s">
        <v>87</v>
      </c>
      <c r="H168" s="77"/>
      <c r="I168" s="82"/>
      <c r="J168" s="87" t="s">
        <v>89</v>
      </c>
      <c r="K168" s="87">
        <v>22.0</v>
      </c>
      <c r="L168" s="89"/>
      <c r="M168" s="77"/>
      <c r="N168" s="77"/>
      <c r="O168" s="77"/>
      <c r="P168" s="77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A169" s="102">
        <f t="shared" si="1"/>
        <v>164</v>
      </c>
      <c r="B169" s="94" t="s">
        <v>848</v>
      </c>
      <c r="C169" s="95" t="s">
        <v>49</v>
      </c>
      <c r="D169" s="96"/>
      <c r="E169" s="97"/>
      <c r="F169" s="98" t="s">
        <v>43</v>
      </c>
      <c r="G169" s="99" t="s">
        <v>53</v>
      </c>
      <c r="H169" s="93" t="s">
        <v>850</v>
      </c>
      <c r="I169" s="95"/>
      <c r="J169" s="93" t="s">
        <v>96</v>
      </c>
      <c r="K169" s="93">
        <v>5.0</v>
      </c>
      <c r="L169" s="101"/>
      <c r="M169" s="102"/>
      <c r="N169" s="102"/>
      <c r="O169" s="102"/>
      <c r="P169" s="102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A170" s="77">
        <f t="shared" si="1"/>
        <v>165</v>
      </c>
      <c r="B170" s="78" t="s">
        <v>852</v>
      </c>
      <c r="C170" s="82" t="s">
        <v>49</v>
      </c>
      <c r="D170" s="83"/>
      <c r="E170" s="84"/>
      <c r="F170" s="85" t="s">
        <v>60</v>
      </c>
      <c r="G170" s="86" t="s">
        <v>53</v>
      </c>
      <c r="H170" s="87" t="s">
        <v>854</v>
      </c>
      <c r="I170" s="82"/>
      <c r="J170" s="87" t="s">
        <v>55</v>
      </c>
      <c r="K170" s="87">
        <v>15.0</v>
      </c>
      <c r="L170" s="89"/>
      <c r="M170" s="77"/>
      <c r="N170" s="91" t="s">
        <v>43</v>
      </c>
      <c r="O170" s="77"/>
      <c r="P170" s="77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A171" s="102">
        <f t="shared" si="1"/>
        <v>166</v>
      </c>
      <c r="B171" s="94" t="s">
        <v>857</v>
      </c>
      <c r="C171" s="95" t="s">
        <v>69</v>
      </c>
      <c r="D171" s="96"/>
      <c r="E171" s="97"/>
      <c r="F171" s="98" t="s">
        <v>43</v>
      </c>
      <c r="G171" s="99" t="s">
        <v>87</v>
      </c>
      <c r="H171" s="102"/>
      <c r="I171" s="95"/>
      <c r="J171" s="93" t="s">
        <v>51</v>
      </c>
      <c r="K171" s="93">
        <v>25.0</v>
      </c>
      <c r="L171" s="101"/>
      <c r="M171" s="102"/>
      <c r="N171" s="102"/>
      <c r="O171" s="102"/>
      <c r="P171" s="102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A172" s="77">
        <f t="shared" si="1"/>
        <v>167</v>
      </c>
      <c r="B172" s="78" t="s">
        <v>862</v>
      </c>
      <c r="C172" s="82" t="s">
        <v>49</v>
      </c>
      <c r="D172" s="83"/>
      <c r="E172" s="84"/>
      <c r="F172" s="85" t="s">
        <v>43</v>
      </c>
      <c r="G172" s="86" t="s">
        <v>53</v>
      </c>
      <c r="H172" s="77"/>
      <c r="I172" s="82"/>
      <c r="J172" s="87" t="s">
        <v>68</v>
      </c>
      <c r="K172" s="87">
        <v>9.0</v>
      </c>
      <c r="L172" s="89"/>
      <c r="M172" s="77"/>
      <c r="N172" s="77"/>
      <c r="O172" s="77"/>
      <c r="P172" s="77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A173" s="102">
        <f t="shared" si="1"/>
        <v>168</v>
      </c>
      <c r="B173" s="94" t="s">
        <v>865</v>
      </c>
      <c r="C173" s="95" t="s">
        <v>5</v>
      </c>
      <c r="D173" s="96"/>
      <c r="E173" s="97"/>
      <c r="F173" s="98" t="s">
        <v>43</v>
      </c>
      <c r="G173" s="99" t="s">
        <v>87</v>
      </c>
      <c r="H173" s="102"/>
      <c r="I173" s="95"/>
      <c r="J173" s="93" t="s">
        <v>55</v>
      </c>
      <c r="K173" s="93">
        <v>26.0</v>
      </c>
      <c r="L173" s="101"/>
      <c r="M173" s="102"/>
      <c r="N173" s="102"/>
      <c r="O173" s="102"/>
      <c r="P173" s="102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A174" s="77">
        <f t="shared" si="1"/>
        <v>169</v>
      </c>
      <c r="B174" s="78" t="s">
        <v>868</v>
      </c>
      <c r="C174" s="111" t="s">
        <v>5</v>
      </c>
      <c r="D174" s="83"/>
      <c r="E174" s="84"/>
      <c r="F174" s="85" t="s">
        <v>43</v>
      </c>
      <c r="G174" s="86" t="s">
        <v>87</v>
      </c>
      <c r="H174" s="77"/>
      <c r="I174" s="82"/>
      <c r="J174" s="87" t="s">
        <v>68</v>
      </c>
      <c r="K174" s="87">
        <v>10.0</v>
      </c>
      <c r="L174" s="89"/>
      <c r="M174" s="77"/>
      <c r="N174" s="77"/>
      <c r="O174" s="77"/>
      <c r="P174" s="77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A175" s="102">
        <f t="shared" si="1"/>
        <v>170</v>
      </c>
      <c r="B175" s="94" t="s">
        <v>872</v>
      </c>
      <c r="C175" s="95" t="s">
        <v>49</v>
      </c>
      <c r="D175" s="96"/>
      <c r="E175" s="97"/>
      <c r="F175" s="98" t="s">
        <v>43</v>
      </c>
      <c r="G175" s="99" t="s">
        <v>53</v>
      </c>
      <c r="H175" s="93" t="s">
        <v>873</v>
      </c>
      <c r="I175" s="95"/>
      <c r="J175" s="93" t="s">
        <v>55</v>
      </c>
      <c r="K175" s="93">
        <v>28.0</v>
      </c>
      <c r="L175" s="101"/>
      <c r="M175" s="102"/>
      <c r="N175" s="103" t="s">
        <v>43</v>
      </c>
      <c r="O175" s="102"/>
      <c r="P175" s="102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A176" s="77">
        <f t="shared" si="1"/>
        <v>171</v>
      </c>
      <c r="B176" s="78" t="s">
        <v>554</v>
      </c>
      <c r="C176" s="82" t="s">
        <v>49</v>
      </c>
      <c r="D176" s="83"/>
      <c r="E176" s="113"/>
      <c r="F176" s="85" t="s">
        <v>43</v>
      </c>
      <c r="G176" s="86" t="s">
        <v>53</v>
      </c>
      <c r="H176" s="87" t="s">
        <v>876</v>
      </c>
      <c r="I176" s="82"/>
      <c r="J176" s="87" t="s">
        <v>174</v>
      </c>
      <c r="K176" s="87">
        <v>14.0</v>
      </c>
      <c r="L176" s="89"/>
      <c r="M176" s="77"/>
      <c r="N176" s="91" t="s">
        <v>60</v>
      </c>
      <c r="O176" s="77"/>
      <c r="P176" s="77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A177" s="102">
        <f t="shared" si="1"/>
        <v>172</v>
      </c>
      <c r="B177" s="94" t="s">
        <v>731</v>
      </c>
      <c r="C177" s="95" t="s">
        <v>49</v>
      </c>
      <c r="D177" s="96"/>
      <c r="E177" s="97"/>
      <c r="F177" s="98" t="s">
        <v>43</v>
      </c>
      <c r="G177" s="99" t="s">
        <v>53</v>
      </c>
      <c r="H177" s="102"/>
      <c r="I177" s="95"/>
      <c r="J177" s="93" t="s">
        <v>68</v>
      </c>
      <c r="K177" s="93">
        <v>1.0</v>
      </c>
      <c r="L177" s="101"/>
      <c r="M177" s="102"/>
      <c r="N177" s="102"/>
      <c r="O177" s="102"/>
      <c r="P177" s="102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A178" s="77">
        <f t="shared" si="1"/>
        <v>173</v>
      </c>
      <c r="B178" s="78" t="s">
        <v>884</v>
      </c>
      <c r="C178" s="82" t="s">
        <v>49</v>
      </c>
      <c r="D178" s="83"/>
      <c r="E178" s="84"/>
      <c r="F178" s="85" t="s">
        <v>43</v>
      </c>
      <c r="G178" s="86" t="s">
        <v>87</v>
      </c>
      <c r="H178" s="87" t="s">
        <v>885</v>
      </c>
      <c r="I178" s="82" t="s">
        <v>72</v>
      </c>
      <c r="J178" s="87" t="s">
        <v>55</v>
      </c>
      <c r="K178" s="87">
        <v>18.0</v>
      </c>
      <c r="L178" s="89"/>
      <c r="M178" s="77"/>
      <c r="N178" s="91" t="s">
        <v>43</v>
      </c>
      <c r="O178" s="77"/>
      <c r="P178" s="77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A179" s="102">
        <f t="shared" si="1"/>
        <v>174</v>
      </c>
      <c r="B179" s="94" t="s">
        <v>887</v>
      </c>
      <c r="C179" s="107" t="s">
        <v>5</v>
      </c>
      <c r="D179" s="96"/>
      <c r="E179" s="97"/>
      <c r="F179" s="98" t="s">
        <v>43</v>
      </c>
      <c r="G179" s="99" t="s">
        <v>87</v>
      </c>
      <c r="H179" s="102"/>
      <c r="I179" s="95"/>
      <c r="J179" s="93" t="s">
        <v>51</v>
      </c>
      <c r="K179" s="93">
        <v>33.0</v>
      </c>
      <c r="L179" s="101"/>
      <c r="M179" s="102"/>
      <c r="N179" s="102"/>
      <c r="O179" s="102"/>
      <c r="P179" s="102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A180" s="77">
        <f t="shared" si="1"/>
        <v>175</v>
      </c>
      <c r="B180" s="78" t="s">
        <v>891</v>
      </c>
      <c r="C180" s="82" t="s">
        <v>49</v>
      </c>
      <c r="D180" s="83"/>
      <c r="E180" s="84"/>
      <c r="F180" s="85" t="s">
        <v>60</v>
      </c>
      <c r="G180" s="86" t="s">
        <v>53</v>
      </c>
      <c r="H180" s="87" t="s">
        <v>895</v>
      </c>
      <c r="I180" s="82"/>
      <c r="J180" s="87" t="s">
        <v>68</v>
      </c>
      <c r="K180" s="87">
        <v>22.0</v>
      </c>
      <c r="L180" s="89"/>
      <c r="M180" s="77"/>
      <c r="N180" s="91" t="s">
        <v>43</v>
      </c>
      <c r="O180" s="77"/>
      <c r="P180" s="77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A181" s="102">
        <f t="shared" si="1"/>
        <v>176</v>
      </c>
      <c r="B181" s="117" t="s">
        <v>897</v>
      </c>
      <c r="C181" s="95" t="s">
        <v>72</v>
      </c>
      <c r="D181" s="96"/>
      <c r="E181" s="97"/>
      <c r="F181" s="98" t="s">
        <v>43</v>
      </c>
      <c r="G181" s="99" t="s">
        <v>87</v>
      </c>
      <c r="H181" s="102"/>
      <c r="I181" s="95"/>
      <c r="J181" s="93" t="s">
        <v>68</v>
      </c>
      <c r="K181" s="93">
        <v>31.0</v>
      </c>
      <c r="L181" s="101"/>
      <c r="M181" s="102"/>
      <c r="N181" s="102"/>
      <c r="O181" s="102"/>
      <c r="P181" s="102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A182" s="77">
        <f t="shared" si="1"/>
        <v>177</v>
      </c>
      <c r="B182" s="78" t="s">
        <v>155</v>
      </c>
      <c r="C182" s="82" t="s">
        <v>49</v>
      </c>
      <c r="D182" s="83"/>
      <c r="E182" s="113"/>
      <c r="F182" s="85" t="s">
        <v>43</v>
      </c>
      <c r="G182" s="86" t="s">
        <v>53</v>
      </c>
      <c r="H182" s="87" t="s">
        <v>903</v>
      </c>
      <c r="I182" s="82"/>
      <c r="J182" s="87" t="s">
        <v>47</v>
      </c>
      <c r="K182" s="87">
        <v>9.0</v>
      </c>
      <c r="L182" s="89"/>
      <c r="M182" s="77"/>
      <c r="N182" s="113"/>
      <c r="O182" s="77"/>
      <c r="P182" s="77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A183" s="102">
        <f t="shared" si="1"/>
        <v>178</v>
      </c>
      <c r="B183" s="94" t="s">
        <v>907</v>
      </c>
      <c r="C183" s="95" t="s">
        <v>69</v>
      </c>
      <c r="D183" s="96"/>
      <c r="E183" s="97"/>
      <c r="F183" s="98" t="s">
        <v>43</v>
      </c>
      <c r="G183" s="99" t="s">
        <v>87</v>
      </c>
      <c r="H183" s="102"/>
      <c r="I183" s="95"/>
      <c r="J183" s="93" t="s">
        <v>96</v>
      </c>
      <c r="K183" s="93">
        <v>28.0</v>
      </c>
      <c r="L183" s="101"/>
      <c r="M183" s="102"/>
      <c r="N183" s="102"/>
      <c r="O183" s="102"/>
      <c r="P183" s="102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A184" s="77">
        <f t="shared" si="1"/>
        <v>179</v>
      </c>
      <c r="B184" s="116" t="s">
        <v>909</v>
      </c>
      <c r="C184" s="82" t="s">
        <v>5</v>
      </c>
      <c r="D184" s="83"/>
      <c r="E184" s="84"/>
      <c r="F184" s="85" t="s">
        <v>43</v>
      </c>
      <c r="G184" s="86" t="s">
        <v>87</v>
      </c>
      <c r="H184" s="77"/>
      <c r="I184" s="82"/>
      <c r="J184" s="87" t="s">
        <v>174</v>
      </c>
      <c r="K184" s="87">
        <v>12.0</v>
      </c>
      <c r="L184" s="89"/>
      <c r="M184" s="77"/>
      <c r="N184" s="77"/>
      <c r="O184" s="77"/>
      <c r="P184" s="77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A185" s="102">
        <f t="shared" si="1"/>
        <v>180</v>
      </c>
      <c r="B185" s="94" t="s">
        <v>915</v>
      </c>
      <c r="C185" s="95" t="s">
        <v>5</v>
      </c>
      <c r="D185" s="96"/>
      <c r="E185" s="97"/>
      <c r="F185" s="98" t="s">
        <v>43</v>
      </c>
      <c r="G185" s="99" t="s">
        <v>87</v>
      </c>
      <c r="H185" s="102"/>
      <c r="I185" s="95"/>
      <c r="J185" s="93" t="s">
        <v>55</v>
      </c>
      <c r="K185" s="102"/>
      <c r="L185" s="101"/>
      <c r="M185" s="102"/>
      <c r="N185" s="102"/>
      <c r="O185" s="102"/>
      <c r="P185" s="102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A186" s="77">
        <f t="shared" si="1"/>
        <v>181</v>
      </c>
      <c r="B186" s="78" t="s">
        <v>918</v>
      </c>
      <c r="C186" s="82" t="s">
        <v>49</v>
      </c>
      <c r="D186" s="83"/>
      <c r="E186" s="84"/>
      <c r="F186" s="85" t="s">
        <v>43</v>
      </c>
      <c r="G186" s="86" t="s">
        <v>53</v>
      </c>
      <c r="H186" s="77"/>
      <c r="I186" s="82"/>
      <c r="J186" s="87" t="s">
        <v>96</v>
      </c>
      <c r="K186" s="87">
        <v>35.0</v>
      </c>
      <c r="L186" s="89"/>
      <c r="M186" s="77"/>
      <c r="N186" s="77"/>
      <c r="O186" s="77"/>
      <c r="P186" s="77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A187" s="102">
        <f t="shared" si="1"/>
        <v>182</v>
      </c>
      <c r="B187" s="94" t="s">
        <v>921</v>
      </c>
      <c r="C187" s="95" t="s">
        <v>5</v>
      </c>
      <c r="D187" s="96"/>
      <c r="E187" s="97"/>
      <c r="F187" s="109" t="s">
        <v>43</v>
      </c>
      <c r="G187" s="99" t="s">
        <v>87</v>
      </c>
      <c r="H187" s="102"/>
      <c r="I187" s="95"/>
      <c r="J187" s="93" t="s">
        <v>99</v>
      </c>
      <c r="K187" s="102"/>
      <c r="L187" s="101"/>
      <c r="M187" s="102"/>
      <c r="N187" s="102"/>
      <c r="O187" s="102"/>
      <c r="P187" s="102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A188" s="77">
        <f t="shared" si="1"/>
        <v>183</v>
      </c>
      <c r="B188" s="78" t="s">
        <v>925</v>
      </c>
      <c r="C188" s="82" t="s">
        <v>5</v>
      </c>
      <c r="D188" s="83"/>
      <c r="E188" s="84"/>
      <c r="F188" s="85" t="s">
        <v>43</v>
      </c>
      <c r="G188" s="86" t="s">
        <v>87</v>
      </c>
      <c r="H188" s="87" t="s">
        <v>927</v>
      </c>
      <c r="I188" s="82" t="s">
        <v>5</v>
      </c>
      <c r="J188" s="87" t="s">
        <v>68</v>
      </c>
      <c r="K188" s="87">
        <v>27.0</v>
      </c>
      <c r="L188" s="89"/>
      <c r="M188" s="77"/>
      <c r="N188" s="91" t="s">
        <v>43</v>
      </c>
      <c r="O188" s="87">
        <v>2.0</v>
      </c>
      <c r="P188" s="77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A189" s="102">
        <f t="shared" si="1"/>
        <v>184</v>
      </c>
      <c r="B189" s="94" t="s">
        <v>930</v>
      </c>
      <c r="C189" s="107" t="s">
        <v>5</v>
      </c>
      <c r="D189" s="96"/>
      <c r="E189" s="97"/>
      <c r="F189" s="98" t="s">
        <v>43</v>
      </c>
      <c r="G189" s="99" t="s">
        <v>87</v>
      </c>
      <c r="H189" s="93" t="s">
        <v>931</v>
      </c>
      <c r="I189" s="95" t="s">
        <v>9</v>
      </c>
      <c r="J189" s="93" t="s">
        <v>55</v>
      </c>
      <c r="K189" s="93">
        <v>26.0</v>
      </c>
      <c r="L189" s="101"/>
      <c r="M189" s="102"/>
      <c r="N189" s="103" t="s">
        <v>43</v>
      </c>
      <c r="O189" s="102"/>
      <c r="P189" s="102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>
      <c r="A190" s="77">
        <f t="shared" si="1"/>
        <v>185</v>
      </c>
      <c r="B190" s="78" t="s">
        <v>287</v>
      </c>
      <c r="C190" s="82" t="s">
        <v>49</v>
      </c>
      <c r="D190" s="83"/>
      <c r="E190" s="113"/>
      <c r="F190" s="85" t="s">
        <v>43</v>
      </c>
      <c r="G190" s="86" t="s">
        <v>53</v>
      </c>
      <c r="H190" s="87" t="s">
        <v>937</v>
      </c>
      <c r="I190" s="82"/>
      <c r="J190" s="87" t="s">
        <v>47</v>
      </c>
      <c r="K190" s="87">
        <v>24.0</v>
      </c>
      <c r="L190" s="89"/>
      <c r="M190" s="77"/>
      <c r="N190" s="91" t="s">
        <v>60</v>
      </c>
      <c r="O190" s="77"/>
      <c r="P190" s="77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A191" s="102">
        <f t="shared" si="1"/>
        <v>186</v>
      </c>
      <c r="B191" s="94" t="s">
        <v>941</v>
      </c>
      <c r="C191" s="95" t="s">
        <v>49</v>
      </c>
      <c r="D191" s="96"/>
      <c r="E191" s="97"/>
      <c r="F191" s="98" t="s">
        <v>203</v>
      </c>
      <c r="G191" s="99" t="s">
        <v>49</v>
      </c>
      <c r="H191" s="93" t="s">
        <v>942</v>
      </c>
      <c r="I191" s="95"/>
      <c r="J191" s="93" t="s">
        <v>99</v>
      </c>
      <c r="K191" s="93">
        <v>2.0</v>
      </c>
      <c r="L191" s="101"/>
      <c r="M191" s="102"/>
      <c r="N191" s="103" t="s">
        <v>203</v>
      </c>
      <c r="O191" s="102"/>
      <c r="P191" s="102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A192" s="77">
        <f t="shared" si="1"/>
        <v>187</v>
      </c>
      <c r="B192" s="78" t="s">
        <v>944</v>
      </c>
      <c r="C192" s="111" t="s">
        <v>5</v>
      </c>
      <c r="D192" s="83"/>
      <c r="E192" s="84"/>
      <c r="F192" s="85" t="s">
        <v>43</v>
      </c>
      <c r="G192" s="86" t="s">
        <v>87</v>
      </c>
      <c r="H192" s="87" t="s">
        <v>946</v>
      </c>
      <c r="I192" s="118" t="s">
        <v>81</v>
      </c>
      <c r="J192" s="87" t="s">
        <v>89</v>
      </c>
      <c r="K192" s="87">
        <v>9.0</v>
      </c>
      <c r="L192" s="89"/>
      <c r="M192" s="77"/>
      <c r="N192" s="91" t="s">
        <v>43</v>
      </c>
      <c r="O192" s="87">
        <v>2.0</v>
      </c>
      <c r="P192" s="77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A193" s="102">
        <f t="shared" si="1"/>
        <v>188</v>
      </c>
      <c r="B193" s="94" t="s">
        <v>948</v>
      </c>
      <c r="C193" s="95" t="s">
        <v>5</v>
      </c>
      <c r="D193" s="96"/>
      <c r="E193" s="97"/>
      <c r="F193" s="98" t="s">
        <v>43</v>
      </c>
      <c r="G193" s="99" t="s">
        <v>87</v>
      </c>
      <c r="H193" s="93" t="s">
        <v>952</v>
      </c>
      <c r="I193" s="95" t="s">
        <v>5</v>
      </c>
      <c r="J193" s="93" t="s">
        <v>89</v>
      </c>
      <c r="K193" s="93">
        <v>11.0</v>
      </c>
      <c r="L193" s="101"/>
      <c r="M193" s="102"/>
      <c r="N193" s="103" t="s">
        <v>43</v>
      </c>
      <c r="O193" s="93">
        <v>2.0</v>
      </c>
      <c r="P193" s="102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A194" s="77">
        <f t="shared" si="1"/>
        <v>189</v>
      </c>
      <c r="B194" s="78" t="s">
        <v>693</v>
      </c>
      <c r="C194" s="82" t="s">
        <v>49</v>
      </c>
      <c r="D194" s="83"/>
      <c r="E194" s="84"/>
      <c r="F194" s="85" t="s">
        <v>60</v>
      </c>
      <c r="G194" s="86" t="s">
        <v>49</v>
      </c>
      <c r="H194" s="77"/>
      <c r="I194" s="82"/>
      <c r="J194" s="87" t="s">
        <v>174</v>
      </c>
      <c r="K194" s="87">
        <v>27.0</v>
      </c>
      <c r="L194" s="89"/>
      <c r="M194" s="77"/>
      <c r="N194" s="77"/>
      <c r="O194" s="77"/>
      <c r="P194" s="77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A195" s="102">
        <f t="shared" si="1"/>
        <v>190</v>
      </c>
      <c r="B195" s="94" t="s">
        <v>693</v>
      </c>
      <c r="C195" s="95" t="s">
        <v>49</v>
      </c>
      <c r="D195" s="96"/>
      <c r="E195" s="97"/>
      <c r="F195" s="109" t="s">
        <v>43</v>
      </c>
      <c r="G195" s="99" t="s">
        <v>53</v>
      </c>
      <c r="H195" s="93" t="s">
        <v>958</v>
      </c>
      <c r="I195" s="95"/>
      <c r="J195" s="93" t="s">
        <v>174</v>
      </c>
      <c r="K195" s="102"/>
      <c r="L195" s="101"/>
      <c r="M195" s="102"/>
      <c r="N195" s="102"/>
      <c r="O195" s="102"/>
      <c r="P195" s="102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A196" s="77">
        <f t="shared" si="1"/>
        <v>191</v>
      </c>
      <c r="B196" s="78" t="s">
        <v>960</v>
      </c>
      <c r="C196" s="82" t="s">
        <v>49</v>
      </c>
      <c r="D196" s="83"/>
      <c r="E196" s="84"/>
      <c r="F196" s="85" t="s">
        <v>43</v>
      </c>
      <c r="G196" s="86" t="s">
        <v>53</v>
      </c>
      <c r="H196" s="87" t="s">
        <v>961</v>
      </c>
      <c r="I196" s="82"/>
      <c r="J196" s="87" t="s">
        <v>89</v>
      </c>
      <c r="K196" s="87">
        <v>8.0</v>
      </c>
      <c r="L196" s="89"/>
      <c r="M196" s="77"/>
      <c r="N196" s="91" t="s">
        <v>60</v>
      </c>
      <c r="O196" s="77"/>
      <c r="P196" s="77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A197" s="102">
        <f t="shared" si="1"/>
        <v>192</v>
      </c>
      <c r="B197" s="94" t="s">
        <v>965</v>
      </c>
      <c r="C197" s="95" t="s">
        <v>49</v>
      </c>
      <c r="D197" s="96"/>
      <c r="E197" s="97"/>
      <c r="F197" s="98" t="s">
        <v>60</v>
      </c>
      <c r="G197" s="99" t="s">
        <v>49</v>
      </c>
      <c r="H197" s="93" t="s">
        <v>966</v>
      </c>
      <c r="I197" s="95"/>
      <c r="J197" s="93" t="s">
        <v>68</v>
      </c>
      <c r="K197" s="93">
        <v>9.0</v>
      </c>
      <c r="L197" s="101"/>
      <c r="M197" s="102"/>
      <c r="N197" s="103" t="s">
        <v>60</v>
      </c>
      <c r="O197" s="102"/>
      <c r="P197" s="102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A198" s="77">
        <f t="shared" si="1"/>
        <v>193</v>
      </c>
      <c r="B198" s="78" t="s">
        <v>971</v>
      </c>
      <c r="C198" s="82" t="s">
        <v>72</v>
      </c>
      <c r="D198" s="83"/>
      <c r="E198" s="84"/>
      <c r="F198" s="85" t="s">
        <v>43</v>
      </c>
      <c r="G198" s="86" t="s">
        <v>87</v>
      </c>
      <c r="H198" s="87" t="s">
        <v>972</v>
      </c>
      <c r="I198" s="82"/>
      <c r="J198" s="87" t="s">
        <v>96</v>
      </c>
      <c r="K198" s="87">
        <v>6.0</v>
      </c>
      <c r="L198" s="89"/>
      <c r="M198" s="77"/>
      <c r="N198" s="91" t="s">
        <v>43</v>
      </c>
      <c r="O198" s="77"/>
      <c r="P198" s="77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A199" s="102">
        <f t="shared" si="1"/>
        <v>194</v>
      </c>
      <c r="B199" s="94" t="s">
        <v>974</v>
      </c>
      <c r="C199" s="95" t="s">
        <v>9</v>
      </c>
      <c r="D199" s="96"/>
      <c r="E199" s="97"/>
      <c r="F199" s="109" t="s">
        <v>43</v>
      </c>
      <c r="G199" s="99" t="s">
        <v>87</v>
      </c>
      <c r="H199" s="102"/>
      <c r="I199" s="95"/>
      <c r="J199" s="93" t="s">
        <v>68</v>
      </c>
      <c r="K199" s="102"/>
      <c r="L199" s="101"/>
      <c r="M199" s="102"/>
      <c r="N199" s="102"/>
      <c r="O199" s="102"/>
      <c r="P199" s="102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A200" s="77">
        <f t="shared" si="1"/>
        <v>195</v>
      </c>
      <c r="B200" s="78" t="s">
        <v>977</v>
      </c>
      <c r="C200" s="82" t="s">
        <v>5</v>
      </c>
      <c r="D200" s="83"/>
      <c r="E200" s="84"/>
      <c r="F200" s="85" t="s">
        <v>43</v>
      </c>
      <c r="G200" s="86" t="s">
        <v>87</v>
      </c>
      <c r="H200" s="87" t="s">
        <v>978</v>
      </c>
      <c r="I200" s="82"/>
      <c r="J200" s="87" t="s">
        <v>51</v>
      </c>
      <c r="K200" s="87">
        <v>18.0</v>
      </c>
      <c r="L200" s="89"/>
      <c r="M200" s="77"/>
      <c r="N200" s="91" t="s">
        <v>43</v>
      </c>
      <c r="O200" s="77"/>
      <c r="P200" s="77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102">
        <f t="shared" si="1"/>
        <v>196</v>
      </c>
      <c r="B201" s="117" t="s">
        <v>983</v>
      </c>
      <c r="C201" s="95" t="s">
        <v>49</v>
      </c>
      <c r="D201" s="96"/>
      <c r="E201" s="97"/>
      <c r="F201" s="98" t="s">
        <v>43</v>
      </c>
      <c r="G201" s="99" t="s">
        <v>87</v>
      </c>
      <c r="H201" s="93" t="s">
        <v>984</v>
      </c>
      <c r="I201" s="95" t="s">
        <v>9</v>
      </c>
      <c r="J201" s="93" t="s">
        <v>89</v>
      </c>
      <c r="K201" s="93">
        <v>5.0</v>
      </c>
      <c r="L201" s="101"/>
      <c r="M201" s="102"/>
      <c r="N201" s="103" t="s">
        <v>43</v>
      </c>
      <c r="O201" s="102"/>
      <c r="P201" s="102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77">
        <f t="shared" si="1"/>
        <v>197</v>
      </c>
      <c r="B202" s="78" t="s">
        <v>987</v>
      </c>
      <c r="C202" s="82" t="s">
        <v>9</v>
      </c>
      <c r="D202" s="83"/>
      <c r="E202" s="84"/>
      <c r="F202" s="85" t="s">
        <v>43</v>
      </c>
      <c r="G202" s="86" t="s">
        <v>87</v>
      </c>
      <c r="H202" s="87" t="s">
        <v>988</v>
      </c>
      <c r="I202" s="82"/>
      <c r="J202" s="87" t="s">
        <v>55</v>
      </c>
      <c r="K202" s="87">
        <v>14.0</v>
      </c>
      <c r="L202" s="89"/>
      <c r="M202" s="77"/>
      <c r="N202" s="91" t="s">
        <v>60</v>
      </c>
      <c r="O202" s="77"/>
      <c r="P202" s="77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102">
        <f t="shared" si="1"/>
        <v>198</v>
      </c>
      <c r="B203" s="94" t="s">
        <v>990</v>
      </c>
      <c r="C203" s="95" t="s">
        <v>5</v>
      </c>
      <c r="D203" s="96"/>
      <c r="E203" s="97"/>
      <c r="F203" s="98" t="s">
        <v>43</v>
      </c>
      <c r="G203" s="99" t="s">
        <v>87</v>
      </c>
      <c r="H203" s="102"/>
      <c r="I203" s="95"/>
      <c r="J203" s="93" t="s">
        <v>96</v>
      </c>
      <c r="K203" s="93" t="s">
        <v>992</v>
      </c>
      <c r="L203" s="101"/>
      <c r="M203" s="102"/>
      <c r="N203" s="102"/>
      <c r="O203" s="93"/>
      <c r="P203" s="102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77">
        <f t="shared" si="1"/>
        <v>199</v>
      </c>
      <c r="B204" s="116" t="s">
        <v>996</v>
      </c>
      <c r="C204" s="82" t="s">
        <v>49</v>
      </c>
      <c r="D204" s="83"/>
      <c r="E204" s="84"/>
      <c r="F204" s="85" t="s">
        <v>43</v>
      </c>
      <c r="G204" s="86" t="s">
        <v>53</v>
      </c>
      <c r="H204" s="91" t="s">
        <v>998</v>
      </c>
      <c r="I204" s="82"/>
      <c r="J204" s="87" t="s">
        <v>55</v>
      </c>
      <c r="K204" s="87">
        <v>9.0</v>
      </c>
      <c r="L204" s="89"/>
      <c r="M204" s="77"/>
      <c r="N204" s="91" t="s">
        <v>43</v>
      </c>
      <c r="O204" s="77"/>
      <c r="P204" s="77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102">
        <f t="shared" si="1"/>
        <v>200</v>
      </c>
      <c r="B205" s="94" t="s">
        <v>1000</v>
      </c>
      <c r="C205" s="95" t="s">
        <v>49</v>
      </c>
      <c r="D205" s="96"/>
      <c r="E205" s="97"/>
      <c r="F205" s="98" t="s">
        <v>43</v>
      </c>
      <c r="G205" s="99" t="s">
        <v>53</v>
      </c>
      <c r="H205" s="93" t="s">
        <v>1001</v>
      </c>
      <c r="I205" s="95"/>
      <c r="J205" s="93" t="s">
        <v>89</v>
      </c>
      <c r="K205" s="93">
        <v>37.0</v>
      </c>
      <c r="L205" s="101"/>
      <c r="M205" s="102"/>
      <c r="N205" s="103" t="s">
        <v>43</v>
      </c>
      <c r="O205" s="102"/>
      <c r="P205" s="102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77">
        <f t="shared" si="1"/>
        <v>201</v>
      </c>
      <c r="B206" s="78" t="s">
        <v>1004</v>
      </c>
      <c r="C206" s="82" t="s">
        <v>49</v>
      </c>
      <c r="D206" s="83"/>
      <c r="E206" s="84"/>
      <c r="F206" s="85" t="s">
        <v>60</v>
      </c>
      <c r="G206" s="86" t="s">
        <v>53</v>
      </c>
      <c r="H206" s="87" t="s">
        <v>1005</v>
      </c>
      <c r="I206" s="82"/>
      <c r="J206" s="87" t="s">
        <v>89</v>
      </c>
      <c r="K206" s="87">
        <v>30.0</v>
      </c>
      <c r="L206" s="89"/>
      <c r="M206" s="77"/>
      <c r="N206" s="91" t="s">
        <v>43</v>
      </c>
      <c r="O206" s="77"/>
      <c r="P206" s="77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102">
        <f t="shared" si="1"/>
        <v>202</v>
      </c>
      <c r="B207" s="94" t="s">
        <v>1007</v>
      </c>
      <c r="C207" s="95" t="s">
        <v>5</v>
      </c>
      <c r="D207" s="96"/>
      <c r="E207" s="97"/>
      <c r="F207" s="109" t="s">
        <v>43</v>
      </c>
      <c r="G207" s="99" t="s">
        <v>87</v>
      </c>
      <c r="H207" s="102"/>
      <c r="I207" s="95"/>
      <c r="J207" s="93" t="s">
        <v>96</v>
      </c>
      <c r="K207" s="102"/>
      <c r="L207" s="101"/>
      <c r="M207" s="102"/>
      <c r="N207" s="102"/>
      <c r="O207" s="102"/>
      <c r="P207" s="102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77">
        <f t="shared" si="1"/>
        <v>203</v>
      </c>
      <c r="B208" s="78" t="s">
        <v>658</v>
      </c>
      <c r="C208" s="82" t="s">
        <v>5</v>
      </c>
      <c r="D208" s="83"/>
      <c r="E208" s="113"/>
      <c r="F208" s="119" t="s">
        <v>834</v>
      </c>
      <c r="G208" s="86" t="s">
        <v>87</v>
      </c>
      <c r="H208" s="87" t="s">
        <v>1012</v>
      </c>
      <c r="I208" s="82" t="s">
        <v>5</v>
      </c>
      <c r="J208" s="87" t="s">
        <v>174</v>
      </c>
      <c r="K208" s="87" t="s">
        <v>391</v>
      </c>
      <c r="L208" s="89"/>
      <c r="M208" s="77"/>
      <c r="N208" s="91" t="s">
        <v>43</v>
      </c>
      <c r="O208" s="77"/>
      <c r="P208" s="77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102">
        <f t="shared" si="1"/>
        <v>204</v>
      </c>
      <c r="B209" s="94" t="s">
        <v>1014</v>
      </c>
      <c r="C209" s="95" t="s">
        <v>49</v>
      </c>
      <c r="D209" s="96"/>
      <c r="E209" s="97"/>
      <c r="F209" s="98" t="s">
        <v>60</v>
      </c>
      <c r="G209" s="99" t="s">
        <v>49</v>
      </c>
      <c r="H209" s="93" t="s">
        <v>1016</v>
      </c>
      <c r="I209" s="95"/>
      <c r="J209" s="93" t="s">
        <v>55</v>
      </c>
      <c r="K209" s="93">
        <v>27.0</v>
      </c>
      <c r="L209" s="101"/>
      <c r="M209" s="102"/>
      <c r="N209" s="103" t="s">
        <v>60</v>
      </c>
      <c r="O209" s="102"/>
      <c r="P209" s="102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77">
        <f t="shared" si="1"/>
        <v>205</v>
      </c>
      <c r="B210" s="78" t="s">
        <v>1019</v>
      </c>
      <c r="C210" s="82" t="s">
        <v>69</v>
      </c>
      <c r="D210" s="83"/>
      <c r="E210" s="84"/>
      <c r="F210" s="85" t="s">
        <v>43</v>
      </c>
      <c r="G210" s="86" t="s">
        <v>87</v>
      </c>
      <c r="H210" s="87" t="s">
        <v>1020</v>
      </c>
      <c r="I210" s="82"/>
      <c r="J210" s="87" t="s">
        <v>89</v>
      </c>
      <c r="K210" s="87">
        <v>37.0</v>
      </c>
      <c r="L210" s="89"/>
      <c r="M210" s="77"/>
      <c r="N210" s="91" t="s">
        <v>43</v>
      </c>
      <c r="O210" s="87">
        <v>2.0</v>
      </c>
      <c r="P210" s="77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102">
        <f t="shared" si="1"/>
        <v>206</v>
      </c>
      <c r="B211" s="94" t="s">
        <v>1022</v>
      </c>
      <c r="C211" s="95" t="s">
        <v>69</v>
      </c>
      <c r="D211" s="96"/>
      <c r="E211" s="97"/>
      <c r="F211" s="98" t="s">
        <v>43</v>
      </c>
      <c r="G211" s="99" t="s">
        <v>87</v>
      </c>
      <c r="H211" s="93" t="s">
        <v>1025</v>
      </c>
      <c r="I211" s="95" t="s">
        <v>69</v>
      </c>
      <c r="J211" s="93" t="s">
        <v>51</v>
      </c>
      <c r="K211" s="93">
        <v>25.0</v>
      </c>
      <c r="L211" s="101"/>
      <c r="M211" s="102"/>
      <c r="N211" s="102"/>
      <c r="O211" s="102"/>
      <c r="P211" s="102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77">
        <f t="shared" si="1"/>
        <v>207</v>
      </c>
      <c r="B212" s="78" t="s">
        <v>676</v>
      </c>
      <c r="C212" s="82" t="s">
        <v>49</v>
      </c>
      <c r="D212" s="83"/>
      <c r="E212" s="113"/>
      <c r="F212" s="85" t="s">
        <v>43</v>
      </c>
      <c r="G212" s="86" t="s">
        <v>87</v>
      </c>
      <c r="H212" s="87" t="s">
        <v>1028</v>
      </c>
      <c r="I212" s="82" t="s">
        <v>72</v>
      </c>
      <c r="J212" s="87" t="s">
        <v>174</v>
      </c>
      <c r="K212" s="87">
        <v>27.0</v>
      </c>
      <c r="L212" s="89"/>
      <c r="M212" s="77"/>
      <c r="N212" s="91" t="s">
        <v>60</v>
      </c>
      <c r="O212" s="77"/>
      <c r="P212" s="77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102">
        <f t="shared" si="1"/>
        <v>208</v>
      </c>
      <c r="B213" s="94" t="s">
        <v>1031</v>
      </c>
      <c r="C213" s="95" t="s">
        <v>49</v>
      </c>
      <c r="D213" s="96"/>
      <c r="E213" s="97"/>
      <c r="F213" s="98" t="s">
        <v>43</v>
      </c>
      <c r="G213" s="99" t="s">
        <v>53</v>
      </c>
      <c r="H213" s="102"/>
      <c r="I213" s="95"/>
      <c r="J213" s="93" t="s">
        <v>99</v>
      </c>
      <c r="K213" s="93" t="s">
        <v>1033</v>
      </c>
      <c r="L213" s="101"/>
      <c r="M213" s="102"/>
      <c r="N213" s="102"/>
      <c r="O213" s="102"/>
      <c r="P213" s="102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77">
        <f t="shared" si="1"/>
        <v>209</v>
      </c>
      <c r="B214" s="78" t="s">
        <v>276</v>
      </c>
      <c r="C214" s="82" t="s">
        <v>49</v>
      </c>
      <c r="D214" s="83"/>
      <c r="E214" s="84"/>
      <c r="F214" s="85" t="s">
        <v>43</v>
      </c>
      <c r="G214" s="86" t="s">
        <v>87</v>
      </c>
      <c r="H214" s="77"/>
      <c r="I214" s="82"/>
      <c r="J214" s="87" t="s">
        <v>47</v>
      </c>
      <c r="K214" s="87">
        <v>23.0</v>
      </c>
      <c r="L214" s="89"/>
      <c r="M214" s="77"/>
      <c r="N214" s="77"/>
      <c r="O214" s="77"/>
      <c r="P214" s="77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102">
        <f t="shared" si="1"/>
        <v>210</v>
      </c>
      <c r="B215" s="94" t="s">
        <v>1037</v>
      </c>
      <c r="C215" s="95" t="s">
        <v>5</v>
      </c>
      <c r="D215" s="96"/>
      <c r="E215" s="97"/>
      <c r="F215" s="98" t="s">
        <v>43</v>
      </c>
      <c r="G215" s="99" t="s">
        <v>87</v>
      </c>
      <c r="H215" s="93" t="s">
        <v>1040</v>
      </c>
      <c r="I215" s="95" t="s">
        <v>5</v>
      </c>
      <c r="J215" s="93" t="s">
        <v>68</v>
      </c>
      <c r="K215" s="93">
        <v>28.0</v>
      </c>
      <c r="L215" s="101"/>
      <c r="M215" s="102"/>
      <c r="N215" s="102"/>
      <c r="O215" s="102"/>
      <c r="P215" s="102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77">
        <f t="shared" si="1"/>
        <v>211</v>
      </c>
      <c r="B216" s="78" t="s">
        <v>1042</v>
      </c>
      <c r="C216" s="82" t="s">
        <v>5</v>
      </c>
      <c r="D216" s="83"/>
      <c r="E216" s="84"/>
      <c r="F216" s="85" t="s">
        <v>43</v>
      </c>
      <c r="G216" s="86" t="s">
        <v>87</v>
      </c>
      <c r="I216" s="82"/>
      <c r="J216" s="87" t="s">
        <v>96</v>
      </c>
      <c r="K216" s="87">
        <v>2.0</v>
      </c>
      <c r="L216" s="89"/>
      <c r="M216" s="77"/>
      <c r="N216" s="91" t="s">
        <v>43</v>
      </c>
      <c r="O216" s="77"/>
      <c r="P216" s="77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102">
        <f t="shared" si="1"/>
        <v>212</v>
      </c>
      <c r="B217" s="94" t="s">
        <v>1044</v>
      </c>
      <c r="C217" s="107" t="s">
        <v>5</v>
      </c>
      <c r="D217" s="96"/>
      <c r="E217" s="97"/>
      <c r="F217" s="98" t="s">
        <v>43</v>
      </c>
      <c r="G217" s="99" t="s">
        <v>87</v>
      </c>
      <c r="H217" s="102"/>
      <c r="I217" s="95"/>
      <c r="J217" s="93" t="s">
        <v>89</v>
      </c>
      <c r="K217" s="93">
        <v>23.0</v>
      </c>
      <c r="L217" s="101"/>
      <c r="M217" s="102"/>
      <c r="N217" s="102"/>
      <c r="O217" s="102"/>
      <c r="P217" s="102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77">
        <f t="shared" si="1"/>
        <v>213</v>
      </c>
      <c r="B218" s="78" t="s">
        <v>1051</v>
      </c>
      <c r="C218" s="82" t="s">
        <v>5</v>
      </c>
      <c r="D218" s="83"/>
      <c r="E218" s="84"/>
      <c r="F218" s="114" t="s">
        <v>43</v>
      </c>
      <c r="G218" s="86" t="s">
        <v>87</v>
      </c>
      <c r="H218" s="77"/>
      <c r="I218" s="82"/>
      <c r="J218" s="87" t="s">
        <v>89</v>
      </c>
      <c r="K218" s="77"/>
      <c r="L218" s="89"/>
      <c r="M218" s="77"/>
      <c r="N218" s="77"/>
      <c r="O218" s="77"/>
      <c r="P218" s="77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102">
        <f t="shared" si="1"/>
        <v>214</v>
      </c>
      <c r="B219" s="94" t="s">
        <v>1055</v>
      </c>
      <c r="C219" s="95" t="s">
        <v>5</v>
      </c>
      <c r="D219" s="96"/>
      <c r="E219" s="97"/>
      <c r="F219" s="98" t="s">
        <v>43</v>
      </c>
      <c r="G219" s="99" t="s">
        <v>87</v>
      </c>
      <c r="H219" s="102"/>
      <c r="I219" s="95"/>
      <c r="J219" s="93" t="s">
        <v>174</v>
      </c>
      <c r="K219" s="93" t="s">
        <v>616</v>
      </c>
      <c r="L219" s="101"/>
      <c r="M219" s="102"/>
      <c r="N219" s="102"/>
      <c r="O219" s="102"/>
      <c r="P219" s="102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77">
        <f t="shared" si="1"/>
        <v>215</v>
      </c>
      <c r="B220" s="78" t="s">
        <v>1062</v>
      </c>
      <c r="C220" s="82" t="s">
        <v>49</v>
      </c>
      <c r="D220" s="83"/>
      <c r="E220" s="84"/>
      <c r="F220" s="85" t="s">
        <v>43</v>
      </c>
      <c r="G220" s="86" t="s">
        <v>53</v>
      </c>
      <c r="H220" s="77"/>
      <c r="I220" s="82"/>
      <c r="J220" s="87" t="s">
        <v>55</v>
      </c>
      <c r="K220" s="87">
        <v>37.0</v>
      </c>
      <c r="L220" s="89"/>
      <c r="M220" s="77"/>
      <c r="N220" s="77"/>
      <c r="O220" s="77"/>
      <c r="P220" s="77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102">
        <f t="shared" si="1"/>
        <v>216</v>
      </c>
      <c r="B221" s="117" t="s">
        <v>1067</v>
      </c>
      <c r="C221" s="95" t="s">
        <v>5</v>
      </c>
      <c r="D221" s="96"/>
      <c r="E221" s="97"/>
      <c r="F221" s="98" t="s">
        <v>43</v>
      </c>
      <c r="G221" s="99" t="s">
        <v>87</v>
      </c>
      <c r="H221" s="93" t="s">
        <v>1070</v>
      </c>
      <c r="I221" s="95"/>
      <c r="J221" s="93" t="s">
        <v>68</v>
      </c>
      <c r="K221" s="93" t="s">
        <v>1072</v>
      </c>
      <c r="L221" s="101"/>
      <c r="M221" s="102"/>
      <c r="N221" s="103" t="s">
        <v>60</v>
      </c>
      <c r="O221" s="102"/>
      <c r="P221" s="102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77">
        <f t="shared" si="1"/>
        <v>217</v>
      </c>
      <c r="B222" s="78" t="s">
        <v>1074</v>
      </c>
      <c r="C222" s="82" t="s">
        <v>49</v>
      </c>
      <c r="D222" s="83"/>
      <c r="E222" s="84"/>
      <c r="F222" s="85" t="s">
        <v>43</v>
      </c>
      <c r="G222" s="86" t="s">
        <v>87</v>
      </c>
      <c r="H222" s="87" t="s">
        <v>1075</v>
      </c>
      <c r="I222" s="82"/>
      <c r="J222" s="87" t="s">
        <v>89</v>
      </c>
      <c r="K222" s="87">
        <v>3.0</v>
      </c>
      <c r="L222" s="89"/>
      <c r="M222" s="77"/>
      <c r="N222" s="91" t="s">
        <v>43</v>
      </c>
      <c r="O222" s="87"/>
      <c r="P222" s="77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102">
        <f t="shared" si="1"/>
        <v>218</v>
      </c>
      <c r="B223" s="94" t="s">
        <v>1076</v>
      </c>
      <c r="C223" s="95" t="s">
        <v>49</v>
      </c>
      <c r="D223" s="96"/>
      <c r="E223" s="97"/>
      <c r="F223" s="98" t="s">
        <v>43</v>
      </c>
      <c r="G223" s="99" t="s">
        <v>53</v>
      </c>
      <c r="H223" s="93" t="s">
        <v>1080</v>
      </c>
      <c r="I223" s="95"/>
      <c r="J223" s="93" t="s">
        <v>89</v>
      </c>
      <c r="K223" s="93">
        <v>29.0</v>
      </c>
      <c r="L223" s="101"/>
      <c r="M223" s="102"/>
      <c r="N223" s="103" t="s">
        <v>43</v>
      </c>
      <c r="O223" s="102"/>
      <c r="P223" s="102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77">
        <f t="shared" si="1"/>
        <v>219</v>
      </c>
      <c r="B224" s="78" t="s">
        <v>1082</v>
      </c>
      <c r="C224" s="82" t="s">
        <v>49</v>
      </c>
      <c r="D224" s="83"/>
      <c r="E224" s="84"/>
      <c r="F224" s="85" t="s">
        <v>834</v>
      </c>
      <c r="G224" s="86" t="s">
        <v>87</v>
      </c>
      <c r="H224" s="87" t="s">
        <v>1083</v>
      </c>
      <c r="I224" s="82"/>
      <c r="J224" s="87" t="s">
        <v>89</v>
      </c>
      <c r="K224" s="87">
        <v>27.0</v>
      </c>
      <c r="L224" s="89"/>
      <c r="M224" s="77"/>
      <c r="N224" s="91" t="s">
        <v>43</v>
      </c>
      <c r="O224" s="77"/>
      <c r="P224" s="77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102">
        <f t="shared" si="1"/>
        <v>220</v>
      </c>
      <c r="B225" s="94" t="s">
        <v>691</v>
      </c>
      <c r="C225" s="95" t="s">
        <v>5</v>
      </c>
      <c r="D225" s="96"/>
      <c r="E225" s="97"/>
      <c r="F225" s="98" t="s">
        <v>43</v>
      </c>
      <c r="G225" s="99" t="s">
        <v>87</v>
      </c>
      <c r="H225" s="102"/>
      <c r="I225" s="95"/>
      <c r="J225" s="93" t="s">
        <v>174</v>
      </c>
      <c r="K225" s="93">
        <v>37.0</v>
      </c>
      <c r="L225" s="101"/>
      <c r="M225" s="102"/>
      <c r="N225" s="102"/>
      <c r="O225" s="102"/>
      <c r="P225" s="102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77">
        <f t="shared" si="1"/>
        <v>221</v>
      </c>
      <c r="B226" s="78" t="s">
        <v>1090</v>
      </c>
      <c r="C226" s="82" t="s">
        <v>49</v>
      </c>
      <c r="D226" s="83"/>
      <c r="E226" s="84"/>
      <c r="F226" s="114" t="s">
        <v>43</v>
      </c>
      <c r="G226" s="86" t="s">
        <v>53</v>
      </c>
      <c r="H226" s="77"/>
      <c r="I226" s="82"/>
      <c r="J226" s="87" t="s">
        <v>174</v>
      </c>
      <c r="K226" s="77"/>
      <c r="L226" s="89"/>
      <c r="M226" s="77"/>
      <c r="N226" s="77"/>
      <c r="O226" s="77"/>
      <c r="P226" s="77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102">
        <f t="shared" si="1"/>
        <v>222</v>
      </c>
      <c r="B227" s="94" t="s">
        <v>250</v>
      </c>
      <c r="C227" s="95" t="s">
        <v>5</v>
      </c>
      <c r="D227" s="96"/>
      <c r="E227" s="112"/>
      <c r="F227" s="98" t="s">
        <v>43</v>
      </c>
      <c r="G227" s="99" t="s">
        <v>87</v>
      </c>
      <c r="H227" s="93"/>
      <c r="I227" s="95"/>
      <c r="J227" s="93" t="s">
        <v>47</v>
      </c>
      <c r="K227" s="93">
        <v>22.0</v>
      </c>
      <c r="L227" s="101"/>
      <c r="M227" s="102"/>
      <c r="N227" s="102"/>
      <c r="O227" s="102"/>
      <c r="P227" s="102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77">
        <f t="shared" si="1"/>
        <v>223</v>
      </c>
      <c r="B228" s="78" t="s">
        <v>906</v>
      </c>
      <c r="C228" s="82" t="s">
        <v>49</v>
      </c>
      <c r="D228" s="83"/>
      <c r="E228" s="84"/>
      <c r="F228" s="85" t="s">
        <v>43</v>
      </c>
      <c r="G228" s="86" t="s">
        <v>87</v>
      </c>
      <c r="H228" s="87" t="s">
        <v>1095</v>
      </c>
      <c r="I228" s="82"/>
      <c r="J228" s="87" t="s">
        <v>68</v>
      </c>
      <c r="K228" s="87">
        <v>11.0</v>
      </c>
      <c r="L228" s="89"/>
      <c r="M228" s="77"/>
      <c r="N228" s="91" t="s">
        <v>43</v>
      </c>
      <c r="O228" s="77"/>
      <c r="P228" s="77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102">
        <f t="shared" si="1"/>
        <v>224</v>
      </c>
      <c r="B229" s="94" t="s">
        <v>1097</v>
      </c>
      <c r="C229" s="95" t="s">
        <v>49</v>
      </c>
      <c r="D229" s="96"/>
      <c r="E229" s="97"/>
      <c r="F229" s="98" t="s">
        <v>43</v>
      </c>
      <c r="G229" s="99" t="s">
        <v>53</v>
      </c>
      <c r="H229" s="102"/>
      <c r="I229" s="95"/>
      <c r="J229" s="93" t="s">
        <v>89</v>
      </c>
      <c r="K229" s="93">
        <v>12.0</v>
      </c>
      <c r="L229" s="101"/>
      <c r="M229" s="102"/>
      <c r="N229" s="102"/>
      <c r="O229" s="102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77">
        <f t="shared" si="1"/>
        <v>225</v>
      </c>
      <c r="B230" s="78" t="s">
        <v>1104</v>
      </c>
      <c r="C230" s="82" t="s">
        <v>49</v>
      </c>
      <c r="D230" s="83"/>
      <c r="E230" s="84"/>
      <c r="F230" s="85" t="s">
        <v>43</v>
      </c>
      <c r="G230" s="86" t="s">
        <v>87</v>
      </c>
      <c r="H230" s="77"/>
      <c r="I230" s="82"/>
      <c r="J230" s="87" t="s">
        <v>55</v>
      </c>
      <c r="K230" s="87">
        <v>23.0</v>
      </c>
      <c r="L230" s="89"/>
      <c r="M230" s="77"/>
      <c r="N230" s="77"/>
      <c r="O230" s="77"/>
      <c r="P230" s="77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102">
        <f t="shared" si="1"/>
        <v>226</v>
      </c>
      <c r="B231" s="94" t="s">
        <v>1106</v>
      </c>
      <c r="C231" s="95" t="s">
        <v>49</v>
      </c>
      <c r="D231" s="96"/>
      <c r="E231" s="97"/>
      <c r="F231" s="98" t="s">
        <v>60</v>
      </c>
      <c r="G231" s="99" t="s">
        <v>87</v>
      </c>
      <c r="H231" s="93" t="s">
        <v>1108</v>
      </c>
      <c r="I231" s="95" t="s">
        <v>69</v>
      </c>
      <c r="J231" s="93" t="s">
        <v>89</v>
      </c>
      <c r="K231" s="93">
        <v>24.0</v>
      </c>
      <c r="L231" s="101"/>
      <c r="M231" s="102"/>
      <c r="N231" s="93" t="s">
        <v>43</v>
      </c>
      <c r="O231" s="102"/>
      <c r="P231" s="102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77">
        <f t="shared" si="1"/>
        <v>227</v>
      </c>
      <c r="B232" s="78" t="s">
        <v>1109</v>
      </c>
      <c r="C232" s="82" t="s">
        <v>49</v>
      </c>
      <c r="D232" s="83"/>
      <c r="E232" s="84"/>
      <c r="F232" s="114" t="s">
        <v>43</v>
      </c>
      <c r="G232" s="86" t="s">
        <v>53</v>
      </c>
      <c r="H232" s="77"/>
      <c r="I232" s="82"/>
      <c r="J232" s="87" t="s">
        <v>89</v>
      </c>
      <c r="K232" s="77"/>
      <c r="L232" s="89"/>
      <c r="M232" s="77"/>
      <c r="N232" s="77"/>
      <c r="O232" s="77"/>
      <c r="P232" s="77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102">
        <f t="shared" si="1"/>
        <v>228</v>
      </c>
      <c r="B233" s="94" t="s">
        <v>1113</v>
      </c>
      <c r="C233" s="95" t="s">
        <v>49</v>
      </c>
      <c r="D233" s="96"/>
      <c r="E233" s="97"/>
      <c r="F233" s="98" t="s">
        <v>43</v>
      </c>
      <c r="G233" s="99" t="s">
        <v>53</v>
      </c>
      <c r="H233" s="93"/>
      <c r="I233" s="95"/>
      <c r="J233" s="93" t="s">
        <v>55</v>
      </c>
      <c r="K233" s="93">
        <v>20.0</v>
      </c>
      <c r="L233" s="101"/>
      <c r="M233" s="102"/>
      <c r="N233" s="102"/>
      <c r="O233" s="102"/>
      <c r="P233" s="102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77">
        <f t="shared" si="1"/>
        <v>229</v>
      </c>
      <c r="B234" s="78" t="s">
        <v>1117</v>
      </c>
      <c r="C234" s="82" t="s">
        <v>49</v>
      </c>
      <c r="D234" s="83"/>
      <c r="E234" s="84"/>
      <c r="F234" s="85" t="s">
        <v>60</v>
      </c>
      <c r="G234" s="86" t="s">
        <v>53</v>
      </c>
      <c r="H234" s="87" t="s">
        <v>1120</v>
      </c>
      <c r="I234" s="82"/>
      <c r="J234" s="87" t="s">
        <v>55</v>
      </c>
      <c r="K234" s="87">
        <v>11.0</v>
      </c>
      <c r="L234" s="89"/>
      <c r="M234" s="77"/>
      <c r="N234" s="91" t="s">
        <v>43</v>
      </c>
      <c r="O234" s="77"/>
      <c r="P234" s="77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102">
        <f t="shared" si="1"/>
        <v>230</v>
      </c>
      <c r="B235" s="94" t="s">
        <v>1122</v>
      </c>
      <c r="C235" s="95" t="s">
        <v>49</v>
      </c>
      <c r="D235" s="96"/>
      <c r="E235" s="97"/>
      <c r="F235" s="98" t="s">
        <v>43</v>
      </c>
      <c r="G235" s="99" t="s">
        <v>87</v>
      </c>
      <c r="H235" s="102"/>
      <c r="I235" s="95"/>
      <c r="J235" s="93" t="s">
        <v>68</v>
      </c>
      <c r="K235" s="93">
        <v>31.0</v>
      </c>
      <c r="L235" s="101"/>
      <c r="M235" s="102"/>
      <c r="N235" s="102"/>
      <c r="O235" s="102"/>
      <c r="P235" s="102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77">
        <f t="shared" si="1"/>
        <v>231</v>
      </c>
      <c r="B236" s="116" t="s">
        <v>1127</v>
      </c>
      <c r="C236" s="82" t="s">
        <v>49</v>
      </c>
      <c r="D236" s="83"/>
      <c r="E236" s="84"/>
      <c r="F236" s="85" t="s">
        <v>43</v>
      </c>
      <c r="G236" s="120" t="s">
        <v>49</v>
      </c>
      <c r="H236" s="77"/>
      <c r="I236" s="82"/>
      <c r="J236" s="87" t="s">
        <v>55</v>
      </c>
      <c r="K236" s="87">
        <v>26.0</v>
      </c>
      <c r="L236" s="89"/>
      <c r="M236" s="77"/>
      <c r="N236" s="77"/>
      <c r="O236" s="77"/>
      <c r="P236" s="77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102">
        <f t="shared" si="1"/>
        <v>232</v>
      </c>
      <c r="B237" s="94" t="s">
        <v>1130</v>
      </c>
      <c r="C237" s="95" t="s">
        <v>5</v>
      </c>
      <c r="D237" s="96"/>
      <c r="E237" s="97"/>
      <c r="F237" s="98" t="s">
        <v>43</v>
      </c>
      <c r="G237" s="99" t="s">
        <v>87</v>
      </c>
      <c r="H237" s="93" t="s">
        <v>1132</v>
      </c>
      <c r="I237" s="95" t="s">
        <v>5</v>
      </c>
      <c r="J237" s="93" t="s">
        <v>99</v>
      </c>
      <c r="K237" s="93" t="s">
        <v>1133</v>
      </c>
      <c r="L237" s="101"/>
      <c r="M237" s="102"/>
      <c r="N237" s="103" t="s">
        <v>43</v>
      </c>
      <c r="O237" s="102"/>
      <c r="P237" s="102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77">
        <f t="shared" si="1"/>
        <v>233</v>
      </c>
      <c r="B238" s="78" t="s">
        <v>1136</v>
      </c>
      <c r="C238" s="82" t="s">
        <v>49</v>
      </c>
      <c r="D238" s="83"/>
      <c r="E238" s="84"/>
      <c r="F238" s="85" t="s">
        <v>60</v>
      </c>
      <c r="G238" s="86" t="s">
        <v>53</v>
      </c>
      <c r="H238" s="87" t="s">
        <v>1139</v>
      </c>
      <c r="I238" s="82"/>
      <c r="J238" s="87" t="s">
        <v>96</v>
      </c>
      <c r="K238" s="87">
        <v>6.0</v>
      </c>
      <c r="L238" s="89"/>
      <c r="M238" s="77"/>
      <c r="N238" s="91" t="s">
        <v>43</v>
      </c>
      <c r="O238" s="77"/>
      <c r="P238" s="77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102">
        <f t="shared" si="1"/>
        <v>234</v>
      </c>
      <c r="B239" s="94" t="s">
        <v>567</v>
      </c>
      <c r="C239" s="95" t="s">
        <v>49</v>
      </c>
      <c r="D239" s="96"/>
      <c r="E239" s="112"/>
      <c r="F239" s="98" t="s">
        <v>43</v>
      </c>
      <c r="G239" s="99" t="s">
        <v>53</v>
      </c>
      <c r="H239" s="93" t="s">
        <v>1141</v>
      </c>
      <c r="I239" s="95"/>
      <c r="J239" s="93" t="s">
        <v>174</v>
      </c>
      <c r="K239" s="93">
        <v>27.0</v>
      </c>
      <c r="L239" s="101"/>
      <c r="M239" s="102"/>
      <c r="N239" s="103" t="s">
        <v>43</v>
      </c>
      <c r="O239" s="102"/>
      <c r="P239" s="102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77">
        <f t="shared" si="1"/>
        <v>235</v>
      </c>
      <c r="B240" s="78" t="s">
        <v>1144</v>
      </c>
      <c r="C240" s="82" t="s">
        <v>49</v>
      </c>
      <c r="D240" s="83"/>
      <c r="E240" s="84"/>
      <c r="F240" s="85" t="s">
        <v>43</v>
      </c>
      <c r="G240" s="86" t="s">
        <v>87</v>
      </c>
      <c r="H240" s="87" t="s">
        <v>1148</v>
      </c>
      <c r="I240" s="82" t="s">
        <v>72</v>
      </c>
      <c r="J240" s="87" t="s">
        <v>68</v>
      </c>
      <c r="K240" s="87">
        <v>32.0</v>
      </c>
      <c r="L240" s="89"/>
      <c r="M240" s="77"/>
      <c r="N240" s="87" t="s">
        <v>43</v>
      </c>
      <c r="O240" s="77"/>
      <c r="P240" s="77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102">
        <f t="shared" si="1"/>
        <v>236</v>
      </c>
      <c r="B241" s="94" t="s">
        <v>1151</v>
      </c>
      <c r="C241" s="95" t="s">
        <v>49</v>
      </c>
      <c r="D241" s="96"/>
      <c r="E241" s="97"/>
      <c r="F241" s="98" t="s">
        <v>43</v>
      </c>
      <c r="G241" s="99" t="s">
        <v>53</v>
      </c>
      <c r="H241" s="93" t="s">
        <v>1153</v>
      </c>
      <c r="I241" s="95"/>
      <c r="J241" s="93" t="s">
        <v>51</v>
      </c>
      <c r="K241" s="93">
        <v>25.0</v>
      </c>
      <c r="L241" s="101"/>
      <c r="M241" s="102"/>
      <c r="N241" s="103" t="s">
        <v>43</v>
      </c>
      <c r="O241" s="102"/>
      <c r="P241" s="102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77">
        <f t="shared" si="1"/>
        <v>237</v>
      </c>
      <c r="B242" s="78" t="s">
        <v>1157</v>
      </c>
      <c r="C242" s="82" t="s">
        <v>5</v>
      </c>
      <c r="D242" s="83"/>
      <c r="E242" s="84"/>
      <c r="F242" s="114" t="s">
        <v>43</v>
      </c>
      <c r="G242" s="86" t="s">
        <v>87</v>
      </c>
      <c r="H242" s="77"/>
      <c r="I242" s="82"/>
      <c r="J242" s="87" t="s">
        <v>55</v>
      </c>
      <c r="K242" s="77"/>
      <c r="L242" s="89"/>
      <c r="M242" s="77"/>
      <c r="N242" s="77"/>
      <c r="O242" s="77"/>
      <c r="P242" s="77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102">
        <f t="shared" si="1"/>
        <v>238</v>
      </c>
      <c r="B243" s="94" t="s">
        <v>1162</v>
      </c>
      <c r="C243" s="95" t="s">
        <v>49</v>
      </c>
      <c r="D243" s="96"/>
      <c r="E243" s="97"/>
      <c r="F243" s="98" t="s">
        <v>43</v>
      </c>
      <c r="G243" s="99" t="s">
        <v>53</v>
      </c>
      <c r="H243" s="102"/>
      <c r="I243" s="95"/>
      <c r="J243" s="93" t="s">
        <v>96</v>
      </c>
      <c r="K243" s="93">
        <v>8.0</v>
      </c>
      <c r="L243" s="101"/>
      <c r="M243" s="102"/>
      <c r="N243" s="102"/>
      <c r="O243" s="102"/>
      <c r="P243" s="102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77">
        <f t="shared" si="1"/>
        <v>239</v>
      </c>
      <c r="B244" s="78" t="s">
        <v>1168</v>
      </c>
      <c r="C244" s="82" t="s">
        <v>49</v>
      </c>
      <c r="D244" s="83"/>
      <c r="E244" s="84"/>
      <c r="F244" s="85" t="s">
        <v>43</v>
      </c>
      <c r="G244" s="86" t="s">
        <v>53</v>
      </c>
      <c r="H244" s="77"/>
      <c r="I244" s="82"/>
      <c r="J244" s="87" t="s">
        <v>68</v>
      </c>
      <c r="K244" s="87">
        <v>22.0</v>
      </c>
      <c r="L244" s="89"/>
      <c r="M244" s="77"/>
      <c r="N244" s="77"/>
      <c r="O244" s="77"/>
      <c r="P244" s="77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102">
        <f t="shared" si="1"/>
        <v>240</v>
      </c>
      <c r="B245" s="94" t="s">
        <v>1176</v>
      </c>
      <c r="C245" s="95" t="s">
        <v>49</v>
      </c>
      <c r="D245" s="96"/>
      <c r="E245" s="97"/>
      <c r="F245" s="98" t="s">
        <v>60</v>
      </c>
      <c r="G245" s="99" t="s">
        <v>49</v>
      </c>
      <c r="H245" s="93" t="s">
        <v>1177</v>
      </c>
      <c r="I245" s="95"/>
      <c r="J245" s="93" t="s">
        <v>89</v>
      </c>
      <c r="K245" s="93">
        <v>6.0</v>
      </c>
      <c r="L245" s="101"/>
      <c r="M245" s="102"/>
      <c r="N245" s="102"/>
      <c r="O245" s="102"/>
      <c r="P245" s="102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77">
        <f t="shared" si="1"/>
        <v>241</v>
      </c>
      <c r="B246" s="78" t="s">
        <v>1181</v>
      </c>
      <c r="C246" s="82" t="s">
        <v>49</v>
      </c>
      <c r="D246" s="83"/>
      <c r="E246" s="84"/>
      <c r="F246" s="85" t="s">
        <v>43</v>
      </c>
      <c r="G246" s="86" t="s">
        <v>53</v>
      </c>
      <c r="H246" s="77"/>
      <c r="I246" s="82"/>
      <c r="J246" s="87" t="s">
        <v>55</v>
      </c>
      <c r="K246" s="87">
        <v>26.0</v>
      </c>
      <c r="L246" s="89"/>
      <c r="M246" s="77"/>
      <c r="N246" s="77"/>
      <c r="O246" s="77"/>
      <c r="P246" s="77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102">
        <f t="shared" si="1"/>
        <v>242</v>
      </c>
      <c r="B247" s="94" t="s">
        <v>1186</v>
      </c>
      <c r="C247" s="95" t="s">
        <v>5</v>
      </c>
      <c r="D247" s="96"/>
      <c r="E247" s="97"/>
      <c r="F247" s="98" t="s">
        <v>43</v>
      </c>
      <c r="G247" s="99" t="s">
        <v>87</v>
      </c>
      <c r="H247" s="102"/>
      <c r="I247" s="95"/>
      <c r="J247" s="93" t="s">
        <v>51</v>
      </c>
      <c r="K247" s="93">
        <v>35.0</v>
      </c>
      <c r="L247" s="101"/>
      <c r="M247" s="102"/>
      <c r="N247" s="102"/>
      <c r="O247" s="102"/>
      <c r="P247" s="102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77">
        <f t="shared" si="1"/>
        <v>243</v>
      </c>
      <c r="B248" s="78" t="s">
        <v>1190</v>
      </c>
      <c r="C248" s="82" t="s">
        <v>5</v>
      </c>
      <c r="D248" s="83"/>
      <c r="E248" s="84"/>
      <c r="F248" s="85" t="s">
        <v>43</v>
      </c>
      <c r="G248" s="86" t="s">
        <v>87</v>
      </c>
      <c r="H248" s="87" t="s">
        <v>1191</v>
      </c>
      <c r="I248" s="82"/>
      <c r="J248" s="87" t="s">
        <v>89</v>
      </c>
      <c r="K248" s="87">
        <v>40.0</v>
      </c>
      <c r="L248" s="89"/>
      <c r="M248" s="77"/>
      <c r="N248" s="91" t="s">
        <v>834</v>
      </c>
      <c r="O248" s="77"/>
      <c r="P248" s="77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102">
        <f t="shared" si="1"/>
        <v>244</v>
      </c>
      <c r="B249" s="94" t="s">
        <v>1195</v>
      </c>
      <c r="C249" s="95" t="s">
        <v>49</v>
      </c>
      <c r="D249" s="96"/>
      <c r="E249" s="97"/>
      <c r="F249" s="98" t="s">
        <v>60</v>
      </c>
      <c r="G249" s="99" t="s">
        <v>87</v>
      </c>
      <c r="H249" s="93" t="s">
        <v>1197</v>
      </c>
      <c r="I249" s="95" t="s">
        <v>172</v>
      </c>
      <c r="J249" s="93" t="s">
        <v>89</v>
      </c>
      <c r="K249" s="93">
        <v>9.0</v>
      </c>
      <c r="L249" s="101"/>
      <c r="M249" s="102"/>
      <c r="N249" s="103" t="s">
        <v>43</v>
      </c>
      <c r="O249" s="102"/>
      <c r="P249" s="102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77">
        <f t="shared" si="1"/>
        <v>245</v>
      </c>
      <c r="B250" s="78" t="s">
        <v>1199</v>
      </c>
      <c r="C250" s="82" t="s">
        <v>5</v>
      </c>
      <c r="D250" s="83"/>
      <c r="E250" s="84"/>
      <c r="F250" s="85" t="s">
        <v>43</v>
      </c>
      <c r="G250" s="86" t="s">
        <v>87</v>
      </c>
      <c r="H250" s="87" t="s">
        <v>1203</v>
      </c>
      <c r="I250" s="82"/>
      <c r="J250" s="87" t="s">
        <v>51</v>
      </c>
      <c r="K250" s="87">
        <v>18.0</v>
      </c>
      <c r="L250" s="89"/>
      <c r="M250" s="77"/>
      <c r="N250" s="91" t="s">
        <v>43</v>
      </c>
      <c r="O250" s="77"/>
      <c r="P250" s="77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102">
        <f t="shared" si="1"/>
        <v>246</v>
      </c>
      <c r="B251" s="94" t="s">
        <v>232</v>
      </c>
      <c r="C251" s="95" t="s">
        <v>49</v>
      </c>
      <c r="D251" s="96"/>
      <c r="E251" s="112"/>
      <c r="F251" s="98" t="s">
        <v>43</v>
      </c>
      <c r="G251" s="99" t="s">
        <v>53</v>
      </c>
      <c r="H251" s="93" t="s">
        <v>1207</v>
      </c>
      <c r="I251" s="95"/>
      <c r="J251" s="93" t="s">
        <v>47</v>
      </c>
      <c r="K251" s="93">
        <v>18.0</v>
      </c>
      <c r="L251" s="101"/>
      <c r="M251" s="102"/>
      <c r="N251" s="98" t="s">
        <v>43</v>
      </c>
      <c r="O251" s="102"/>
      <c r="P251" s="102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77">
        <f t="shared" si="1"/>
        <v>247</v>
      </c>
      <c r="B252" s="78" t="s">
        <v>1211</v>
      </c>
      <c r="C252" s="82" t="s">
        <v>49</v>
      </c>
      <c r="D252" s="83"/>
      <c r="E252" s="84"/>
      <c r="F252" s="85" t="s">
        <v>43</v>
      </c>
      <c r="G252" s="86" t="s">
        <v>53</v>
      </c>
      <c r="H252" s="87" t="s">
        <v>1212</v>
      </c>
      <c r="I252" s="82"/>
      <c r="J252" s="87" t="s">
        <v>99</v>
      </c>
      <c r="K252" s="87">
        <v>38.0</v>
      </c>
      <c r="L252" s="89"/>
      <c r="M252" s="77"/>
      <c r="N252" s="91" t="s">
        <v>43</v>
      </c>
      <c r="O252" s="77"/>
      <c r="P252" s="77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102">
        <f t="shared" si="1"/>
        <v>248</v>
      </c>
      <c r="B253" s="94" t="s">
        <v>1214</v>
      </c>
      <c r="C253" s="95" t="s">
        <v>49</v>
      </c>
      <c r="D253" s="96"/>
      <c r="E253" s="97"/>
      <c r="F253" s="98" t="s">
        <v>60</v>
      </c>
      <c r="G253" s="99" t="s">
        <v>49</v>
      </c>
      <c r="H253" s="93" t="s">
        <v>1216</v>
      </c>
      <c r="I253" s="95"/>
      <c r="J253" s="93" t="s">
        <v>99</v>
      </c>
      <c r="K253" s="93">
        <v>17.0</v>
      </c>
      <c r="L253" s="101"/>
      <c r="M253" s="102"/>
      <c r="N253" s="103" t="s">
        <v>43</v>
      </c>
      <c r="O253" s="102"/>
      <c r="P253" s="102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77">
        <f t="shared" si="1"/>
        <v>249</v>
      </c>
      <c r="B254" s="78" t="s">
        <v>1219</v>
      </c>
      <c r="C254" s="111" t="s">
        <v>9</v>
      </c>
      <c r="D254" s="83"/>
      <c r="E254" s="84"/>
      <c r="F254" s="85" t="s">
        <v>43</v>
      </c>
      <c r="G254" s="86" t="s">
        <v>87</v>
      </c>
      <c r="H254" s="87" t="s">
        <v>1221</v>
      </c>
      <c r="I254" s="82"/>
      <c r="J254" s="87" t="s">
        <v>99</v>
      </c>
      <c r="K254" s="87">
        <v>15.0</v>
      </c>
      <c r="L254" s="89"/>
      <c r="M254" s="77"/>
      <c r="N254" s="91" t="s">
        <v>43</v>
      </c>
      <c r="O254" s="77"/>
      <c r="P254" s="77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102">
        <f t="shared" si="1"/>
        <v>250</v>
      </c>
      <c r="B255" s="94" t="s">
        <v>1224</v>
      </c>
      <c r="C255" s="95" t="s">
        <v>49</v>
      </c>
      <c r="D255" s="96"/>
      <c r="E255" s="97"/>
      <c r="F255" s="98" t="s">
        <v>43</v>
      </c>
      <c r="G255" s="99" t="s">
        <v>53</v>
      </c>
      <c r="H255" s="93" t="s">
        <v>1226</v>
      </c>
      <c r="I255" s="95"/>
      <c r="J255" s="93" t="s">
        <v>99</v>
      </c>
      <c r="K255" s="93">
        <v>36.0</v>
      </c>
      <c r="L255" s="101"/>
      <c r="M255" s="102"/>
      <c r="N255" s="102"/>
      <c r="O255" s="102"/>
      <c r="P255" s="102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77">
        <f t="shared" si="1"/>
        <v>251</v>
      </c>
      <c r="B256" s="78" t="s">
        <v>1228</v>
      </c>
      <c r="C256" s="82" t="s">
        <v>49</v>
      </c>
      <c r="D256" s="83"/>
      <c r="E256" s="84"/>
      <c r="F256" s="85" t="s">
        <v>43</v>
      </c>
      <c r="G256" s="86" t="s">
        <v>53</v>
      </c>
      <c r="H256" s="87" t="s">
        <v>1229</v>
      </c>
      <c r="I256" s="82"/>
      <c r="J256" s="87" t="s">
        <v>89</v>
      </c>
      <c r="K256" s="87">
        <v>9.0</v>
      </c>
      <c r="L256" s="89"/>
      <c r="M256" s="77"/>
      <c r="N256" s="91" t="s">
        <v>203</v>
      </c>
      <c r="O256" s="87"/>
      <c r="P256" s="77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102">
        <f t="shared" si="1"/>
        <v>252</v>
      </c>
      <c r="B257" s="94" t="s">
        <v>1231</v>
      </c>
      <c r="C257" s="95" t="s">
        <v>9</v>
      </c>
      <c r="D257" s="96"/>
      <c r="E257" s="97"/>
      <c r="F257" s="98" t="s">
        <v>43</v>
      </c>
      <c r="G257" s="99" t="s">
        <v>87</v>
      </c>
      <c r="H257" s="102"/>
      <c r="I257" s="95"/>
      <c r="J257" s="93" t="s">
        <v>96</v>
      </c>
      <c r="K257" s="93">
        <v>1.0</v>
      </c>
      <c r="L257" s="101"/>
      <c r="M257" s="102"/>
      <c r="N257" s="102"/>
      <c r="O257" s="102"/>
      <c r="P257" s="102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77">
        <f t="shared" si="1"/>
        <v>253</v>
      </c>
      <c r="B258" s="78" t="s">
        <v>1236</v>
      </c>
      <c r="C258" s="82" t="s">
        <v>5</v>
      </c>
      <c r="D258" s="83"/>
      <c r="E258" s="84"/>
      <c r="F258" s="85" t="s">
        <v>43</v>
      </c>
      <c r="G258" s="86" t="s">
        <v>87</v>
      </c>
      <c r="H258" s="87" t="s">
        <v>1237</v>
      </c>
      <c r="I258" s="111" t="s">
        <v>5</v>
      </c>
      <c r="J258" s="87" t="s">
        <v>51</v>
      </c>
      <c r="K258" s="87" t="s">
        <v>616</v>
      </c>
      <c r="L258" s="89"/>
      <c r="M258" s="77"/>
      <c r="N258" s="91" t="s">
        <v>43</v>
      </c>
      <c r="O258" s="87">
        <v>2.0</v>
      </c>
      <c r="P258" s="77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102">
        <f t="shared" si="1"/>
        <v>254</v>
      </c>
      <c r="B259" s="94" t="s">
        <v>964</v>
      </c>
      <c r="C259" s="95" t="s">
        <v>9</v>
      </c>
      <c r="D259" s="96"/>
      <c r="E259" s="97"/>
      <c r="F259" s="98" t="s">
        <v>43</v>
      </c>
      <c r="G259" s="99" t="s">
        <v>87</v>
      </c>
      <c r="H259" s="102"/>
      <c r="I259" s="95"/>
      <c r="J259" s="93" t="s">
        <v>68</v>
      </c>
      <c r="K259" s="93">
        <v>15.0</v>
      </c>
      <c r="L259" s="101"/>
      <c r="M259" s="102"/>
      <c r="N259" s="102"/>
      <c r="O259" s="102"/>
      <c r="P259" s="102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77">
        <f t="shared" si="1"/>
        <v>255</v>
      </c>
      <c r="B260" s="78" t="s">
        <v>1243</v>
      </c>
      <c r="C260" s="82" t="s">
        <v>49</v>
      </c>
      <c r="D260" s="83"/>
      <c r="E260" s="84"/>
      <c r="F260" s="85" t="s">
        <v>43</v>
      </c>
      <c r="G260" s="86" t="s">
        <v>53</v>
      </c>
      <c r="H260" s="87" t="s">
        <v>1246</v>
      </c>
      <c r="I260" s="82"/>
      <c r="J260" s="87" t="s">
        <v>89</v>
      </c>
      <c r="K260" s="87">
        <v>6.0</v>
      </c>
      <c r="L260" s="89"/>
      <c r="M260" s="77"/>
      <c r="N260" s="91" t="s">
        <v>60</v>
      </c>
      <c r="O260" s="77"/>
      <c r="P260" s="77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102">
        <f t="shared" si="1"/>
        <v>256</v>
      </c>
      <c r="B261" s="94" t="s">
        <v>1249</v>
      </c>
      <c r="C261" s="107" t="s">
        <v>5</v>
      </c>
      <c r="D261" s="96"/>
      <c r="E261" s="97"/>
      <c r="F261" s="98" t="s">
        <v>43</v>
      </c>
      <c r="G261" s="99" t="s">
        <v>87</v>
      </c>
      <c r="H261" s="93" t="s">
        <v>1251</v>
      </c>
      <c r="I261" s="107" t="s">
        <v>5</v>
      </c>
      <c r="J261" s="93" t="s">
        <v>89</v>
      </c>
      <c r="K261" s="93">
        <v>13.0</v>
      </c>
      <c r="L261" s="101"/>
      <c r="M261" s="102"/>
      <c r="N261" s="103" t="s">
        <v>43</v>
      </c>
      <c r="O261" s="102"/>
      <c r="P261" s="102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77">
        <f t="shared" si="1"/>
        <v>257</v>
      </c>
      <c r="B262" s="78" t="s">
        <v>969</v>
      </c>
      <c r="C262" s="82" t="s">
        <v>49</v>
      </c>
      <c r="D262" s="83"/>
      <c r="E262" s="84"/>
      <c r="F262" s="85" t="s">
        <v>43</v>
      </c>
      <c r="G262" s="86" t="s">
        <v>53</v>
      </c>
      <c r="H262" s="87" t="s">
        <v>1256</v>
      </c>
      <c r="I262" s="82"/>
      <c r="J262" s="87" t="s">
        <v>68</v>
      </c>
      <c r="K262" s="87">
        <v>15.0</v>
      </c>
      <c r="L262" s="89"/>
      <c r="M262" s="77"/>
      <c r="N262" s="91" t="s">
        <v>43</v>
      </c>
      <c r="O262" s="77"/>
      <c r="P262" s="77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102">
        <f t="shared" si="1"/>
        <v>258</v>
      </c>
      <c r="B263" s="94" t="s">
        <v>1258</v>
      </c>
      <c r="C263" s="95" t="s">
        <v>5</v>
      </c>
      <c r="D263" s="96"/>
      <c r="E263" s="97"/>
      <c r="F263" s="98" t="s">
        <v>43</v>
      </c>
      <c r="G263" s="99" t="s">
        <v>87</v>
      </c>
      <c r="H263" s="102"/>
      <c r="I263" s="95"/>
      <c r="J263" s="93" t="s">
        <v>47</v>
      </c>
      <c r="K263" s="93">
        <v>7.0</v>
      </c>
      <c r="L263" s="101"/>
      <c r="M263" s="102"/>
      <c r="N263" s="112"/>
      <c r="O263" s="102"/>
      <c r="P263" s="102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77">
        <f t="shared" si="1"/>
        <v>259</v>
      </c>
      <c r="B264" s="78" t="s">
        <v>1263</v>
      </c>
      <c r="C264" s="82" t="s">
        <v>49</v>
      </c>
      <c r="D264" s="83"/>
      <c r="E264" s="84"/>
      <c r="F264" s="85" t="s">
        <v>834</v>
      </c>
      <c r="G264" s="86" t="s">
        <v>87</v>
      </c>
      <c r="H264" s="87" t="s">
        <v>1266</v>
      </c>
      <c r="I264" s="111" t="s">
        <v>5</v>
      </c>
      <c r="J264" s="87" t="s">
        <v>99</v>
      </c>
      <c r="K264" s="87" t="s">
        <v>1267</v>
      </c>
      <c r="L264" s="89"/>
      <c r="M264" s="77"/>
      <c r="N264" s="91" t="s">
        <v>43</v>
      </c>
      <c r="O264" s="77"/>
      <c r="P264" s="77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102">
        <f t="shared" si="1"/>
        <v>260</v>
      </c>
      <c r="B265" s="94" t="s">
        <v>243</v>
      </c>
      <c r="C265" s="95" t="s">
        <v>49</v>
      </c>
      <c r="D265" s="96"/>
      <c r="E265" s="112"/>
      <c r="F265" s="98" t="s">
        <v>43</v>
      </c>
      <c r="G265" s="99" t="s">
        <v>53</v>
      </c>
      <c r="H265" s="93" t="s">
        <v>1272</v>
      </c>
      <c r="I265" s="95"/>
      <c r="J265" s="93" t="s">
        <v>47</v>
      </c>
      <c r="K265" s="93">
        <v>18.0</v>
      </c>
      <c r="L265" s="101"/>
      <c r="M265" s="102"/>
      <c r="N265" s="112"/>
      <c r="O265" s="102"/>
      <c r="P265" s="102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77">
        <f t="shared" si="1"/>
        <v>261</v>
      </c>
      <c r="B266" s="78" t="s">
        <v>1275</v>
      </c>
      <c r="C266" s="82" t="s">
        <v>49</v>
      </c>
      <c r="D266" s="83"/>
      <c r="E266" s="84"/>
      <c r="F266" s="85" t="s">
        <v>60</v>
      </c>
      <c r="G266" s="86" t="s">
        <v>53</v>
      </c>
      <c r="H266" s="91" t="s">
        <v>1277</v>
      </c>
      <c r="I266" s="82"/>
      <c r="J266" s="87" t="s">
        <v>89</v>
      </c>
      <c r="K266" s="87">
        <v>17.0</v>
      </c>
      <c r="L266" s="89"/>
      <c r="M266" s="77"/>
      <c r="N266" s="91" t="s">
        <v>43</v>
      </c>
      <c r="O266" s="77"/>
      <c r="P266" s="77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102">
        <f t="shared" si="1"/>
        <v>262</v>
      </c>
      <c r="B267" s="94" t="s">
        <v>1279</v>
      </c>
      <c r="C267" s="95" t="s">
        <v>49</v>
      </c>
      <c r="D267" s="96"/>
      <c r="E267" s="97"/>
      <c r="F267" s="98" t="s">
        <v>43</v>
      </c>
      <c r="G267" s="99" t="s">
        <v>53</v>
      </c>
      <c r="H267" s="102"/>
      <c r="I267" s="95"/>
      <c r="J267" s="93" t="s">
        <v>99</v>
      </c>
      <c r="K267" s="93">
        <v>26.0</v>
      </c>
      <c r="L267" s="101"/>
      <c r="M267" s="102"/>
      <c r="N267" s="102"/>
      <c r="O267" s="102"/>
      <c r="P267" s="102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77">
        <f t="shared" si="1"/>
        <v>263</v>
      </c>
      <c r="B268" s="78" t="s">
        <v>1285</v>
      </c>
      <c r="C268" s="82" t="s">
        <v>49</v>
      </c>
      <c r="D268" s="83"/>
      <c r="E268" s="84"/>
      <c r="F268" s="114" t="s">
        <v>43</v>
      </c>
      <c r="G268" s="86" t="s">
        <v>53</v>
      </c>
      <c r="H268" s="87" t="s">
        <v>1288</v>
      </c>
      <c r="I268" s="82"/>
      <c r="J268" s="87" t="s">
        <v>89</v>
      </c>
      <c r="K268" s="77"/>
      <c r="L268" s="89"/>
      <c r="M268" s="77"/>
      <c r="N268" s="87" t="s">
        <v>43</v>
      </c>
      <c r="O268" s="77"/>
      <c r="P268" s="77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102">
        <f t="shared" si="1"/>
        <v>264</v>
      </c>
      <c r="B269" s="94" t="s">
        <v>501</v>
      </c>
      <c r="C269" s="95" t="s">
        <v>49</v>
      </c>
      <c r="D269" s="96"/>
      <c r="E269" s="112"/>
      <c r="F269" s="98" t="s">
        <v>43</v>
      </c>
      <c r="G269" s="99" t="s">
        <v>87</v>
      </c>
      <c r="H269" s="93" t="s">
        <v>1291</v>
      </c>
      <c r="I269" s="95" t="s">
        <v>9</v>
      </c>
      <c r="J269" s="93" t="s">
        <v>174</v>
      </c>
      <c r="K269" s="93">
        <v>3.0</v>
      </c>
      <c r="L269" s="101"/>
      <c r="M269" s="102"/>
      <c r="N269" s="103" t="s">
        <v>43</v>
      </c>
      <c r="O269" s="102"/>
      <c r="P269" s="102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77">
        <f t="shared" si="1"/>
        <v>265</v>
      </c>
      <c r="B270" s="78" t="s">
        <v>1296</v>
      </c>
      <c r="C270" s="82" t="s">
        <v>49</v>
      </c>
      <c r="D270" s="83"/>
      <c r="E270" s="84"/>
      <c r="F270" s="85" t="s">
        <v>43</v>
      </c>
      <c r="G270" s="86" t="s">
        <v>53</v>
      </c>
      <c r="H270" s="87" t="s">
        <v>1297</v>
      </c>
      <c r="I270" s="82"/>
      <c r="J270" s="87" t="s">
        <v>96</v>
      </c>
      <c r="K270" s="87">
        <v>22.0</v>
      </c>
      <c r="L270" s="89"/>
      <c r="M270" s="77"/>
      <c r="N270" s="91" t="s">
        <v>43</v>
      </c>
      <c r="O270" s="77"/>
      <c r="P270" s="77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102">
        <f t="shared" si="1"/>
        <v>266</v>
      </c>
      <c r="B271" s="94" t="s">
        <v>1300</v>
      </c>
      <c r="C271" s="95" t="s">
        <v>5</v>
      </c>
      <c r="D271" s="96"/>
      <c r="E271" s="97"/>
      <c r="F271" s="98" t="s">
        <v>43</v>
      </c>
      <c r="G271" s="99" t="s">
        <v>87</v>
      </c>
      <c r="H271" s="93" t="s">
        <v>1301</v>
      </c>
      <c r="I271" s="95" t="s">
        <v>5</v>
      </c>
      <c r="J271" s="93" t="s">
        <v>55</v>
      </c>
      <c r="K271" s="93" t="s">
        <v>1302</v>
      </c>
      <c r="L271" s="101"/>
      <c r="M271" s="102"/>
      <c r="N271" s="103" t="s">
        <v>43</v>
      </c>
      <c r="O271" s="102"/>
      <c r="P271" s="102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77">
        <f t="shared" si="1"/>
        <v>267</v>
      </c>
      <c r="B272" s="78" t="s">
        <v>1304</v>
      </c>
      <c r="C272" s="82" t="s">
        <v>49</v>
      </c>
      <c r="D272" s="83"/>
      <c r="E272" s="84"/>
      <c r="F272" s="85" t="s">
        <v>43</v>
      </c>
      <c r="G272" s="86" t="s">
        <v>53</v>
      </c>
      <c r="H272" s="87" t="s">
        <v>1306</v>
      </c>
      <c r="I272" s="82"/>
      <c r="J272" s="87" t="s">
        <v>89</v>
      </c>
      <c r="K272" s="87">
        <v>21.0</v>
      </c>
      <c r="L272" s="89"/>
      <c r="M272" s="77"/>
      <c r="N272" s="91" t="s">
        <v>43</v>
      </c>
      <c r="O272" s="77"/>
      <c r="P272" s="77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102">
        <f t="shared" si="1"/>
        <v>268</v>
      </c>
      <c r="B273" s="94" t="s">
        <v>1308</v>
      </c>
      <c r="C273" s="95" t="s">
        <v>49</v>
      </c>
      <c r="D273" s="96"/>
      <c r="E273" s="97"/>
      <c r="F273" s="98" t="s">
        <v>43</v>
      </c>
      <c r="G273" s="99" t="s">
        <v>53</v>
      </c>
      <c r="H273" s="93" t="s">
        <v>1310</v>
      </c>
      <c r="I273" s="95" t="s">
        <v>88</v>
      </c>
      <c r="J273" s="93" t="s">
        <v>55</v>
      </c>
      <c r="K273" s="93">
        <v>20.0</v>
      </c>
      <c r="L273" s="101"/>
      <c r="M273" s="102"/>
      <c r="N273" s="103" t="s">
        <v>43</v>
      </c>
      <c r="O273" s="102"/>
      <c r="P273" s="102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77">
        <f t="shared" si="1"/>
        <v>269</v>
      </c>
      <c r="B274" s="78" t="s">
        <v>1313</v>
      </c>
      <c r="C274" s="82" t="s">
        <v>49</v>
      </c>
      <c r="D274" s="83"/>
      <c r="E274" s="84"/>
      <c r="F274" s="85" t="s">
        <v>43</v>
      </c>
      <c r="G274" s="86" t="s">
        <v>53</v>
      </c>
      <c r="H274" s="87" t="s">
        <v>1314</v>
      </c>
      <c r="I274" s="82"/>
      <c r="J274" s="87" t="s">
        <v>89</v>
      </c>
      <c r="K274" s="87">
        <v>27.0</v>
      </c>
      <c r="L274" s="89"/>
      <c r="M274" s="77"/>
      <c r="N274" s="91" t="s">
        <v>43</v>
      </c>
      <c r="O274" s="77"/>
      <c r="P274" s="77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102">
        <f t="shared" si="1"/>
        <v>270</v>
      </c>
      <c r="B275" s="94" t="s">
        <v>1317</v>
      </c>
      <c r="C275" s="95" t="s">
        <v>49</v>
      </c>
      <c r="D275" s="96"/>
      <c r="E275" s="97"/>
      <c r="F275" s="98" t="s">
        <v>43</v>
      </c>
      <c r="G275" s="99" t="s">
        <v>53</v>
      </c>
      <c r="H275" s="93" t="s">
        <v>1318</v>
      </c>
      <c r="I275" s="95"/>
      <c r="J275" s="93" t="s">
        <v>55</v>
      </c>
      <c r="K275" s="93">
        <v>23.0</v>
      </c>
      <c r="L275" s="101"/>
      <c r="M275" s="102"/>
      <c r="N275" s="103" t="s">
        <v>43</v>
      </c>
      <c r="O275" s="102"/>
      <c r="P275" s="102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77">
        <f t="shared" si="1"/>
        <v>271</v>
      </c>
      <c r="B276" s="78" t="s">
        <v>764</v>
      </c>
      <c r="C276" s="82" t="s">
        <v>49</v>
      </c>
      <c r="D276" s="83"/>
      <c r="E276" s="84"/>
      <c r="F276" s="85" t="s">
        <v>834</v>
      </c>
      <c r="G276" s="86" t="s">
        <v>49</v>
      </c>
      <c r="H276" s="77"/>
      <c r="I276" s="82"/>
      <c r="J276" s="87" t="s">
        <v>68</v>
      </c>
      <c r="K276" s="87">
        <v>4.0</v>
      </c>
      <c r="L276" s="89"/>
      <c r="M276" s="77"/>
      <c r="N276" s="77"/>
      <c r="O276" s="77"/>
      <c r="P276" s="77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102">
        <f t="shared" si="1"/>
        <v>272</v>
      </c>
      <c r="B277" s="94" t="s">
        <v>535</v>
      </c>
      <c r="C277" s="107" t="s">
        <v>9</v>
      </c>
      <c r="D277" s="96"/>
      <c r="E277" s="112"/>
      <c r="F277" s="98" t="s">
        <v>43</v>
      </c>
      <c r="G277" s="99" t="s">
        <v>87</v>
      </c>
      <c r="H277" s="93" t="s">
        <v>1324</v>
      </c>
      <c r="I277" s="95" t="s">
        <v>72</v>
      </c>
      <c r="J277" s="93" t="s">
        <v>174</v>
      </c>
      <c r="K277" s="93">
        <v>12.0</v>
      </c>
      <c r="L277" s="101"/>
      <c r="M277" s="102"/>
      <c r="N277" s="103" t="s">
        <v>43</v>
      </c>
      <c r="O277" s="102"/>
      <c r="P277" s="102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77">
        <f t="shared" si="1"/>
        <v>273</v>
      </c>
      <c r="B278" s="78" t="s">
        <v>1330</v>
      </c>
      <c r="C278" s="82" t="s">
        <v>49</v>
      </c>
      <c r="D278" s="83"/>
      <c r="E278" s="84"/>
      <c r="F278" s="85" t="s">
        <v>43</v>
      </c>
      <c r="G278" s="86" t="s">
        <v>53</v>
      </c>
      <c r="H278" s="87" t="s">
        <v>1331</v>
      </c>
      <c r="I278" s="82"/>
      <c r="J278" s="87" t="s">
        <v>51</v>
      </c>
      <c r="K278" s="87">
        <v>25.0</v>
      </c>
      <c r="L278" s="89"/>
      <c r="M278" s="77"/>
      <c r="N278" s="91" t="s">
        <v>60</v>
      </c>
      <c r="O278" s="77"/>
      <c r="P278" s="77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102">
        <f t="shared" si="1"/>
        <v>274</v>
      </c>
      <c r="B279" s="94" t="s">
        <v>1333</v>
      </c>
      <c r="C279" s="95" t="s">
        <v>49</v>
      </c>
      <c r="D279" s="96"/>
      <c r="E279" s="97"/>
      <c r="F279" s="98" t="s">
        <v>43</v>
      </c>
      <c r="G279" s="99" t="s">
        <v>53</v>
      </c>
      <c r="H279" s="102"/>
      <c r="I279" s="95"/>
      <c r="J279" s="93" t="s">
        <v>99</v>
      </c>
      <c r="K279" s="93">
        <v>22.0</v>
      </c>
      <c r="L279" s="101"/>
      <c r="M279" s="102"/>
      <c r="N279" s="102"/>
      <c r="O279" s="102"/>
      <c r="P279" s="102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77">
        <f t="shared" si="1"/>
        <v>275</v>
      </c>
      <c r="B280" s="78" t="s">
        <v>527</v>
      </c>
      <c r="C280" s="82" t="s">
        <v>49</v>
      </c>
      <c r="D280" s="83"/>
      <c r="E280" s="113"/>
      <c r="F280" s="85" t="s">
        <v>43</v>
      </c>
      <c r="G280" s="86" t="s">
        <v>53</v>
      </c>
      <c r="H280" s="87" t="s">
        <v>1338</v>
      </c>
      <c r="I280" s="82"/>
      <c r="J280" s="87" t="s">
        <v>174</v>
      </c>
      <c r="K280" s="87">
        <v>9.0</v>
      </c>
      <c r="L280" s="89"/>
      <c r="M280" s="77"/>
      <c r="N280" s="91" t="s">
        <v>43</v>
      </c>
      <c r="O280" s="77"/>
      <c r="P280" s="77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102">
        <f t="shared" si="1"/>
        <v>276</v>
      </c>
      <c r="B281" s="94" t="s">
        <v>1342</v>
      </c>
      <c r="C281" s="95" t="s">
        <v>49</v>
      </c>
      <c r="D281" s="96"/>
      <c r="E281" s="97"/>
      <c r="F281" s="98" t="s">
        <v>60</v>
      </c>
      <c r="G281" s="99" t="s">
        <v>53</v>
      </c>
      <c r="H281" s="93" t="s">
        <v>1343</v>
      </c>
      <c r="I281" s="95"/>
      <c r="J281" s="93" t="s">
        <v>99</v>
      </c>
      <c r="K281" s="93" t="s">
        <v>1347</v>
      </c>
      <c r="L281" s="101"/>
      <c r="M281" s="102"/>
      <c r="N281" s="103" t="s">
        <v>43</v>
      </c>
      <c r="O281" s="102"/>
      <c r="P281" s="102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77">
        <f t="shared" si="1"/>
        <v>277</v>
      </c>
      <c r="B282" s="78" t="s">
        <v>1349</v>
      </c>
      <c r="C282" s="82" t="s">
        <v>49</v>
      </c>
      <c r="D282" s="83"/>
      <c r="E282" s="84"/>
      <c r="F282" s="114" t="s">
        <v>43</v>
      </c>
      <c r="G282" s="86" t="s">
        <v>53</v>
      </c>
      <c r="H282" s="77"/>
      <c r="I282" s="82"/>
      <c r="J282" s="87" t="s">
        <v>51</v>
      </c>
      <c r="K282" s="77"/>
      <c r="L282" s="89"/>
      <c r="M282" s="77"/>
      <c r="N282" s="77"/>
      <c r="O282" s="77"/>
      <c r="P282" s="77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102">
        <f t="shared" si="1"/>
        <v>278</v>
      </c>
      <c r="B283" s="94" t="s">
        <v>1352</v>
      </c>
      <c r="C283" s="95" t="s">
        <v>49</v>
      </c>
      <c r="D283" s="96"/>
      <c r="E283" s="97"/>
      <c r="F283" s="98" t="s">
        <v>43</v>
      </c>
      <c r="G283" s="99" t="s">
        <v>53</v>
      </c>
      <c r="H283" s="102"/>
      <c r="I283" s="95"/>
      <c r="J283" s="93" t="s">
        <v>89</v>
      </c>
      <c r="K283" s="93">
        <v>17.0</v>
      </c>
      <c r="L283" s="101"/>
      <c r="M283" s="102"/>
      <c r="N283" s="102"/>
      <c r="O283" s="102"/>
      <c r="P283" s="102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77">
        <f t="shared" si="1"/>
        <v>279</v>
      </c>
      <c r="B284" s="78" t="s">
        <v>1356</v>
      </c>
      <c r="C284" s="82" t="s">
        <v>49</v>
      </c>
      <c r="D284" s="83"/>
      <c r="E284" s="84"/>
      <c r="F284" s="85" t="s">
        <v>60</v>
      </c>
      <c r="G284" s="86" t="s">
        <v>53</v>
      </c>
      <c r="H284" s="87" t="s">
        <v>1357</v>
      </c>
      <c r="I284" s="82"/>
      <c r="J284" s="87" t="s">
        <v>89</v>
      </c>
      <c r="K284" s="87">
        <v>26.0</v>
      </c>
      <c r="L284" s="89"/>
      <c r="M284" s="77"/>
      <c r="N284" s="91" t="s">
        <v>43</v>
      </c>
      <c r="O284" s="77"/>
      <c r="P284" s="77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102">
        <f t="shared" si="1"/>
        <v>280</v>
      </c>
      <c r="B285" s="94" t="s">
        <v>1361</v>
      </c>
      <c r="C285" s="95" t="s">
        <v>5</v>
      </c>
      <c r="D285" s="96"/>
      <c r="E285" s="97"/>
      <c r="F285" s="98" t="s">
        <v>43</v>
      </c>
      <c r="G285" s="99" t="s">
        <v>87</v>
      </c>
      <c r="H285" s="102"/>
      <c r="I285" s="95"/>
      <c r="J285" s="93" t="s">
        <v>51</v>
      </c>
      <c r="K285" s="93">
        <v>3.0</v>
      </c>
      <c r="L285" s="101"/>
      <c r="M285" s="102"/>
      <c r="N285" s="103" t="s">
        <v>43</v>
      </c>
      <c r="O285" s="102"/>
      <c r="P285" s="102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77">
        <f t="shared" si="1"/>
        <v>281</v>
      </c>
      <c r="B286" s="78" t="s">
        <v>1366</v>
      </c>
      <c r="C286" s="111" t="s">
        <v>5</v>
      </c>
      <c r="D286" s="83"/>
      <c r="E286" s="84"/>
      <c r="F286" s="85" t="s">
        <v>834</v>
      </c>
      <c r="G286" s="86" t="s">
        <v>87</v>
      </c>
      <c r="H286" s="87" t="s">
        <v>1367</v>
      </c>
      <c r="I286" s="82" t="s">
        <v>5</v>
      </c>
      <c r="J286" s="87" t="s">
        <v>55</v>
      </c>
      <c r="K286" s="87">
        <v>25.0</v>
      </c>
      <c r="L286" s="89"/>
      <c r="M286" s="77"/>
      <c r="N286" s="77"/>
      <c r="O286" s="91"/>
      <c r="P286" s="77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102">
        <f t="shared" si="1"/>
        <v>282</v>
      </c>
      <c r="B287" s="94" t="s">
        <v>1370</v>
      </c>
      <c r="C287" s="95" t="s">
        <v>49</v>
      </c>
      <c r="D287" s="96"/>
      <c r="E287" s="97"/>
      <c r="F287" s="98" t="s">
        <v>43</v>
      </c>
      <c r="G287" s="99" t="s">
        <v>53</v>
      </c>
      <c r="H287" s="93" t="s">
        <v>1371</v>
      </c>
      <c r="I287" s="95"/>
      <c r="J287" s="93" t="s">
        <v>51</v>
      </c>
      <c r="K287" s="93">
        <v>11.0</v>
      </c>
      <c r="L287" s="101"/>
      <c r="M287" s="102"/>
      <c r="N287" s="103" t="s">
        <v>43</v>
      </c>
      <c r="O287" s="102"/>
      <c r="P287" s="102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77">
        <f t="shared" si="1"/>
        <v>283</v>
      </c>
      <c r="B288" s="78" t="s">
        <v>760</v>
      </c>
      <c r="C288" s="82" t="s">
        <v>49</v>
      </c>
      <c r="D288" s="83"/>
      <c r="E288" s="84"/>
      <c r="F288" s="85" t="s">
        <v>43</v>
      </c>
      <c r="G288" s="86" t="s">
        <v>87</v>
      </c>
      <c r="H288" s="87" t="s">
        <v>1376</v>
      </c>
      <c r="I288" s="82"/>
      <c r="J288" s="87" t="s">
        <v>68</v>
      </c>
      <c r="K288" s="87">
        <v>4.0</v>
      </c>
      <c r="L288" s="89"/>
      <c r="M288" s="77"/>
      <c r="N288" s="91" t="s">
        <v>60</v>
      </c>
      <c r="O288" s="77"/>
      <c r="P288" s="77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102">
        <f t="shared" si="1"/>
        <v>284</v>
      </c>
      <c r="B289" s="94" t="s">
        <v>1378</v>
      </c>
      <c r="C289" s="95" t="s">
        <v>49</v>
      </c>
      <c r="D289" s="96"/>
      <c r="E289" s="97"/>
      <c r="F289" s="109" t="s">
        <v>43</v>
      </c>
      <c r="G289" s="99" t="s">
        <v>53</v>
      </c>
      <c r="H289" s="102"/>
      <c r="I289" s="95"/>
      <c r="J289" s="93" t="s">
        <v>68</v>
      </c>
      <c r="K289" s="102"/>
      <c r="L289" s="101"/>
      <c r="M289" s="102"/>
      <c r="N289" s="102"/>
      <c r="O289" s="102"/>
      <c r="P289" s="102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77">
        <f t="shared" si="1"/>
        <v>285</v>
      </c>
      <c r="B290" s="78" t="s">
        <v>1383</v>
      </c>
      <c r="C290" s="82" t="s">
        <v>49</v>
      </c>
      <c r="D290" s="83"/>
      <c r="E290" s="84"/>
      <c r="F290" s="85" t="s">
        <v>60</v>
      </c>
      <c r="G290" s="86" t="s">
        <v>53</v>
      </c>
      <c r="H290" s="87" t="s">
        <v>1385</v>
      </c>
      <c r="I290" s="82"/>
      <c r="J290" s="87" t="s">
        <v>89</v>
      </c>
      <c r="K290" s="87">
        <v>9.0</v>
      </c>
      <c r="L290" s="89"/>
      <c r="M290" s="77"/>
      <c r="N290" s="91" t="s">
        <v>43</v>
      </c>
      <c r="O290" s="77"/>
      <c r="P290" s="77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102">
        <f t="shared" si="1"/>
        <v>286</v>
      </c>
      <c r="B291" s="94" t="s">
        <v>1388</v>
      </c>
      <c r="C291" s="95" t="s">
        <v>49</v>
      </c>
      <c r="D291" s="96"/>
      <c r="E291" s="97"/>
      <c r="F291" s="98" t="s">
        <v>43</v>
      </c>
      <c r="G291" s="99" t="s">
        <v>53</v>
      </c>
      <c r="H291" s="93" t="s">
        <v>1390</v>
      </c>
      <c r="I291" s="95"/>
      <c r="J291" s="93" t="s">
        <v>51</v>
      </c>
      <c r="K291" s="93">
        <v>12.0</v>
      </c>
      <c r="L291" s="101"/>
      <c r="M291" s="102"/>
      <c r="N291" s="102"/>
      <c r="O291" s="102"/>
      <c r="P291" s="102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A292" s="77">
        <f t="shared" si="1"/>
        <v>287</v>
      </c>
      <c r="B292" s="78" t="s">
        <v>1066</v>
      </c>
      <c r="C292" s="82" t="s">
        <v>49</v>
      </c>
      <c r="D292" s="83"/>
      <c r="E292" s="84"/>
      <c r="F292" s="85" t="s">
        <v>43</v>
      </c>
      <c r="G292" s="86" t="s">
        <v>53</v>
      </c>
      <c r="H292" s="87" t="s">
        <v>1392</v>
      </c>
      <c r="I292" s="82"/>
      <c r="J292" s="87" t="s">
        <v>55</v>
      </c>
      <c r="K292" s="87">
        <v>1.0</v>
      </c>
      <c r="L292" s="89"/>
      <c r="M292" s="77"/>
      <c r="N292" s="91" t="s">
        <v>60</v>
      </c>
      <c r="O292" s="77"/>
      <c r="P292" s="77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102">
        <f t="shared" si="1"/>
        <v>288</v>
      </c>
      <c r="B293" s="94" t="s">
        <v>1395</v>
      </c>
      <c r="C293" s="107" t="s">
        <v>5</v>
      </c>
      <c r="D293" s="96"/>
      <c r="E293" s="97"/>
      <c r="F293" s="98" t="s">
        <v>43</v>
      </c>
      <c r="G293" s="99" t="s">
        <v>87</v>
      </c>
      <c r="H293" s="93" t="s">
        <v>1398</v>
      </c>
      <c r="I293" s="95"/>
      <c r="J293" s="93" t="s">
        <v>89</v>
      </c>
      <c r="K293" s="93">
        <v>12.0</v>
      </c>
      <c r="L293" s="101"/>
      <c r="M293" s="102"/>
      <c r="N293" s="103" t="s">
        <v>834</v>
      </c>
      <c r="O293" s="102"/>
      <c r="P293" s="102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77">
        <f t="shared" si="1"/>
        <v>289</v>
      </c>
      <c r="B294" s="78" t="s">
        <v>1374</v>
      </c>
      <c r="C294" s="82" t="s">
        <v>49</v>
      </c>
      <c r="D294" s="83"/>
      <c r="E294" s="84"/>
      <c r="F294" s="85" t="s">
        <v>43</v>
      </c>
      <c r="G294" s="86" t="s">
        <v>87</v>
      </c>
      <c r="H294" s="87" t="s">
        <v>1401</v>
      </c>
      <c r="I294" s="82" t="s">
        <v>9</v>
      </c>
      <c r="J294" s="87" t="s">
        <v>55</v>
      </c>
      <c r="K294" s="87">
        <v>4.0</v>
      </c>
      <c r="L294" s="89"/>
      <c r="M294" s="77"/>
      <c r="N294" s="91" t="s">
        <v>43</v>
      </c>
      <c r="O294" s="77"/>
      <c r="P294" s="77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102">
        <f t="shared" si="1"/>
        <v>290</v>
      </c>
      <c r="B295" s="94" t="s">
        <v>1403</v>
      </c>
      <c r="C295" s="95" t="s">
        <v>49</v>
      </c>
      <c r="D295" s="96"/>
      <c r="E295" s="97"/>
      <c r="F295" s="98" t="s">
        <v>43</v>
      </c>
      <c r="G295" s="99" t="s">
        <v>53</v>
      </c>
      <c r="H295" s="93" t="s">
        <v>1404</v>
      </c>
      <c r="I295" s="95"/>
      <c r="J295" s="93" t="s">
        <v>55</v>
      </c>
      <c r="K295" s="93">
        <v>16.0</v>
      </c>
      <c r="L295" s="101"/>
      <c r="M295" s="102"/>
      <c r="N295" s="103" t="s">
        <v>60</v>
      </c>
      <c r="O295" s="102"/>
      <c r="P295" s="102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77">
        <f t="shared" si="1"/>
        <v>291</v>
      </c>
      <c r="B296" s="78" t="s">
        <v>1406</v>
      </c>
      <c r="C296" s="82" t="s">
        <v>5</v>
      </c>
      <c r="D296" s="83"/>
      <c r="E296" s="84"/>
      <c r="F296" s="85" t="s">
        <v>43</v>
      </c>
      <c r="G296" s="86" t="s">
        <v>87</v>
      </c>
      <c r="H296" s="87" t="s">
        <v>1408</v>
      </c>
      <c r="I296" s="82" t="s">
        <v>5</v>
      </c>
      <c r="J296" s="87" t="s">
        <v>89</v>
      </c>
      <c r="K296" s="87">
        <v>26.0</v>
      </c>
      <c r="L296" s="89"/>
      <c r="M296" s="77"/>
      <c r="N296" s="91" t="s">
        <v>43</v>
      </c>
      <c r="O296" s="77"/>
      <c r="P296" s="77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102">
        <f t="shared" si="1"/>
        <v>292</v>
      </c>
      <c r="B297" s="94" t="s">
        <v>1410</v>
      </c>
      <c r="C297" s="95" t="s">
        <v>9</v>
      </c>
      <c r="D297" s="96"/>
      <c r="E297" s="97"/>
      <c r="F297" s="98" t="s">
        <v>43</v>
      </c>
      <c r="G297" s="99" t="s">
        <v>87</v>
      </c>
      <c r="H297" s="93" t="s">
        <v>1412</v>
      </c>
      <c r="I297" s="95"/>
      <c r="J297" s="93" t="s">
        <v>99</v>
      </c>
      <c r="K297" s="93">
        <v>7.0</v>
      </c>
      <c r="L297" s="101"/>
      <c r="M297" s="102"/>
      <c r="N297" s="103" t="s">
        <v>43</v>
      </c>
      <c r="O297" s="102"/>
      <c r="P297" s="102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77">
        <f t="shared" si="1"/>
        <v>293</v>
      </c>
      <c r="B298" s="78" t="s">
        <v>1416</v>
      </c>
      <c r="C298" s="82" t="s">
        <v>49</v>
      </c>
      <c r="D298" s="83"/>
      <c r="E298" s="84"/>
      <c r="F298" s="85" t="s">
        <v>60</v>
      </c>
      <c r="G298" s="86" t="s">
        <v>53</v>
      </c>
      <c r="H298" s="91" t="s">
        <v>1417</v>
      </c>
      <c r="I298" s="82"/>
      <c r="J298" s="87" t="s">
        <v>55</v>
      </c>
      <c r="K298" s="87">
        <v>13.0</v>
      </c>
      <c r="L298" s="89"/>
      <c r="M298" s="77"/>
      <c r="N298" s="91" t="s">
        <v>43</v>
      </c>
      <c r="O298" s="77"/>
      <c r="P298" s="77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102">
        <f t="shared" si="1"/>
        <v>294</v>
      </c>
      <c r="B299" s="94" t="s">
        <v>1419</v>
      </c>
      <c r="C299" s="95" t="s">
        <v>49</v>
      </c>
      <c r="D299" s="96"/>
      <c r="E299" s="97"/>
      <c r="F299" s="98" t="s">
        <v>43</v>
      </c>
      <c r="G299" s="99" t="s">
        <v>53</v>
      </c>
      <c r="H299" s="102"/>
      <c r="I299" s="95"/>
      <c r="J299" s="93" t="s">
        <v>96</v>
      </c>
      <c r="K299" s="93">
        <v>3.0</v>
      </c>
      <c r="L299" s="101"/>
      <c r="M299" s="102"/>
      <c r="N299" s="102"/>
      <c r="O299" s="102"/>
      <c r="P299" s="102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77">
        <f t="shared" si="1"/>
        <v>295</v>
      </c>
      <c r="B300" s="78" t="s">
        <v>594</v>
      </c>
      <c r="C300" s="82" t="s">
        <v>49</v>
      </c>
      <c r="D300" s="83"/>
      <c r="E300" s="84"/>
      <c r="F300" s="85" t="s">
        <v>43</v>
      </c>
      <c r="G300" s="86" t="s">
        <v>53</v>
      </c>
      <c r="H300" s="77"/>
      <c r="I300" s="82"/>
      <c r="J300" s="87" t="s">
        <v>174</v>
      </c>
      <c r="K300" s="87">
        <v>27.0</v>
      </c>
      <c r="L300" s="89"/>
      <c r="M300" s="77"/>
      <c r="N300" s="77"/>
      <c r="O300" s="77"/>
      <c r="P300" s="77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102">
        <f t="shared" si="1"/>
        <v>296</v>
      </c>
      <c r="B301" s="94" t="s">
        <v>1429</v>
      </c>
      <c r="C301" s="95" t="s">
        <v>5</v>
      </c>
      <c r="D301" s="96"/>
      <c r="E301" s="97"/>
      <c r="F301" s="98" t="s">
        <v>43</v>
      </c>
      <c r="G301" s="99" t="s">
        <v>87</v>
      </c>
      <c r="H301" s="102"/>
      <c r="I301" s="95"/>
      <c r="J301" s="93" t="s">
        <v>99</v>
      </c>
      <c r="K301" s="93">
        <v>25.0</v>
      </c>
      <c r="L301" s="101"/>
      <c r="M301" s="102"/>
      <c r="N301" s="102"/>
      <c r="O301" s="102"/>
      <c r="P301" s="102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77">
        <f t="shared" si="1"/>
        <v>297</v>
      </c>
      <c r="B302" s="78" t="s">
        <v>1432</v>
      </c>
      <c r="C302" s="82" t="s">
        <v>9</v>
      </c>
      <c r="D302" s="83"/>
      <c r="E302" s="84"/>
      <c r="F302" s="114" t="s">
        <v>43</v>
      </c>
      <c r="G302" s="86" t="s">
        <v>87</v>
      </c>
      <c r="H302" s="77"/>
      <c r="I302" s="82"/>
      <c r="J302" s="87" t="s">
        <v>89</v>
      </c>
      <c r="K302" s="77"/>
      <c r="L302" s="89"/>
      <c r="M302" s="77"/>
      <c r="N302" s="77"/>
      <c r="O302" s="77"/>
      <c r="P302" s="77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102">
        <f t="shared" si="1"/>
        <v>298</v>
      </c>
      <c r="B303" s="94" t="s">
        <v>1438</v>
      </c>
      <c r="C303" s="95" t="s">
        <v>49</v>
      </c>
      <c r="D303" s="96"/>
      <c r="E303" s="97"/>
      <c r="F303" s="98" t="s">
        <v>60</v>
      </c>
      <c r="G303" s="99" t="s">
        <v>53</v>
      </c>
      <c r="H303" s="93" t="s">
        <v>1439</v>
      </c>
      <c r="I303" s="95"/>
      <c r="J303" s="93" t="s">
        <v>99</v>
      </c>
      <c r="K303" s="93">
        <v>39.0</v>
      </c>
      <c r="L303" s="101"/>
      <c r="M303" s="102"/>
      <c r="N303" s="103" t="s">
        <v>43</v>
      </c>
      <c r="O303" s="102"/>
      <c r="P303" s="102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77">
        <f t="shared" si="1"/>
        <v>299</v>
      </c>
      <c r="B304" s="78" t="s">
        <v>1444</v>
      </c>
      <c r="C304" s="82" t="s">
        <v>49</v>
      </c>
      <c r="D304" s="83"/>
      <c r="E304" s="84"/>
      <c r="F304" s="85" t="s">
        <v>60</v>
      </c>
      <c r="G304" s="86" t="s">
        <v>53</v>
      </c>
      <c r="H304" s="87" t="s">
        <v>1445</v>
      </c>
      <c r="I304" s="82"/>
      <c r="J304" s="87" t="s">
        <v>89</v>
      </c>
      <c r="K304" s="87">
        <v>31.0</v>
      </c>
      <c r="L304" s="89"/>
      <c r="M304" s="77"/>
      <c r="N304" s="91" t="s">
        <v>43</v>
      </c>
      <c r="O304" s="77"/>
      <c r="P304" s="77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102">
        <f t="shared" si="1"/>
        <v>300</v>
      </c>
      <c r="B305" s="94" t="s">
        <v>912</v>
      </c>
      <c r="C305" s="107" t="s">
        <v>5</v>
      </c>
      <c r="D305" s="96"/>
      <c r="E305" s="97"/>
      <c r="F305" s="98" t="s">
        <v>43</v>
      </c>
      <c r="G305" s="99" t="s">
        <v>87</v>
      </c>
      <c r="H305" s="93" t="s">
        <v>1449</v>
      </c>
      <c r="I305" s="107" t="s">
        <v>5</v>
      </c>
      <c r="J305" s="93" t="s">
        <v>68</v>
      </c>
      <c r="K305" s="93" t="s">
        <v>1072</v>
      </c>
      <c r="L305" s="101"/>
      <c r="M305" s="102"/>
      <c r="N305" s="103" t="s">
        <v>43</v>
      </c>
      <c r="O305" s="102"/>
      <c r="P305" s="102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77">
        <f t="shared" si="1"/>
        <v>301</v>
      </c>
      <c r="B306" s="78" t="s">
        <v>1453</v>
      </c>
      <c r="C306" s="82" t="s">
        <v>49</v>
      </c>
      <c r="D306" s="83"/>
      <c r="E306" s="84"/>
      <c r="F306" s="85" t="s">
        <v>43</v>
      </c>
      <c r="G306" s="86" t="s">
        <v>53</v>
      </c>
      <c r="H306" s="77"/>
      <c r="I306" s="82"/>
      <c r="J306" s="87" t="s">
        <v>99</v>
      </c>
      <c r="K306" s="87">
        <v>13.0</v>
      </c>
      <c r="L306" s="89"/>
      <c r="M306" s="77"/>
      <c r="N306" s="77"/>
      <c r="O306" s="77"/>
      <c r="P306" s="77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102">
        <f t="shared" si="1"/>
        <v>302</v>
      </c>
      <c r="B307" s="94" t="s">
        <v>449</v>
      </c>
      <c r="C307" s="95" t="s">
        <v>49</v>
      </c>
      <c r="D307" s="96"/>
      <c r="E307" s="112"/>
      <c r="F307" s="98" t="s">
        <v>60</v>
      </c>
      <c r="G307" s="99" t="s">
        <v>53</v>
      </c>
      <c r="H307" s="93" t="s">
        <v>1456</v>
      </c>
      <c r="I307" s="95"/>
      <c r="J307" s="93" t="s">
        <v>174</v>
      </c>
      <c r="K307" s="93" t="s">
        <v>1457</v>
      </c>
      <c r="L307" s="101"/>
      <c r="M307" s="102"/>
      <c r="N307" s="103" t="s">
        <v>43</v>
      </c>
      <c r="O307" s="102"/>
      <c r="P307" s="102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77">
        <f t="shared" si="1"/>
        <v>303</v>
      </c>
      <c r="B308" s="78" t="s">
        <v>1461</v>
      </c>
      <c r="C308" s="82" t="s">
        <v>49</v>
      </c>
      <c r="D308" s="83"/>
      <c r="E308" s="84"/>
      <c r="F308" s="85" t="s">
        <v>43</v>
      </c>
      <c r="G308" s="86" t="s">
        <v>53</v>
      </c>
      <c r="H308" s="87" t="s">
        <v>1465</v>
      </c>
      <c r="I308" s="82"/>
      <c r="J308" s="87" t="s">
        <v>89</v>
      </c>
      <c r="K308" s="87">
        <v>23.0</v>
      </c>
      <c r="L308" s="89"/>
      <c r="M308" s="77"/>
      <c r="N308" s="91" t="s">
        <v>43</v>
      </c>
      <c r="O308" s="77"/>
      <c r="P308" s="77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102">
        <f t="shared" si="1"/>
        <v>304</v>
      </c>
      <c r="B309" s="94" t="s">
        <v>1467</v>
      </c>
      <c r="C309" s="95" t="s">
        <v>49</v>
      </c>
      <c r="D309" s="96"/>
      <c r="E309" s="97"/>
      <c r="F309" s="98" t="s">
        <v>60</v>
      </c>
      <c r="G309" s="99" t="s">
        <v>53</v>
      </c>
      <c r="H309" s="93" t="s">
        <v>1469</v>
      </c>
      <c r="I309" s="95"/>
      <c r="J309" s="93" t="s">
        <v>51</v>
      </c>
      <c r="K309" s="93">
        <v>11.0</v>
      </c>
      <c r="L309" s="101"/>
      <c r="M309" s="102"/>
      <c r="N309" s="103" t="s">
        <v>43</v>
      </c>
      <c r="O309" s="102"/>
      <c r="P309" s="102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77">
        <f t="shared" si="1"/>
        <v>305</v>
      </c>
      <c r="B310" s="78" t="s">
        <v>1473</v>
      </c>
      <c r="C310" s="82" t="s">
        <v>49</v>
      </c>
      <c r="D310" s="83"/>
      <c r="E310" s="84"/>
      <c r="F310" s="85" t="s">
        <v>60</v>
      </c>
      <c r="G310" s="86" t="s">
        <v>53</v>
      </c>
      <c r="H310" s="87" t="s">
        <v>1474</v>
      </c>
      <c r="I310" s="82"/>
      <c r="J310" s="87" t="s">
        <v>99</v>
      </c>
      <c r="K310" s="87">
        <v>5.0</v>
      </c>
      <c r="L310" s="89"/>
      <c r="M310" s="77"/>
      <c r="N310" s="91" t="s">
        <v>43</v>
      </c>
      <c r="O310" s="77"/>
      <c r="P310" s="77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102">
        <f t="shared" si="1"/>
        <v>306</v>
      </c>
      <c r="B311" s="94" t="s">
        <v>1478</v>
      </c>
      <c r="C311" s="95" t="s">
        <v>49</v>
      </c>
      <c r="D311" s="96"/>
      <c r="E311" s="97"/>
      <c r="F311" s="98" t="s">
        <v>60</v>
      </c>
      <c r="G311" s="99" t="s">
        <v>49</v>
      </c>
      <c r="H311" s="93" t="s">
        <v>1479</v>
      </c>
      <c r="I311" s="95"/>
      <c r="J311" s="93" t="s">
        <v>68</v>
      </c>
      <c r="K311" s="93">
        <v>22.0</v>
      </c>
      <c r="L311" s="101"/>
      <c r="M311" s="102"/>
      <c r="N311" s="103" t="s">
        <v>60</v>
      </c>
      <c r="O311" s="102"/>
      <c r="P311" s="102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77">
        <f t="shared" si="1"/>
        <v>307</v>
      </c>
      <c r="B312" s="78" t="s">
        <v>1481</v>
      </c>
      <c r="C312" s="82" t="s">
        <v>49</v>
      </c>
      <c r="D312" s="83"/>
      <c r="E312" s="84"/>
      <c r="F312" s="85" t="s">
        <v>43</v>
      </c>
      <c r="G312" s="86" t="s">
        <v>53</v>
      </c>
      <c r="H312" s="77"/>
      <c r="I312" s="82"/>
      <c r="J312" s="87" t="s">
        <v>96</v>
      </c>
      <c r="K312" s="87">
        <v>33.0</v>
      </c>
      <c r="L312" s="89"/>
      <c r="M312" s="77"/>
      <c r="N312" s="77"/>
      <c r="O312" s="77"/>
      <c r="P312" s="77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102">
        <f t="shared" si="1"/>
        <v>308</v>
      </c>
      <c r="B313" s="94" t="s">
        <v>1486</v>
      </c>
      <c r="C313" s="95" t="s">
        <v>49</v>
      </c>
      <c r="D313" s="96"/>
      <c r="E313" s="97"/>
      <c r="F313" s="98" t="s">
        <v>43</v>
      </c>
      <c r="G313" s="99" t="s">
        <v>87</v>
      </c>
      <c r="H313" s="102"/>
      <c r="I313" s="95"/>
      <c r="J313" s="93" t="s">
        <v>99</v>
      </c>
      <c r="K313" s="93">
        <v>22.0</v>
      </c>
      <c r="L313" s="101"/>
      <c r="M313" s="102"/>
      <c r="N313" s="102"/>
      <c r="O313" s="102"/>
      <c r="P313" s="102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77">
        <f t="shared" si="1"/>
        <v>309</v>
      </c>
      <c r="B314" s="78" t="s">
        <v>426</v>
      </c>
      <c r="C314" s="82" t="s">
        <v>5</v>
      </c>
      <c r="D314" s="83"/>
      <c r="E314" s="84"/>
      <c r="F314" s="85" t="s">
        <v>43</v>
      </c>
      <c r="G314" s="86" t="s">
        <v>87</v>
      </c>
      <c r="H314" s="77"/>
      <c r="I314" s="82"/>
      <c r="J314" s="87" t="s">
        <v>174</v>
      </c>
      <c r="K314" s="87">
        <v>2.0</v>
      </c>
      <c r="L314" s="89"/>
      <c r="M314" s="77"/>
      <c r="N314" s="77"/>
      <c r="O314" s="77"/>
      <c r="P314" s="77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102">
        <f t="shared" si="1"/>
        <v>310</v>
      </c>
      <c r="B315" s="94" t="s">
        <v>1495</v>
      </c>
      <c r="C315" s="95" t="s">
        <v>49</v>
      </c>
      <c r="D315" s="96"/>
      <c r="E315" s="97"/>
      <c r="F315" s="98" t="s">
        <v>43</v>
      </c>
      <c r="G315" s="99" t="s">
        <v>53</v>
      </c>
      <c r="H315" s="102"/>
      <c r="I315" s="95"/>
      <c r="J315" s="93" t="s">
        <v>96</v>
      </c>
      <c r="K315" s="93">
        <v>34.0</v>
      </c>
      <c r="L315" s="101"/>
      <c r="M315" s="102"/>
      <c r="N315" s="102"/>
      <c r="O315" s="102"/>
      <c r="P315" s="102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77">
        <f t="shared" si="1"/>
        <v>311</v>
      </c>
      <c r="B316" s="78" t="s">
        <v>1499</v>
      </c>
      <c r="C316" s="82" t="s">
        <v>49</v>
      </c>
      <c r="D316" s="83"/>
      <c r="E316" s="84"/>
      <c r="F316" s="85" t="s">
        <v>43</v>
      </c>
      <c r="G316" s="86" t="s">
        <v>53</v>
      </c>
      <c r="H316" s="77"/>
      <c r="I316" s="82"/>
      <c r="J316" s="87" t="s">
        <v>96</v>
      </c>
      <c r="K316" s="87">
        <v>20.0</v>
      </c>
      <c r="L316" s="89"/>
      <c r="M316" s="77"/>
      <c r="N316" s="77"/>
      <c r="O316" s="77"/>
      <c r="P316" s="77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102">
        <f t="shared" si="1"/>
        <v>312</v>
      </c>
      <c r="B317" s="94" t="s">
        <v>706</v>
      </c>
      <c r="C317" s="95" t="s">
        <v>49</v>
      </c>
      <c r="D317" s="96"/>
      <c r="E317" s="97"/>
      <c r="F317" s="98" t="s">
        <v>60</v>
      </c>
      <c r="G317" s="99" t="s">
        <v>49</v>
      </c>
      <c r="H317" s="102"/>
      <c r="I317" s="95"/>
      <c r="J317" s="93" t="s">
        <v>174</v>
      </c>
      <c r="K317" s="93">
        <v>27.0</v>
      </c>
      <c r="L317" s="101"/>
      <c r="M317" s="102"/>
      <c r="N317" s="102"/>
      <c r="O317" s="102"/>
      <c r="P317" s="102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77">
        <f t="shared" si="1"/>
        <v>313</v>
      </c>
      <c r="B318" s="78" t="s">
        <v>847</v>
      </c>
      <c r="C318" s="82" t="s">
        <v>49</v>
      </c>
      <c r="D318" s="83"/>
      <c r="E318" s="84"/>
      <c r="F318" s="85" t="s">
        <v>43</v>
      </c>
      <c r="G318" s="86" t="s">
        <v>53</v>
      </c>
      <c r="H318" s="87" t="s">
        <v>1505</v>
      </c>
      <c r="I318" s="82" t="s">
        <v>88</v>
      </c>
      <c r="J318" s="87" t="s">
        <v>68</v>
      </c>
      <c r="K318" s="87">
        <v>8.0</v>
      </c>
      <c r="L318" s="89"/>
      <c r="M318" s="77"/>
      <c r="N318" s="91" t="s">
        <v>43</v>
      </c>
      <c r="O318" s="77"/>
      <c r="P318" s="77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102">
        <f t="shared" si="1"/>
        <v>314</v>
      </c>
      <c r="B319" s="94" t="s">
        <v>1510</v>
      </c>
      <c r="C319" s="95" t="s">
        <v>49</v>
      </c>
      <c r="D319" s="96"/>
      <c r="E319" s="97"/>
      <c r="F319" s="98" t="s">
        <v>43</v>
      </c>
      <c r="G319" s="99" t="s">
        <v>53</v>
      </c>
      <c r="H319" s="102"/>
      <c r="I319" s="95"/>
      <c r="J319" s="93" t="s">
        <v>47</v>
      </c>
      <c r="K319" s="93">
        <v>13.0</v>
      </c>
      <c r="L319" s="101"/>
      <c r="M319" s="102"/>
      <c r="N319" s="112"/>
      <c r="O319" s="102"/>
      <c r="P319" s="102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77">
        <f t="shared" si="1"/>
        <v>315</v>
      </c>
      <c r="B320" s="78" t="s">
        <v>1513</v>
      </c>
      <c r="C320" s="82" t="s">
        <v>172</v>
      </c>
      <c r="D320" s="83"/>
      <c r="E320" s="84"/>
      <c r="F320" s="85" t="s">
        <v>60</v>
      </c>
      <c r="G320" s="86" t="s">
        <v>53</v>
      </c>
      <c r="H320" s="87" t="s">
        <v>1514</v>
      </c>
      <c r="I320" s="82"/>
      <c r="J320" s="87" t="s">
        <v>55</v>
      </c>
      <c r="K320" s="87">
        <v>15.0</v>
      </c>
      <c r="L320" s="89"/>
      <c r="M320" s="77"/>
      <c r="N320" s="91" t="s">
        <v>43</v>
      </c>
      <c r="O320" s="77"/>
      <c r="P320" s="77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102">
        <f t="shared" si="1"/>
        <v>316</v>
      </c>
      <c r="B321" s="94" t="s">
        <v>1516</v>
      </c>
      <c r="C321" s="95" t="s">
        <v>49</v>
      </c>
      <c r="D321" s="96"/>
      <c r="E321" s="97"/>
      <c r="F321" s="98" t="s">
        <v>60</v>
      </c>
      <c r="G321" s="99" t="s">
        <v>53</v>
      </c>
      <c r="H321" s="93" t="s">
        <v>1518</v>
      </c>
      <c r="I321" s="95"/>
      <c r="J321" s="93" t="s">
        <v>96</v>
      </c>
      <c r="K321" s="93">
        <v>6.0</v>
      </c>
      <c r="L321" s="101"/>
      <c r="M321" s="102"/>
      <c r="N321" s="103" t="s">
        <v>43</v>
      </c>
      <c r="O321" s="102"/>
      <c r="P321" s="102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77">
        <f t="shared" si="1"/>
        <v>317</v>
      </c>
      <c r="B322" s="78" t="s">
        <v>1521</v>
      </c>
      <c r="C322" s="82" t="s">
        <v>49</v>
      </c>
      <c r="D322" s="83"/>
      <c r="E322" s="84"/>
      <c r="F322" s="85" t="s">
        <v>43</v>
      </c>
      <c r="G322" s="86" t="s">
        <v>53</v>
      </c>
      <c r="H322" s="77"/>
      <c r="I322" s="82"/>
      <c r="J322" s="87" t="s">
        <v>99</v>
      </c>
      <c r="K322" s="87">
        <v>39.0</v>
      </c>
      <c r="L322" s="89"/>
      <c r="M322" s="77"/>
      <c r="N322" s="77"/>
      <c r="O322" s="77"/>
      <c r="P322" s="77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102">
        <f t="shared" si="1"/>
        <v>318</v>
      </c>
      <c r="B323" s="94" t="s">
        <v>516</v>
      </c>
      <c r="C323" s="95" t="s">
        <v>49</v>
      </c>
      <c r="D323" s="96"/>
      <c r="E323" s="97"/>
      <c r="F323" s="98" t="s">
        <v>43</v>
      </c>
      <c r="G323" s="99" t="s">
        <v>87</v>
      </c>
      <c r="H323" s="102"/>
      <c r="I323" s="95"/>
      <c r="J323" s="93" t="s">
        <v>174</v>
      </c>
      <c r="K323" s="93">
        <v>9.0</v>
      </c>
      <c r="L323" s="101"/>
      <c r="M323" s="102"/>
      <c r="N323" s="102"/>
      <c r="O323" s="102"/>
      <c r="P323" s="102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77">
        <f t="shared" si="1"/>
        <v>319</v>
      </c>
      <c r="B324" s="78" t="s">
        <v>1524</v>
      </c>
      <c r="C324" s="82" t="s">
        <v>9</v>
      </c>
      <c r="D324" s="83"/>
      <c r="E324" s="84"/>
      <c r="F324" s="114" t="s">
        <v>43</v>
      </c>
      <c r="G324" s="86" t="s">
        <v>87</v>
      </c>
      <c r="H324" s="77"/>
      <c r="I324" s="82"/>
      <c r="J324" s="87" t="s">
        <v>96</v>
      </c>
      <c r="K324" s="77"/>
      <c r="L324" s="89"/>
      <c r="M324" s="77"/>
      <c r="N324" s="77"/>
      <c r="O324" s="77"/>
      <c r="P324" s="77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102">
        <f t="shared" si="1"/>
        <v>320</v>
      </c>
      <c r="B325" s="94" t="s">
        <v>1527</v>
      </c>
      <c r="C325" s="95" t="s">
        <v>49</v>
      </c>
      <c r="D325" s="96"/>
      <c r="E325" s="97"/>
      <c r="F325" s="109" t="s">
        <v>43</v>
      </c>
      <c r="G325" s="99" t="s">
        <v>53</v>
      </c>
      <c r="H325" s="93" t="s">
        <v>1531</v>
      </c>
      <c r="I325" s="95"/>
      <c r="J325" s="93" t="s">
        <v>174</v>
      </c>
      <c r="K325" s="102"/>
      <c r="L325" s="101"/>
      <c r="M325" s="102"/>
      <c r="N325" s="102"/>
      <c r="O325" s="102"/>
      <c r="P325" s="102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77">
        <f t="shared" si="1"/>
        <v>321</v>
      </c>
      <c r="B326" s="78" t="s">
        <v>1534</v>
      </c>
      <c r="C326" s="82" t="s">
        <v>49</v>
      </c>
      <c r="D326" s="83"/>
      <c r="E326" s="84"/>
      <c r="F326" s="85" t="s">
        <v>43</v>
      </c>
      <c r="G326" s="86" t="s">
        <v>53</v>
      </c>
      <c r="H326" s="87" t="s">
        <v>1535</v>
      </c>
      <c r="I326" s="82"/>
      <c r="J326" s="87" t="s">
        <v>96</v>
      </c>
      <c r="K326" s="87">
        <v>10.0</v>
      </c>
      <c r="L326" s="89"/>
      <c r="M326" s="77"/>
      <c r="N326" s="91" t="s">
        <v>43</v>
      </c>
      <c r="O326" s="77"/>
      <c r="P326" s="77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102">
        <f t="shared" si="1"/>
        <v>322</v>
      </c>
      <c r="B327" s="94" t="s">
        <v>1538</v>
      </c>
      <c r="C327" s="95" t="s">
        <v>49</v>
      </c>
      <c r="D327" s="96"/>
      <c r="E327" s="97"/>
      <c r="F327" s="109" t="s">
        <v>43</v>
      </c>
      <c r="G327" s="99" t="s">
        <v>53</v>
      </c>
      <c r="H327" s="93" t="s">
        <v>1541</v>
      </c>
      <c r="I327" s="95"/>
      <c r="J327" s="93" t="s">
        <v>51</v>
      </c>
      <c r="K327" s="102"/>
      <c r="L327" s="101"/>
      <c r="M327" s="102"/>
      <c r="N327" s="93" t="s">
        <v>43</v>
      </c>
      <c r="O327" s="102"/>
      <c r="P327" s="102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77">
        <f t="shared" si="1"/>
        <v>323</v>
      </c>
      <c r="B328" s="78" t="s">
        <v>1546</v>
      </c>
      <c r="C328" s="82" t="s">
        <v>49</v>
      </c>
      <c r="D328" s="83"/>
      <c r="E328" s="84"/>
      <c r="F328" s="85" t="s">
        <v>60</v>
      </c>
      <c r="G328" s="86" t="s">
        <v>49</v>
      </c>
      <c r="H328" s="87" t="s">
        <v>1550</v>
      </c>
      <c r="I328" s="82"/>
      <c r="J328" s="87" t="s">
        <v>68</v>
      </c>
      <c r="K328" s="87">
        <v>22.0</v>
      </c>
      <c r="L328" s="89"/>
      <c r="M328" s="77"/>
      <c r="N328" s="91" t="s">
        <v>60</v>
      </c>
      <c r="O328" s="77"/>
      <c r="P328" s="77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102">
        <f t="shared" si="1"/>
        <v>324</v>
      </c>
      <c r="B329" s="94" t="s">
        <v>654</v>
      </c>
      <c r="C329" s="95" t="s">
        <v>49</v>
      </c>
      <c r="D329" s="96"/>
      <c r="E329" s="112"/>
      <c r="F329" s="98" t="s">
        <v>43</v>
      </c>
      <c r="G329" s="99" t="s">
        <v>53</v>
      </c>
      <c r="H329" s="93" t="s">
        <v>1557</v>
      </c>
      <c r="I329" s="95"/>
      <c r="J329" s="93" t="s">
        <v>174</v>
      </c>
      <c r="K329" s="93" t="s">
        <v>391</v>
      </c>
      <c r="L329" s="101"/>
      <c r="M329" s="102"/>
      <c r="N329" s="103" t="s">
        <v>43</v>
      </c>
      <c r="O329" s="102"/>
      <c r="P329" s="102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77">
        <f t="shared" si="1"/>
        <v>325</v>
      </c>
      <c r="B330" s="78" t="s">
        <v>808</v>
      </c>
      <c r="C330" s="82" t="s">
        <v>49</v>
      </c>
      <c r="D330" s="83"/>
      <c r="E330" s="84"/>
      <c r="F330" s="85" t="s">
        <v>60</v>
      </c>
      <c r="G330" s="86" t="s">
        <v>53</v>
      </c>
      <c r="H330" s="87" t="s">
        <v>1563</v>
      </c>
      <c r="I330" s="82"/>
      <c r="J330" s="87" t="s">
        <v>68</v>
      </c>
      <c r="K330" s="87">
        <v>5.0</v>
      </c>
      <c r="L330" s="89"/>
      <c r="M330" s="77"/>
      <c r="N330" s="91" t="s">
        <v>43</v>
      </c>
      <c r="O330" s="77"/>
      <c r="P330" s="77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102">
        <f t="shared" si="1"/>
        <v>326</v>
      </c>
      <c r="B331" s="94" t="s">
        <v>900</v>
      </c>
      <c r="C331" s="95" t="s">
        <v>49</v>
      </c>
      <c r="D331" s="96"/>
      <c r="E331" s="97"/>
      <c r="F331" s="98" t="s">
        <v>43</v>
      </c>
      <c r="G331" s="99" t="s">
        <v>53</v>
      </c>
      <c r="H331" s="93" t="s">
        <v>1568</v>
      </c>
      <c r="I331" s="95"/>
      <c r="J331" s="93" t="s">
        <v>68</v>
      </c>
      <c r="K331" s="93">
        <v>11.0</v>
      </c>
      <c r="L331" s="101"/>
      <c r="M331" s="102"/>
      <c r="N331" s="103" t="s">
        <v>43</v>
      </c>
      <c r="O331" s="102"/>
      <c r="P331" s="102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77">
        <f t="shared" si="1"/>
        <v>327</v>
      </c>
      <c r="B332" s="78" t="s">
        <v>1571</v>
      </c>
      <c r="C332" s="82" t="s">
        <v>49</v>
      </c>
      <c r="D332" s="83"/>
      <c r="E332" s="84"/>
      <c r="F332" s="85" t="s">
        <v>43</v>
      </c>
      <c r="G332" s="86" t="s">
        <v>87</v>
      </c>
      <c r="H332" s="87" t="s">
        <v>1574</v>
      </c>
      <c r="I332" s="111" t="s">
        <v>72</v>
      </c>
      <c r="J332" s="87" t="s">
        <v>89</v>
      </c>
      <c r="K332" s="87">
        <v>25.0</v>
      </c>
      <c r="L332" s="89"/>
      <c r="M332" s="77"/>
      <c r="N332" s="91" t="s">
        <v>43</v>
      </c>
      <c r="O332" s="77"/>
      <c r="P332" s="77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102">
        <f t="shared" si="1"/>
        <v>328</v>
      </c>
      <c r="B333" s="94" t="s">
        <v>1579</v>
      </c>
      <c r="C333" s="95" t="s">
        <v>49</v>
      </c>
      <c r="D333" s="96"/>
      <c r="E333" s="97"/>
      <c r="F333" s="98" t="s">
        <v>43</v>
      </c>
      <c r="G333" s="99" t="s">
        <v>53</v>
      </c>
      <c r="H333" s="102"/>
      <c r="I333" s="95"/>
      <c r="J333" s="93" t="s">
        <v>51</v>
      </c>
      <c r="K333" s="93">
        <v>30.0</v>
      </c>
      <c r="L333" s="101"/>
      <c r="M333" s="102"/>
      <c r="N333" s="102"/>
      <c r="O333" s="102"/>
      <c r="P333" s="102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77">
        <f t="shared" si="1"/>
        <v>329</v>
      </c>
      <c r="B334" s="78" t="s">
        <v>1583</v>
      </c>
      <c r="C334" s="82" t="s">
        <v>49</v>
      </c>
      <c r="D334" s="83"/>
      <c r="E334" s="84"/>
      <c r="F334" s="114" t="s">
        <v>43</v>
      </c>
      <c r="G334" s="86" t="s">
        <v>53</v>
      </c>
      <c r="H334" s="77"/>
      <c r="I334" s="82"/>
      <c r="J334" s="87" t="s">
        <v>96</v>
      </c>
      <c r="K334" s="77"/>
      <c r="L334" s="89"/>
      <c r="M334" s="77"/>
      <c r="N334" s="77"/>
      <c r="O334" s="77"/>
      <c r="P334" s="77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102">
        <f t="shared" si="1"/>
        <v>330</v>
      </c>
      <c r="B335" s="94" t="s">
        <v>114</v>
      </c>
      <c r="C335" s="95" t="s">
        <v>49</v>
      </c>
      <c r="D335" s="96"/>
      <c r="E335" s="110" t="s">
        <v>115</v>
      </c>
      <c r="F335" s="109" t="s">
        <v>43</v>
      </c>
      <c r="G335" s="99" t="s">
        <v>53</v>
      </c>
      <c r="H335" s="102"/>
      <c r="I335" s="95"/>
      <c r="J335" s="93" t="s">
        <v>47</v>
      </c>
      <c r="K335" s="93">
        <v>3.0</v>
      </c>
      <c r="L335" s="101"/>
      <c r="M335" s="102"/>
      <c r="N335" s="112"/>
      <c r="O335" s="102"/>
      <c r="P335" s="102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77">
        <f t="shared" si="1"/>
        <v>331</v>
      </c>
      <c r="B336" s="78" t="s">
        <v>1591</v>
      </c>
      <c r="C336" s="82" t="s">
        <v>49</v>
      </c>
      <c r="D336" s="83"/>
      <c r="E336" s="84"/>
      <c r="F336" s="114" t="s">
        <v>43</v>
      </c>
      <c r="G336" s="86" t="s">
        <v>53</v>
      </c>
      <c r="H336" s="77"/>
      <c r="I336" s="82"/>
      <c r="J336" s="87" t="s">
        <v>89</v>
      </c>
      <c r="K336" s="77"/>
      <c r="L336" s="89"/>
      <c r="M336" s="77"/>
      <c r="N336" s="77"/>
      <c r="O336" s="77"/>
      <c r="P336" s="77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102">
        <f t="shared" si="1"/>
        <v>332</v>
      </c>
      <c r="B337" s="94" t="s">
        <v>1594</v>
      </c>
      <c r="C337" s="95" t="s">
        <v>49</v>
      </c>
      <c r="D337" s="96"/>
      <c r="E337" s="97"/>
      <c r="F337" s="98" t="s">
        <v>43</v>
      </c>
      <c r="G337" s="99" t="s">
        <v>53</v>
      </c>
      <c r="H337" s="102"/>
      <c r="I337" s="95"/>
      <c r="J337" s="93" t="s">
        <v>51</v>
      </c>
      <c r="K337" s="93">
        <v>12.0</v>
      </c>
      <c r="L337" s="101"/>
      <c r="M337" s="102"/>
      <c r="N337" s="102"/>
      <c r="O337" s="102"/>
      <c r="P337" s="93" t="s">
        <v>1599</v>
      </c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77">
        <f t="shared" si="1"/>
        <v>333</v>
      </c>
      <c r="B338" s="78" t="s">
        <v>1490</v>
      </c>
      <c r="C338" s="82" t="s">
        <v>49</v>
      </c>
      <c r="D338" s="83"/>
      <c r="E338" s="84"/>
      <c r="F338" s="85" t="s">
        <v>43</v>
      </c>
      <c r="G338" s="86" t="s">
        <v>53</v>
      </c>
      <c r="H338" s="87"/>
      <c r="I338" s="82"/>
      <c r="J338" s="87" t="s">
        <v>55</v>
      </c>
      <c r="K338" s="87">
        <v>11.0</v>
      </c>
      <c r="L338" s="89"/>
      <c r="M338" s="77"/>
      <c r="N338" s="77"/>
      <c r="O338" s="77"/>
      <c r="P338" s="77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102">
        <f t="shared" si="1"/>
        <v>334</v>
      </c>
      <c r="B339" s="94" t="s">
        <v>147</v>
      </c>
      <c r="C339" s="95" t="s">
        <v>49</v>
      </c>
      <c r="D339" s="96"/>
      <c r="E339" s="112"/>
      <c r="F339" s="98" t="s">
        <v>43</v>
      </c>
      <c r="G339" s="99" t="s">
        <v>87</v>
      </c>
      <c r="H339" s="93" t="s">
        <v>1603</v>
      </c>
      <c r="I339" s="95"/>
      <c r="J339" s="93" t="s">
        <v>47</v>
      </c>
      <c r="K339" s="93">
        <v>7.0</v>
      </c>
      <c r="L339" s="101"/>
      <c r="M339" s="102"/>
      <c r="N339" s="98" t="s">
        <v>60</v>
      </c>
      <c r="O339" s="102"/>
      <c r="P339" s="102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77">
        <f t="shared" si="1"/>
        <v>335</v>
      </c>
      <c r="B340" s="78" t="s">
        <v>483</v>
      </c>
      <c r="C340" s="82" t="s">
        <v>49</v>
      </c>
      <c r="D340" s="83"/>
      <c r="E340" s="84"/>
      <c r="F340" s="85" t="s">
        <v>43</v>
      </c>
      <c r="G340" s="86" t="s">
        <v>53</v>
      </c>
      <c r="H340" s="77"/>
      <c r="I340" s="82"/>
      <c r="J340" s="87" t="s">
        <v>174</v>
      </c>
      <c r="K340" s="87">
        <v>3.0</v>
      </c>
      <c r="L340" s="89"/>
      <c r="M340" s="77"/>
      <c r="N340" s="77"/>
      <c r="O340" s="77"/>
      <c r="P340" s="77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102">
        <f t="shared" si="1"/>
        <v>336</v>
      </c>
      <c r="B341" s="94" t="s">
        <v>1607</v>
      </c>
      <c r="C341" s="95" t="s">
        <v>49</v>
      </c>
      <c r="D341" s="96"/>
      <c r="E341" s="97"/>
      <c r="F341" s="98" t="s">
        <v>60</v>
      </c>
      <c r="G341" s="99" t="s">
        <v>87</v>
      </c>
      <c r="H341" s="93" t="s">
        <v>1609</v>
      </c>
      <c r="I341" s="95" t="s">
        <v>72</v>
      </c>
      <c r="J341" s="93" t="s">
        <v>99</v>
      </c>
      <c r="K341" s="93" t="s">
        <v>455</v>
      </c>
      <c r="L341" s="101"/>
      <c r="M341" s="102"/>
      <c r="N341" s="103" t="s">
        <v>43</v>
      </c>
      <c r="O341" s="102"/>
      <c r="P341" s="102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77">
        <f t="shared" si="1"/>
        <v>337</v>
      </c>
      <c r="B342" s="78" t="s">
        <v>1611</v>
      </c>
      <c r="C342" s="82" t="s">
        <v>49</v>
      </c>
      <c r="D342" s="83"/>
      <c r="E342" s="130" t="s">
        <v>1612</v>
      </c>
      <c r="F342" s="114" t="s">
        <v>43</v>
      </c>
      <c r="G342" s="86" t="s">
        <v>53</v>
      </c>
      <c r="H342" s="87" t="s">
        <v>1614</v>
      </c>
      <c r="I342" s="82"/>
      <c r="J342" s="87" t="s">
        <v>47</v>
      </c>
      <c r="K342" s="87">
        <v>3.0</v>
      </c>
      <c r="L342" s="89"/>
      <c r="M342" s="77"/>
      <c r="N342" s="85" t="s">
        <v>43</v>
      </c>
      <c r="O342" s="77"/>
      <c r="P342" s="77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102">
        <f t="shared" si="1"/>
        <v>338</v>
      </c>
      <c r="B343" s="94" t="s">
        <v>304</v>
      </c>
      <c r="C343" s="95" t="s">
        <v>49</v>
      </c>
      <c r="D343" s="96"/>
      <c r="E343" s="112"/>
      <c r="F343" s="98" t="s">
        <v>43</v>
      </c>
      <c r="G343" s="99" t="s">
        <v>87</v>
      </c>
      <c r="H343" s="93" t="s">
        <v>1618</v>
      </c>
      <c r="I343" s="95"/>
      <c r="J343" s="93" t="s">
        <v>47</v>
      </c>
      <c r="K343" s="93">
        <v>25.0</v>
      </c>
      <c r="L343" s="101"/>
      <c r="M343" s="102"/>
      <c r="N343" s="103" t="s">
        <v>43</v>
      </c>
      <c r="O343" s="102"/>
      <c r="P343" s="102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77">
        <f t="shared" si="1"/>
        <v>339</v>
      </c>
      <c r="B344" s="78" t="s">
        <v>1621</v>
      </c>
      <c r="C344" s="82" t="s">
        <v>49</v>
      </c>
      <c r="D344" s="83"/>
      <c r="E344" s="84"/>
      <c r="F344" s="85" t="s">
        <v>43</v>
      </c>
      <c r="G344" s="86" t="s">
        <v>53</v>
      </c>
      <c r="H344" s="77"/>
      <c r="I344" s="82"/>
      <c r="J344" s="87" t="s">
        <v>51</v>
      </c>
      <c r="K344" s="87">
        <v>30.0</v>
      </c>
      <c r="L344" s="89"/>
      <c r="M344" s="77"/>
      <c r="N344" s="77"/>
      <c r="O344" s="77"/>
      <c r="P344" s="77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102">
        <f t="shared" si="1"/>
        <v>340</v>
      </c>
      <c r="B345" s="94" t="s">
        <v>1625</v>
      </c>
      <c r="C345" s="95" t="s">
        <v>49</v>
      </c>
      <c r="D345" s="96"/>
      <c r="E345" s="97"/>
      <c r="F345" s="98" t="s">
        <v>43</v>
      </c>
      <c r="G345" s="99" t="s">
        <v>53</v>
      </c>
      <c r="H345" s="102"/>
      <c r="I345" s="95"/>
      <c r="J345" s="93" t="s">
        <v>47</v>
      </c>
      <c r="K345" s="93">
        <v>13.0</v>
      </c>
      <c r="L345" s="101"/>
      <c r="M345" s="102"/>
      <c r="N345" s="102"/>
      <c r="O345" s="102"/>
      <c r="P345" s="102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77">
        <f t="shared" si="1"/>
        <v>341</v>
      </c>
      <c r="B346" s="78" t="s">
        <v>523</v>
      </c>
      <c r="C346" s="82" t="s">
        <v>49</v>
      </c>
      <c r="D346" s="83"/>
      <c r="E346" s="113"/>
      <c r="F346" s="85" t="s">
        <v>43</v>
      </c>
      <c r="G346" s="86" t="s">
        <v>53</v>
      </c>
      <c r="H346" s="87" t="s">
        <v>1628</v>
      </c>
      <c r="I346" s="82"/>
      <c r="J346" s="87" t="s">
        <v>174</v>
      </c>
      <c r="K346" s="87">
        <v>9.0</v>
      </c>
      <c r="L346" s="89"/>
      <c r="M346" s="77"/>
      <c r="N346" s="91" t="s">
        <v>43</v>
      </c>
      <c r="O346" s="77"/>
      <c r="P346" s="77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102">
        <f t="shared" si="1"/>
        <v>342</v>
      </c>
      <c r="B347" s="117" t="s">
        <v>1630</v>
      </c>
      <c r="C347" s="95" t="s">
        <v>49</v>
      </c>
      <c r="D347" s="96"/>
      <c r="E347" s="97"/>
      <c r="F347" s="98" t="s">
        <v>60</v>
      </c>
      <c r="G347" s="99" t="s">
        <v>53</v>
      </c>
      <c r="H347" s="93" t="s">
        <v>1631</v>
      </c>
      <c r="I347" s="95"/>
      <c r="J347" s="93" t="s">
        <v>68</v>
      </c>
      <c r="K347" s="93">
        <v>24.0</v>
      </c>
      <c r="L347" s="101"/>
      <c r="M347" s="102"/>
      <c r="N347" s="103" t="s">
        <v>43</v>
      </c>
      <c r="O347" s="102"/>
      <c r="P347" s="102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77">
        <f t="shared" si="1"/>
        <v>343</v>
      </c>
      <c r="B348" s="78" t="s">
        <v>1635</v>
      </c>
      <c r="C348" s="82" t="s">
        <v>202</v>
      </c>
      <c r="D348" s="83"/>
      <c r="E348" s="84"/>
      <c r="F348" s="114" t="s">
        <v>43</v>
      </c>
      <c r="G348" s="86" t="s">
        <v>87</v>
      </c>
      <c r="H348" s="77"/>
      <c r="I348" s="82"/>
      <c r="J348" s="87" t="s">
        <v>47</v>
      </c>
      <c r="K348" s="77"/>
      <c r="L348" s="89"/>
      <c r="M348" s="77"/>
      <c r="N348" s="77"/>
      <c r="O348" s="77"/>
      <c r="P348" s="86" t="s">
        <v>19</v>
      </c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102">
        <f t="shared" si="1"/>
        <v>344</v>
      </c>
      <c r="B349" s="117" t="s">
        <v>1642</v>
      </c>
      <c r="C349" s="95" t="s">
        <v>49</v>
      </c>
      <c r="D349" s="96"/>
      <c r="E349" s="97"/>
      <c r="F349" s="98" t="s">
        <v>60</v>
      </c>
      <c r="G349" s="99" t="s">
        <v>53</v>
      </c>
      <c r="H349" s="93" t="s">
        <v>1646</v>
      </c>
      <c r="I349" s="95"/>
      <c r="J349" s="93" t="s">
        <v>96</v>
      </c>
      <c r="K349" s="93" t="s">
        <v>1648</v>
      </c>
      <c r="L349" s="101"/>
      <c r="M349" s="102"/>
      <c r="N349" s="103" t="s">
        <v>43</v>
      </c>
      <c r="O349" s="102"/>
      <c r="P349" s="102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77">
        <f t="shared" si="1"/>
        <v>345</v>
      </c>
      <c r="B350" s="78" t="s">
        <v>1652</v>
      </c>
      <c r="C350" s="82" t="s">
        <v>49</v>
      </c>
      <c r="D350" s="83"/>
      <c r="E350" s="84"/>
      <c r="F350" s="85" t="s">
        <v>43</v>
      </c>
      <c r="G350" s="86" t="s">
        <v>53</v>
      </c>
      <c r="H350" s="77"/>
      <c r="I350" s="82"/>
      <c r="J350" s="87" t="s">
        <v>96</v>
      </c>
      <c r="K350" s="87">
        <v>8.0</v>
      </c>
      <c r="L350" s="89"/>
      <c r="M350" s="77"/>
      <c r="N350" s="77"/>
      <c r="O350" s="77"/>
      <c r="P350" s="77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102">
        <f t="shared" si="1"/>
        <v>346</v>
      </c>
      <c r="B351" s="94" t="s">
        <v>1655</v>
      </c>
      <c r="C351" s="95" t="s">
        <v>49</v>
      </c>
      <c r="D351" s="96"/>
      <c r="E351" s="97"/>
      <c r="F351" s="109" t="s">
        <v>43</v>
      </c>
      <c r="G351" s="99" t="s">
        <v>53</v>
      </c>
      <c r="H351" s="102"/>
      <c r="I351" s="95"/>
      <c r="J351" s="93" t="s">
        <v>89</v>
      </c>
      <c r="K351" s="102"/>
      <c r="L351" s="101"/>
      <c r="M351" s="102"/>
      <c r="N351" s="102"/>
      <c r="O351" s="102"/>
      <c r="P351" s="102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77">
        <f t="shared" si="1"/>
        <v>347</v>
      </c>
      <c r="B352" s="78" t="s">
        <v>1660</v>
      </c>
      <c r="C352" s="111" t="s">
        <v>5</v>
      </c>
      <c r="D352" s="83"/>
      <c r="E352" s="84"/>
      <c r="F352" s="85" t="s">
        <v>43</v>
      </c>
      <c r="G352" s="86" t="s">
        <v>87</v>
      </c>
      <c r="H352" s="87" t="s">
        <v>1661</v>
      </c>
      <c r="I352" s="111" t="s">
        <v>5</v>
      </c>
      <c r="J352" s="87" t="s">
        <v>99</v>
      </c>
      <c r="K352" s="87">
        <v>21.0</v>
      </c>
      <c r="L352" s="89"/>
      <c r="M352" s="77"/>
      <c r="N352" s="91" t="s">
        <v>43</v>
      </c>
      <c r="O352" s="77"/>
      <c r="P352" s="77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102">
        <f t="shared" si="1"/>
        <v>348</v>
      </c>
      <c r="B353" s="94" t="s">
        <v>1667</v>
      </c>
      <c r="C353" s="95" t="s">
        <v>49</v>
      </c>
      <c r="D353" s="96"/>
      <c r="E353" s="97"/>
      <c r="F353" s="98" t="s">
        <v>43</v>
      </c>
      <c r="G353" s="99" t="s">
        <v>53</v>
      </c>
      <c r="H353" s="93" t="s">
        <v>1668</v>
      </c>
      <c r="I353" s="95"/>
      <c r="J353" s="93" t="s">
        <v>51</v>
      </c>
      <c r="K353" s="93">
        <v>8.0</v>
      </c>
      <c r="L353" s="101"/>
      <c r="M353" s="102"/>
      <c r="N353" s="103" t="s">
        <v>60</v>
      </c>
      <c r="O353" s="102"/>
      <c r="P353" s="102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77">
        <f t="shared" si="1"/>
        <v>349</v>
      </c>
      <c r="B354" s="78" t="s">
        <v>1670</v>
      </c>
      <c r="C354" s="82" t="s">
        <v>49</v>
      </c>
      <c r="D354" s="83"/>
      <c r="E354" s="84"/>
      <c r="F354" s="85" t="s">
        <v>43</v>
      </c>
      <c r="G354" s="86" t="s">
        <v>53</v>
      </c>
      <c r="H354" s="77"/>
      <c r="I354" s="82"/>
      <c r="J354" s="87" t="s">
        <v>96</v>
      </c>
      <c r="K354" s="87">
        <v>34.0</v>
      </c>
      <c r="L354" s="89"/>
      <c r="M354" s="77"/>
      <c r="N354" s="77"/>
      <c r="O354" s="77"/>
      <c r="P354" s="77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102">
        <f t="shared" si="1"/>
        <v>350</v>
      </c>
      <c r="B355" s="94" t="s">
        <v>856</v>
      </c>
      <c r="C355" s="95" t="s">
        <v>49</v>
      </c>
      <c r="D355" s="96"/>
      <c r="E355" s="97"/>
      <c r="F355" s="98" t="s">
        <v>60</v>
      </c>
      <c r="G355" s="99" t="s">
        <v>53</v>
      </c>
      <c r="H355" s="93" t="s">
        <v>1674</v>
      </c>
      <c r="I355" s="95"/>
      <c r="J355" s="93" t="s">
        <v>68</v>
      </c>
      <c r="K355" s="93">
        <v>9.0</v>
      </c>
      <c r="L355" s="101"/>
      <c r="M355" s="102"/>
      <c r="N355" s="103" t="s">
        <v>43</v>
      </c>
      <c r="O355" s="102"/>
      <c r="P355" s="102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77">
        <f t="shared" si="1"/>
        <v>351</v>
      </c>
      <c r="B356" s="78" t="s">
        <v>1678</v>
      </c>
      <c r="C356" s="82" t="s">
        <v>5</v>
      </c>
      <c r="D356" s="83"/>
      <c r="E356" s="84"/>
      <c r="F356" s="114" t="s">
        <v>43</v>
      </c>
      <c r="G356" s="86" t="s">
        <v>87</v>
      </c>
      <c r="H356" s="77"/>
      <c r="I356" s="82"/>
      <c r="J356" s="87" t="s">
        <v>174</v>
      </c>
      <c r="K356" s="77"/>
      <c r="L356" s="89"/>
      <c r="M356" s="77"/>
      <c r="N356" s="77"/>
      <c r="O356" s="77"/>
      <c r="P356" s="77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102">
        <f t="shared" si="1"/>
        <v>352</v>
      </c>
      <c r="B357" s="94" t="s">
        <v>1682</v>
      </c>
      <c r="C357" s="95" t="s">
        <v>49</v>
      </c>
      <c r="D357" s="96"/>
      <c r="E357" s="97"/>
      <c r="F357" s="98" t="s">
        <v>60</v>
      </c>
      <c r="G357" s="99" t="s">
        <v>49</v>
      </c>
      <c r="H357" s="102"/>
      <c r="I357" s="95"/>
      <c r="J357" s="93" t="s">
        <v>51</v>
      </c>
      <c r="K357" s="93">
        <v>8.0</v>
      </c>
      <c r="L357" s="101"/>
      <c r="M357" s="102"/>
      <c r="N357" s="102"/>
      <c r="O357" s="102"/>
      <c r="P357" s="102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77">
        <f t="shared" si="1"/>
        <v>353</v>
      </c>
      <c r="B358" s="78" t="s">
        <v>1688</v>
      </c>
      <c r="C358" s="82" t="s">
        <v>49</v>
      </c>
      <c r="D358" s="83"/>
      <c r="E358" s="84"/>
      <c r="F358" s="85" t="s">
        <v>43</v>
      </c>
      <c r="G358" s="86" t="s">
        <v>53</v>
      </c>
      <c r="H358" s="87" t="s">
        <v>1689</v>
      </c>
      <c r="I358" s="82"/>
      <c r="J358" s="87" t="s">
        <v>99</v>
      </c>
      <c r="K358" s="87">
        <v>25.0</v>
      </c>
      <c r="L358" s="89"/>
      <c r="M358" s="77"/>
      <c r="N358" s="91" t="s">
        <v>43</v>
      </c>
      <c r="O358" s="77"/>
      <c r="P358" s="77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102">
        <f t="shared" si="1"/>
        <v>354</v>
      </c>
      <c r="B359" s="94" t="s">
        <v>1691</v>
      </c>
      <c r="C359" s="95" t="s">
        <v>49</v>
      </c>
      <c r="D359" s="96"/>
      <c r="E359" s="97"/>
      <c r="F359" s="109" t="s">
        <v>43</v>
      </c>
      <c r="G359" s="99" t="s">
        <v>53</v>
      </c>
      <c r="H359" s="102"/>
      <c r="I359" s="95"/>
      <c r="J359" s="93" t="s">
        <v>89</v>
      </c>
      <c r="K359" s="102"/>
      <c r="L359" s="101"/>
      <c r="M359" s="102"/>
      <c r="N359" s="102"/>
      <c r="O359" s="102"/>
      <c r="P359" s="102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77">
        <f t="shared" si="1"/>
        <v>355</v>
      </c>
      <c r="B360" s="78" t="s">
        <v>637</v>
      </c>
      <c r="C360" s="82" t="s">
        <v>49</v>
      </c>
      <c r="D360" s="83"/>
      <c r="E360" s="113"/>
      <c r="F360" s="85" t="s">
        <v>60</v>
      </c>
      <c r="G360" s="86" t="s">
        <v>87</v>
      </c>
      <c r="H360" s="87" t="s">
        <v>1695</v>
      </c>
      <c r="I360" s="82" t="s">
        <v>5</v>
      </c>
      <c r="J360" s="87" t="s">
        <v>174</v>
      </c>
      <c r="K360" s="87">
        <v>27.0</v>
      </c>
      <c r="L360" s="89"/>
      <c r="M360" s="77"/>
      <c r="N360" s="91" t="s">
        <v>43</v>
      </c>
      <c r="O360" s="77"/>
      <c r="P360" s="77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102">
        <f t="shared" si="1"/>
        <v>356</v>
      </c>
      <c r="B361" s="94" t="s">
        <v>1700</v>
      </c>
      <c r="C361" s="95" t="s">
        <v>49</v>
      </c>
      <c r="D361" s="96"/>
      <c r="E361" s="97"/>
      <c r="F361" s="98" t="s">
        <v>43</v>
      </c>
      <c r="G361" s="99" t="s">
        <v>53</v>
      </c>
      <c r="H361" s="93" t="s">
        <v>1701</v>
      </c>
      <c r="I361" s="95"/>
      <c r="J361" s="93" t="s">
        <v>96</v>
      </c>
      <c r="K361" s="93">
        <v>5.0</v>
      </c>
      <c r="L361" s="101"/>
      <c r="M361" s="102"/>
      <c r="N361" s="103" t="s">
        <v>43</v>
      </c>
      <c r="O361" s="102"/>
      <c r="P361" s="102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77">
        <f t="shared" si="1"/>
        <v>357</v>
      </c>
      <c r="B362" s="78" t="s">
        <v>578</v>
      </c>
      <c r="C362" s="82" t="s">
        <v>172</v>
      </c>
      <c r="D362" s="83"/>
      <c r="E362" s="113"/>
      <c r="F362" s="85" t="s">
        <v>43</v>
      </c>
      <c r="G362" s="86" t="s">
        <v>53</v>
      </c>
      <c r="H362" s="87" t="s">
        <v>1704</v>
      </c>
      <c r="I362" s="82" t="s">
        <v>88</v>
      </c>
      <c r="J362" s="87" t="s">
        <v>174</v>
      </c>
      <c r="K362" s="87">
        <v>27.0</v>
      </c>
      <c r="L362" s="89"/>
      <c r="M362" s="77"/>
      <c r="N362" s="91" t="s">
        <v>43</v>
      </c>
      <c r="O362" s="77"/>
      <c r="P362" s="77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102">
        <f t="shared" si="1"/>
        <v>358</v>
      </c>
      <c r="B363" s="94" t="s">
        <v>1708</v>
      </c>
      <c r="C363" s="95" t="s">
        <v>49</v>
      </c>
      <c r="D363" s="96"/>
      <c r="E363" s="97"/>
      <c r="F363" s="98" t="s">
        <v>43</v>
      </c>
      <c r="G363" s="99" t="s">
        <v>53</v>
      </c>
      <c r="H363" s="93" t="s">
        <v>1710</v>
      </c>
      <c r="I363" s="95"/>
      <c r="J363" s="93" t="s">
        <v>51</v>
      </c>
      <c r="K363" s="93">
        <v>6.0</v>
      </c>
      <c r="L363" s="101"/>
      <c r="M363" s="102"/>
      <c r="N363" s="103" t="s">
        <v>60</v>
      </c>
      <c r="O363" s="102"/>
      <c r="P363" s="102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77">
        <f t="shared" si="1"/>
        <v>359</v>
      </c>
      <c r="B364" s="78" t="s">
        <v>1714</v>
      </c>
      <c r="C364" s="82" t="s">
        <v>49</v>
      </c>
      <c r="D364" s="83"/>
      <c r="E364" s="84"/>
      <c r="F364" s="85" t="s">
        <v>60</v>
      </c>
      <c r="G364" s="86" t="s">
        <v>49</v>
      </c>
      <c r="H364" s="87" t="s">
        <v>1715</v>
      </c>
      <c r="I364" s="82"/>
      <c r="J364" s="87" t="s">
        <v>51</v>
      </c>
      <c r="K364" s="87">
        <v>13.0</v>
      </c>
      <c r="L364" s="89"/>
      <c r="M364" s="77"/>
      <c r="N364" s="91" t="s">
        <v>43</v>
      </c>
      <c r="O364" s="77"/>
      <c r="P364" s="77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102">
        <f t="shared" si="1"/>
        <v>360</v>
      </c>
      <c r="B365" s="94" t="s">
        <v>1718</v>
      </c>
      <c r="C365" s="95" t="s">
        <v>49</v>
      </c>
      <c r="D365" s="96"/>
      <c r="E365" s="97"/>
      <c r="F365" s="98" t="s">
        <v>60</v>
      </c>
      <c r="G365" s="99" t="s">
        <v>49</v>
      </c>
      <c r="H365" s="93" t="s">
        <v>1719</v>
      </c>
      <c r="I365" s="95"/>
      <c r="J365" s="93" t="s">
        <v>96</v>
      </c>
      <c r="K365" s="93">
        <v>20.0</v>
      </c>
      <c r="L365" s="101"/>
      <c r="M365" s="102"/>
      <c r="N365" s="103" t="s">
        <v>60</v>
      </c>
      <c r="O365" s="102"/>
      <c r="P365" s="102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77">
        <f t="shared" si="1"/>
        <v>361</v>
      </c>
      <c r="B366" s="78" t="s">
        <v>1722</v>
      </c>
      <c r="C366" s="82" t="s">
        <v>9</v>
      </c>
      <c r="D366" s="83"/>
      <c r="E366" s="84"/>
      <c r="F366" s="114" t="s">
        <v>43</v>
      </c>
      <c r="G366" s="86" t="s">
        <v>87</v>
      </c>
      <c r="H366" s="77"/>
      <c r="I366" s="82"/>
      <c r="J366" s="87" t="s">
        <v>55</v>
      </c>
      <c r="K366" s="77"/>
      <c r="L366" s="89"/>
      <c r="M366" s="77"/>
      <c r="N366" s="77"/>
      <c r="O366" s="77"/>
      <c r="P366" s="77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102">
        <f t="shared" si="1"/>
        <v>362</v>
      </c>
      <c r="B367" s="94" t="s">
        <v>1725</v>
      </c>
      <c r="C367" s="95" t="s">
        <v>49</v>
      </c>
      <c r="D367" s="96"/>
      <c r="E367" s="97"/>
      <c r="F367" s="98" t="s">
        <v>203</v>
      </c>
      <c r="G367" s="99" t="s">
        <v>49</v>
      </c>
      <c r="H367" s="93" t="s">
        <v>1729</v>
      </c>
      <c r="I367" s="95"/>
      <c r="J367" s="93" t="s">
        <v>47</v>
      </c>
      <c r="K367" s="102"/>
      <c r="L367" s="101"/>
      <c r="M367" s="102"/>
      <c r="N367" s="103" t="s">
        <v>43</v>
      </c>
      <c r="O367" s="93"/>
      <c r="P367" s="102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77">
        <f t="shared" si="1"/>
        <v>363</v>
      </c>
      <c r="B368" s="78" t="s">
        <v>1677</v>
      </c>
      <c r="C368" s="82" t="s">
        <v>49</v>
      </c>
      <c r="D368" s="83"/>
      <c r="E368" s="84"/>
      <c r="F368" s="85" t="s">
        <v>43</v>
      </c>
      <c r="G368" s="86" t="s">
        <v>87</v>
      </c>
      <c r="H368" s="87" t="s">
        <v>1733</v>
      </c>
      <c r="I368" s="82"/>
      <c r="J368" s="87" t="s">
        <v>51</v>
      </c>
      <c r="K368" s="87">
        <v>34.0</v>
      </c>
      <c r="L368" s="89"/>
      <c r="M368" s="77"/>
      <c r="N368" s="91" t="s">
        <v>43</v>
      </c>
      <c r="O368" s="77"/>
      <c r="P368" s="77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102">
        <f t="shared" si="1"/>
        <v>364</v>
      </c>
      <c r="B369" s="117" t="s">
        <v>1735</v>
      </c>
      <c r="C369" s="95" t="s">
        <v>49</v>
      </c>
      <c r="D369" s="96"/>
      <c r="E369" s="97"/>
      <c r="F369" s="98" t="s">
        <v>43</v>
      </c>
      <c r="G369" s="99" t="s">
        <v>53</v>
      </c>
      <c r="H369" s="93" t="s">
        <v>1737</v>
      </c>
      <c r="I369" s="95"/>
      <c r="J369" s="93" t="s">
        <v>96</v>
      </c>
      <c r="K369" s="93">
        <v>18.0</v>
      </c>
      <c r="L369" s="101"/>
      <c r="M369" s="102"/>
      <c r="N369" s="102"/>
      <c r="O369" s="102"/>
      <c r="P369" s="102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77">
        <f t="shared" si="1"/>
        <v>365</v>
      </c>
      <c r="B370" s="78" t="s">
        <v>1740</v>
      </c>
      <c r="C370" s="82" t="s">
        <v>5</v>
      </c>
      <c r="D370" s="83"/>
      <c r="E370" s="84"/>
      <c r="F370" s="85" t="s">
        <v>43</v>
      </c>
      <c r="G370" s="86" t="s">
        <v>87</v>
      </c>
      <c r="H370" s="77"/>
      <c r="I370" s="82"/>
      <c r="J370" s="87" t="s">
        <v>96</v>
      </c>
      <c r="K370" s="87">
        <v>23.0</v>
      </c>
      <c r="L370" s="89"/>
      <c r="M370" s="77"/>
      <c r="N370" s="77"/>
      <c r="O370" s="77"/>
      <c r="P370" s="77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102">
        <f t="shared" si="1"/>
        <v>366</v>
      </c>
      <c r="B371" s="94" t="s">
        <v>1742</v>
      </c>
      <c r="C371" s="95" t="s">
        <v>49</v>
      </c>
      <c r="D371" s="96"/>
      <c r="E371" s="97"/>
      <c r="F371" s="109" t="s">
        <v>43</v>
      </c>
      <c r="G371" s="99" t="s">
        <v>53</v>
      </c>
      <c r="H371" s="102"/>
      <c r="I371" s="95"/>
      <c r="J371" s="93" t="s">
        <v>89</v>
      </c>
      <c r="K371" s="102"/>
      <c r="L371" s="101"/>
      <c r="M371" s="102"/>
      <c r="N371" s="102"/>
      <c r="O371" s="102"/>
      <c r="P371" s="102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77">
        <f t="shared" si="1"/>
        <v>367</v>
      </c>
      <c r="B372" s="78" t="s">
        <v>1746</v>
      </c>
      <c r="C372" s="82" t="s">
        <v>49</v>
      </c>
      <c r="D372" s="83"/>
      <c r="E372" s="84"/>
      <c r="F372" s="85" t="s">
        <v>43</v>
      </c>
      <c r="G372" s="86" t="s">
        <v>53</v>
      </c>
      <c r="H372" s="87" t="s">
        <v>1748</v>
      </c>
      <c r="I372" s="82"/>
      <c r="J372" s="87" t="s">
        <v>96</v>
      </c>
      <c r="K372" s="87">
        <v>8.0</v>
      </c>
      <c r="L372" s="89"/>
      <c r="M372" s="77"/>
      <c r="N372" s="91" t="s">
        <v>60</v>
      </c>
      <c r="O372" s="77"/>
      <c r="P372" s="77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102">
        <f t="shared" si="1"/>
        <v>368</v>
      </c>
      <c r="B373" s="94" t="s">
        <v>1751</v>
      </c>
      <c r="C373" s="95" t="s">
        <v>49</v>
      </c>
      <c r="D373" s="96"/>
      <c r="E373" s="97"/>
      <c r="F373" s="98" t="s">
        <v>43</v>
      </c>
      <c r="G373" s="99" t="s">
        <v>53</v>
      </c>
      <c r="H373" s="93" t="s">
        <v>1753</v>
      </c>
      <c r="I373" s="95"/>
      <c r="J373" s="93" t="s">
        <v>51</v>
      </c>
      <c r="K373" s="93">
        <v>1.0</v>
      </c>
      <c r="L373" s="101"/>
      <c r="M373" s="102"/>
      <c r="N373" s="103" t="s">
        <v>43</v>
      </c>
      <c r="O373" s="102"/>
      <c r="P373" s="102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77">
        <f t="shared" si="1"/>
        <v>369</v>
      </c>
      <c r="B374" s="78" t="s">
        <v>1321</v>
      </c>
      <c r="C374" s="82" t="s">
        <v>49</v>
      </c>
      <c r="D374" s="83"/>
      <c r="E374" s="84"/>
      <c r="F374" s="85" t="s">
        <v>43</v>
      </c>
      <c r="G374" s="86" t="s">
        <v>53</v>
      </c>
      <c r="H374" s="87" t="s">
        <v>1756</v>
      </c>
      <c r="I374" s="82"/>
      <c r="J374" s="87" t="s">
        <v>68</v>
      </c>
      <c r="K374" s="87">
        <v>40.0</v>
      </c>
      <c r="L374" s="89"/>
      <c r="M374" s="77"/>
      <c r="N374" s="91" t="s">
        <v>43</v>
      </c>
      <c r="O374" s="77"/>
      <c r="P374" s="77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102">
        <f t="shared" si="1"/>
        <v>370</v>
      </c>
      <c r="B375" s="94" t="s">
        <v>1071</v>
      </c>
      <c r="C375" s="95" t="s">
        <v>49</v>
      </c>
      <c r="D375" s="96"/>
      <c r="E375" s="97"/>
      <c r="F375" s="98" t="s">
        <v>43</v>
      </c>
      <c r="G375" s="99" t="s">
        <v>53</v>
      </c>
      <c r="H375" s="102"/>
      <c r="I375" s="95"/>
      <c r="J375" s="93" t="s">
        <v>55</v>
      </c>
      <c r="K375" s="93">
        <v>4.0</v>
      </c>
      <c r="L375" s="101"/>
      <c r="M375" s="102"/>
      <c r="N375" s="102"/>
      <c r="O375" s="102"/>
      <c r="P375" s="102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77">
        <f t="shared" si="1"/>
        <v>371</v>
      </c>
      <c r="B376" s="78" t="s">
        <v>1762</v>
      </c>
      <c r="C376" s="82" t="s">
        <v>49</v>
      </c>
      <c r="D376" s="83"/>
      <c r="E376" s="84"/>
      <c r="F376" s="85" t="s">
        <v>43</v>
      </c>
      <c r="G376" s="86" t="s">
        <v>53</v>
      </c>
      <c r="H376" s="77"/>
      <c r="I376" s="82"/>
      <c r="J376" s="87" t="s">
        <v>47</v>
      </c>
      <c r="K376" s="87"/>
      <c r="L376" s="89"/>
      <c r="M376" s="77"/>
      <c r="N376" s="77"/>
      <c r="O376" s="77"/>
      <c r="P376" s="77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102">
        <f t="shared" si="1"/>
        <v>372</v>
      </c>
      <c r="B377" s="94" t="s">
        <v>1764</v>
      </c>
      <c r="C377" s="95" t="s">
        <v>49</v>
      </c>
      <c r="D377" s="96"/>
      <c r="E377" s="97"/>
      <c r="F377" s="109" t="s">
        <v>60</v>
      </c>
      <c r="G377" s="99" t="s">
        <v>49</v>
      </c>
      <c r="H377" s="93" t="s">
        <v>1765</v>
      </c>
      <c r="I377" s="95"/>
      <c r="J377" s="93" t="s">
        <v>99</v>
      </c>
      <c r="K377" s="93">
        <v>16.0</v>
      </c>
      <c r="L377" s="101"/>
      <c r="M377" s="102"/>
      <c r="N377" s="93" t="s">
        <v>60</v>
      </c>
      <c r="O377" s="102"/>
      <c r="P377" s="102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77">
        <f t="shared" si="1"/>
        <v>373</v>
      </c>
      <c r="B378" s="78" t="s">
        <v>1769</v>
      </c>
      <c r="C378" s="82" t="s">
        <v>49</v>
      </c>
      <c r="D378" s="83"/>
      <c r="E378" s="84"/>
      <c r="F378" s="85" t="s">
        <v>43</v>
      </c>
      <c r="G378" s="86" t="s">
        <v>53</v>
      </c>
      <c r="H378" s="87" t="s">
        <v>1770</v>
      </c>
      <c r="I378" s="82"/>
      <c r="J378" s="87" t="s">
        <v>89</v>
      </c>
      <c r="K378" s="87">
        <v>3.0</v>
      </c>
      <c r="L378" s="89"/>
      <c r="M378" s="77"/>
      <c r="N378" s="91" t="s">
        <v>43</v>
      </c>
      <c r="O378" s="77"/>
      <c r="P378" s="77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102">
        <f t="shared" si="1"/>
        <v>374</v>
      </c>
      <c r="B379" s="94" t="s">
        <v>1773</v>
      </c>
      <c r="C379" s="95" t="s">
        <v>9</v>
      </c>
      <c r="D379" s="96"/>
      <c r="E379" s="97"/>
      <c r="F379" s="98" t="s">
        <v>43</v>
      </c>
      <c r="G379" s="99" t="s">
        <v>87</v>
      </c>
      <c r="H379" s="93" t="s">
        <v>1775</v>
      </c>
      <c r="I379" s="95"/>
      <c r="J379" s="93" t="s">
        <v>96</v>
      </c>
      <c r="K379" s="93">
        <v>23.0</v>
      </c>
      <c r="L379" s="101"/>
      <c r="M379" s="102"/>
      <c r="N379" s="103" t="s">
        <v>43</v>
      </c>
      <c r="O379" s="102"/>
      <c r="P379" s="102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77">
        <f t="shared" si="1"/>
        <v>375</v>
      </c>
      <c r="B380" s="78" t="s">
        <v>1777</v>
      </c>
      <c r="C380" s="82" t="s">
        <v>49</v>
      </c>
      <c r="D380" s="83"/>
      <c r="E380" s="84"/>
      <c r="F380" s="85" t="s">
        <v>43</v>
      </c>
      <c r="G380" s="86" t="s">
        <v>53</v>
      </c>
      <c r="H380" s="87" t="s">
        <v>1779</v>
      </c>
      <c r="I380" s="82"/>
      <c r="J380" s="87" t="s">
        <v>99</v>
      </c>
      <c r="K380" s="87">
        <v>11.0</v>
      </c>
      <c r="L380" s="89"/>
      <c r="M380" s="77"/>
      <c r="N380" s="91" t="s">
        <v>43</v>
      </c>
      <c r="O380" s="77"/>
      <c r="P380" s="77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102">
        <f t="shared" si="1"/>
        <v>376</v>
      </c>
      <c r="B381" s="94" t="s">
        <v>1781</v>
      </c>
      <c r="C381" s="95" t="s">
        <v>49</v>
      </c>
      <c r="D381" s="96"/>
      <c r="E381" s="97"/>
      <c r="F381" s="98" t="s">
        <v>60</v>
      </c>
      <c r="G381" s="99" t="s">
        <v>49</v>
      </c>
      <c r="H381" s="103" t="s">
        <v>1782</v>
      </c>
      <c r="I381" s="95"/>
      <c r="J381" s="93" t="s">
        <v>96</v>
      </c>
      <c r="K381" s="93">
        <v>20.0</v>
      </c>
      <c r="L381" s="101"/>
      <c r="M381" s="102"/>
      <c r="N381" s="103" t="s">
        <v>43</v>
      </c>
      <c r="O381" s="102"/>
      <c r="P381" s="102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77">
        <f t="shared" si="1"/>
        <v>377</v>
      </c>
      <c r="B382" s="78" t="s">
        <v>788</v>
      </c>
      <c r="C382" s="82" t="s">
        <v>49</v>
      </c>
      <c r="D382" s="83"/>
      <c r="E382" s="84"/>
      <c r="F382" s="85" t="s">
        <v>60</v>
      </c>
      <c r="G382" s="86" t="s">
        <v>53</v>
      </c>
      <c r="H382" s="87" t="s">
        <v>1785</v>
      </c>
      <c r="I382" s="82"/>
      <c r="J382" s="87" t="s">
        <v>68</v>
      </c>
      <c r="K382" s="87">
        <v>4.0</v>
      </c>
      <c r="L382" s="89"/>
      <c r="M382" s="77"/>
      <c r="N382" s="91" t="s">
        <v>43</v>
      </c>
      <c r="O382" s="77"/>
      <c r="P382" s="77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102">
        <f t="shared" si="1"/>
        <v>378</v>
      </c>
      <c r="B383" s="94" t="s">
        <v>1530</v>
      </c>
      <c r="C383" s="95" t="s">
        <v>49</v>
      </c>
      <c r="D383" s="96"/>
      <c r="E383" s="97"/>
      <c r="F383" s="98" t="s">
        <v>43</v>
      </c>
      <c r="G383" s="99" t="s">
        <v>53</v>
      </c>
      <c r="H383" s="93" t="s">
        <v>1791</v>
      </c>
      <c r="I383" s="95"/>
      <c r="J383" s="93" t="s">
        <v>89</v>
      </c>
      <c r="K383" s="93">
        <v>13.0</v>
      </c>
      <c r="L383" s="101"/>
      <c r="M383" s="102"/>
      <c r="N383" s="103" t="s">
        <v>43</v>
      </c>
      <c r="O383" s="102"/>
      <c r="P383" s="102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77">
        <f t="shared" si="1"/>
        <v>379</v>
      </c>
      <c r="B384" s="78" t="s">
        <v>1530</v>
      </c>
      <c r="C384" s="82" t="s">
        <v>49</v>
      </c>
      <c r="D384" s="83"/>
      <c r="E384" s="84"/>
      <c r="F384" s="114" t="s">
        <v>43</v>
      </c>
      <c r="G384" s="86" t="s">
        <v>53</v>
      </c>
      <c r="H384" s="77"/>
      <c r="I384" s="82"/>
      <c r="J384" s="87" t="s">
        <v>89</v>
      </c>
      <c r="K384" s="77"/>
      <c r="L384" s="89"/>
      <c r="M384" s="77"/>
      <c r="N384" s="77"/>
      <c r="O384" s="77"/>
      <c r="P384" s="77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102">
        <f t="shared" si="1"/>
        <v>380</v>
      </c>
      <c r="B385" s="94" t="s">
        <v>1147</v>
      </c>
      <c r="C385" s="95" t="s">
        <v>49</v>
      </c>
      <c r="D385" s="96"/>
      <c r="E385" s="97"/>
      <c r="F385" s="98" t="s">
        <v>43</v>
      </c>
      <c r="G385" s="99" t="s">
        <v>53</v>
      </c>
      <c r="H385" s="93" t="s">
        <v>1794</v>
      </c>
      <c r="I385" s="95"/>
      <c r="J385" s="93" t="s">
        <v>68</v>
      </c>
      <c r="K385" s="93">
        <v>27.0</v>
      </c>
      <c r="L385" s="101"/>
      <c r="M385" s="102"/>
      <c r="N385" s="103" t="s">
        <v>43</v>
      </c>
      <c r="O385" s="102"/>
      <c r="P385" s="102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77">
        <f t="shared" si="1"/>
        <v>381</v>
      </c>
      <c r="B386" s="78" t="s">
        <v>1796</v>
      </c>
      <c r="C386" s="82" t="s">
        <v>49</v>
      </c>
      <c r="D386" s="83"/>
      <c r="E386" s="84"/>
      <c r="F386" s="85" t="s">
        <v>43</v>
      </c>
      <c r="G386" s="86" t="s">
        <v>53</v>
      </c>
      <c r="H386" s="87" t="s">
        <v>1799</v>
      </c>
      <c r="I386" s="82" t="s">
        <v>88</v>
      </c>
      <c r="J386" s="87" t="s">
        <v>89</v>
      </c>
      <c r="K386" s="87">
        <v>3.0</v>
      </c>
      <c r="L386" s="89"/>
      <c r="M386" s="77"/>
      <c r="N386" s="91" t="s">
        <v>43</v>
      </c>
      <c r="O386" s="77"/>
      <c r="P386" s="87" t="s">
        <v>1800</v>
      </c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102">
        <f t="shared" si="1"/>
        <v>382</v>
      </c>
      <c r="B387" s="94" t="s">
        <v>833</v>
      </c>
      <c r="C387" s="95" t="s">
        <v>49</v>
      </c>
      <c r="D387" s="96"/>
      <c r="E387" s="97"/>
      <c r="F387" s="98" t="s">
        <v>43</v>
      </c>
      <c r="G387" s="99" t="s">
        <v>53</v>
      </c>
      <c r="H387" s="93" t="s">
        <v>1802</v>
      </c>
      <c r="I387" s="95"/>
      <c r="J387" s="93" t="s">
        <v>68</v>
      </c>
      <c r="K387" s="93">
        <v>6.0</v>
      </c>
      <c r="L387" s="101"/>
      <c r="M387" s="102"/>
      <c r="N387" s="103" t="s">
        <v>43</v>
      </c>
      <c r="O387" s="102"/>
      <c r="P387" s="102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77">
        <f t="shared" si="1"/>
        <v>383</v>
      </c>
      <c r="B388" s="78" t="s">
        <v>1805</v>
      </c>
      <c r="C388" s="82" t="s">
        <v>49</v>
      </c>
      <c r="D388" s="83"/>
      <c r="E388" s="84"/>
      <c r="F388" s="85" t="s">
        <v>43</v>
      </c>
      <c r="G388" s="86" t="s">
        <v>53</v>
      </c>
      <c r="H388" s="87" t="s">
        <v>1806</v>
      </c>
      <c r="I388" s="82"/>
      <c r="J388" s="87" t="s">
        <v>89</v>
      </c>
      <c r="K388" s="87">
        <v>8.0</v>
      </c>
      <c r="L388" s="89"/>
      <c r="M388" s="77"/>
      <c r="N388" s="91" t="s">
        <v>43</v>
      </c>
      <c r="O388" s="77"/>
      <c r="P388" s="77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102">
        <f t="shared" si="1"/>
        <v>384</v>
      </c>
      <c r="B389" s="94" t="s">
        <v>1808</v>
      </c>
      <c r="C389" s="95" t="s">
        <v>49</v>
      </c>
      <c r="D389" s="96"/>
      <c r="E389" s="97"/>
      <c r="F389" s="109" t="s">
        <v>43</v>
      </c>
      <c r="G389" s="99" t="s">
        <v>53</v>
      </c>
      <c r="H389" s="93" t="s">
        <v>1809</v>
      </c>
      <c r="I389" s="95"/>
      <c r="J389" s="102"/>
      <c r="K389" s="102"/>
      <c r="L389" s="101"/>
      <c r="M389" s="102"/>
      <c r="N389" s="102"/>
      <c r="O389" s="102"/>
      <c r="P389" s="102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77">
        <f t="shared" si="1"/>
        <v>385</v>
      </c>
      <c r="B390" s="78" t="s">
        <v>1448</v>
      </c>
      <c r="C390" s="82" t="s">
        <v>49</v>
      </c>
      <c r="D390" s="83"/>
      <c r="E390" s="84"/>
      <c r="F390" s="85" t="s">
        <v>43</v>
      </c>
      <c r="G390" s="86" t="s">
        <v>53</v>
      </c>
      <c r="H390" s="87" t="s">
        <v>1813</v>
      </c>
      <c r="I390" s="82"/>
      <c r="J390" s="87" t="s">
        <v>55</v>
      </c>
      <c r="K390" s="87">
        <v>10.0</v>
      </c>
      <c r="L390" s="89"/>
      <c r="M390" s="77"/>
      <c r="N390" s="91" t="s">
        <v>43</v>
      </c>
      <c r="O390" s="77"/>
      <c r="P390" s="77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102">
        <f t="shared" si="1"/>
        <v>386</v>
      </c>
      <c r="B391" s="94" t="s">
        <v>1818</v>
      </c>
      <c r="C391" s="95" t="s">
        <v>49</v>
      </c>
      <c r="D391" s="96"/>
      <c r="E391" s="97"/>
      <c r="F391" s="98" t="s">
        <v>43</v>
      </c>
      <c r="G391" s="99" t="s">
        <v>53</v>
      </c>
      <c r="H391" s="93" t="s">
        <v>1820</v>
      </c>
      <c r="I391" s="95"/>
      <c r="J391" s="93" t="s">
        <v>96</v>
      </c>
      <c r="K391" s="93">
        <v>6.0</v>
      </c>
      <c r="L391" s="101"/>
      <c r="M391" s="102"/>
      <c r="N391" s="103" t="s">
        <v>60</v>
      </c>
      <c r="O391" s="102"/>
      <c r="P391" s="102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77">
        <f t="shared" si="1"/>
        <v>387</v>
      </c>
      <c r="B392" s="78" t="s">
        <v>1823</v>
      </c>
      <c r="C392" s="82" t="s">
        <v>49</v>
      </c>
      <c r="D392" s="83"/>
      <c r="E392" s="84"/>
      <c r="F392" s="114" t="s">
        <v>43</v>
      </c>
      <c r="G392" s="86" t="s">
        <v>53</v>
      </c>
      <c r="H392" s="87" t="s">
        <v>1824</v>
      </c>
      <c r="I392" s="82"/>
      <c r="J392" s="87" t="s">
        <v>68</v>
      </c>
      <c r="K392" s="77"/>
      <c r="L392" s="89"/>
      <c r="M392" s="77"/>
      <c r="N392" s="77"/>
      <c r="O392" s="77"/>
      <c r="P392" s="77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102">
        <f t="shared" si="1"/>
        <v>388</v>
      </c>
      <c r="B393" s="94" t="s">
        <v>1826</v>
      </c>
      <c r="C393" s="95" t="s">
        <v>49</v>
      </c>
      <c r="D393" s="96"/>
      <c r="E393" s="97"/>
      <c r="F393" s="98" t="s">
        <v>43</v>
      </c>
      <c r="G393" s="99" t="s">
        <v>53</v>
      </c>
      <c r="H393" s="93" t="s">
        <v>1827</v>
      </c>
      <c r="I393" s="95"/>
      <c r="J393" s="93" t="s">
        <v>89</v>
      </c>
      <c r="K393" s="93">
        <v>35.0</v>
      </c>
      <c r="L393" s="101"/>
      <c r="M393" s="102"/>
      <c r="N393" s="103" t="s">
        <v>60</v>
      </c>
      <c r="O393" s="102"/>
      <c r="P393" s="102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77">
        <f t="shared" si="1"/>
        <v>389</v>
      </c>
      <c r="B394" s="78" t="s">
        <v>1828</v>
      </c>
      <c r="C394" s="82" t="s">
        <v>49</v>
      </c>
      <c r="D394" s="83"/>
      <c r="E394" s="84"/>
      <c r="F394" s="85" t="s">
        <v>60</v>
      </c>
      <c r="G394" s="86" t="s">
        <v>49</v>
      </c>
      <c r="H394" s="87" t="s">
        <v>1830</v>
      </c>
      <c r="I394" s="82"/>
      <c r="J394" s="87" t="s">
        <v>96</v>
      </c>
      <c r="K394" s="87">
        <v>22.0</v>
      </c>
      <c r="L394" s="89"/>
      <c r="M394" s="77"/>
      <c r="N394" s="91" t="s">
        <v>60</v>
      </c>
      <c r="O394" s="77"/>
      <c r="P394" s="77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102">
        <f t="shared" si="1"/>
        <v>390</v>
      </c>
      <c r="B395" s="94" t="s">
        <v>1202</v>
      </c>
      <c r="C395" s="95" t="s">
        <v>49</v>
      </c>
      <c r="D395" s="96"/>
      <c r="E395" s="97"/>
      <c r="F395" s="98" t="s">
        <v>43</v>
      </c>
      <c r="G395" s="99" t="s">
        <v>53</v>
      </c>
      <c r="H395" s="93" t="s">
        <v>1832</v>
      </c>
      <c r="I395" s="95"/>
      <c r="J395" s="93" t="s">
        <v>68</v>
      </c>
      <c r="K395" s="93">
        <v>30.0</v>
      </c>
      <c r="L395" s="101"/>
      <c r="M395" s="102"/>
      <c r="N395" s="103" t="s">
        <v>43</v>
      </c>
      <c r="O395" s="102"/>
      <c r="P395" s="102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77">
        <f t="shared" si="1"/>
        <v>391</v>
      </c>
      <c r="B396" s="78" t="s">
        <v>1788</v>
      </c>
      <c r="C396" s="82" t="s">
        <v>49</v>
      </c>
      <c r="D396" s="83"/>
      <c r="E396" s="84"/>
      <c r="F396" s="85" t="s">
        <v>43</v>
      </c>
      <c r="G396" s="86" t="s">
        <v>53</v>
      </c>
      <c r="H396" s="87" t="s">
        <v>1834</v>
      </c>
      <c r="I396" s="82"/>
      <c r="J396" s="87" t="s">
        <v>51</v>
      </c>
      <c r="K396" s="87">
        <v>23.0</v>
      </c>
      <c r="L396" s="89"/>
      <c r="M396" s="77"/>
      <c r="N396" s="91" t="s">
        <v>43</v>
      </c>
      <c r="O396" s="77"/>
      <c r="P396" s="77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102">
        <f t="shared" si="1"/>
        <v>392</v>
      </c>
      <c r="B397" s="94" t="s">
        <v>1836</v>
      </c>
      <c r="C397" s="95" t="s">
        <v>49</v>
      </c>
      <c r="D397" s="96"/>
      <c r="E397" s="97"/>
      <c r="F397" s="98" t="s">
        <v>203</v>
      </c>
      <c r="G397" s="99" t="s">
        <v>53</v>
      </c>
      <c r="H397" s="93" t="s">
        <v>1837</v>
      </c>
      <c r="I397" s="95"/>
      <c r="J397" s="93" t="s">
        <v>96</v>
      </c>
      <c r="K397" s="93">
        <v>31.0</v>
      </c>
      <c r="L397" s="101"/>
      <c r="M397" s="102"/>
      <c r="N397" s="103" t="s">
        <v>60</v>
      </c>
      <c r="O397" s="102"/>
      <c r="P397" s="102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77">
        <f t="shared" si="1"/>
        <v>393</v>
      </c>
      <c r="B398" s="78" t="s">
        <v>1839</v>
      </c>
      <c r="C398" s="82" t="s">
        <v>49</v>
      </c>
      <c r="D398" s="83"/>
      <c r="E398" s="84"/>
      <c r="F398" s="85" t="s">
        <v>43</v>
      </c>
      <c r="G398" s="86" t="s">
        <v>53</v>
      </c>
      <c r="H398" s="77"/>
      <c r="I398" s="82"/>
      <c r="J398" s="87" t="s">
        <v>99</v>
      </c>
      <c r="K398" s="87">
        <v>11.0</v>
      </c>
      <c r="L398" s="89"/>
      <c r="M398" s="77"/>
      <c r="N398" s="77"/>
      <c r="O398" s="77"/>
      <c r="P398" s="77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102">
        <f t="shared" si="1"/>
        <v>394</v>
      </c>
      <c r="B399" s="94" t="s">
        <v>1841</v>
      </c>
      <c r="C399" s="95" t="s">
        <v>49</v>
      </c>
      <c r="D399" s="96"/>
      <c r="E399" s="97"/>
      <c r="F399" s="98" t="s">
        <v>43</v>
      </c>
      <c r="G399" s="99" t="s">
        <v>53</v>
      </c>
      <c r="H399" s="102"/>
      <c r="I399" s="95"/>
      <c r="J399" s="93" t="s">
        <v>96</v>
      </c>
      <c r="K399" s="93">
        <v>30.0</v>
      </c>
      <c r="L399" s="101"/>
      <c r="M399" s="102"/>
      <c r="N399" s="102"/>
      <c r="O399" s="102"/>
      <c r="P399" s="102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77">
        <f t="shared" si="1"/>
        <v>395</v>
      </c>
      <c r="B400" s="78" t="s">
        <v>1732</v>
      </c>
      <c r="C400" s="82" t="s">
        <v>49</v>
      </c>
      <c r="D400" s="83"/>
      <c r="E400" s="84"/>
      <c r="F400" s="85" t="s">
        <v>43</v>
      </c>
      <c r="G400" s="86" t="s">
        <v>53</v>
      </c>
      <c r="H400" s="87" t="s">
        <v>1844</v>
      </c>
      <c r="I400" s="82"/>
      <c r="J400" s="87" t="s">
        <v>51</v>
      </c>
      <c r="K400" s="87">
        <v>29.0</v>
      </c>
      <c r="L400" s="89"/>
      <c r="M400" s="77"/>
      <c r="N400" s="91" t="s">
        <v>43</v>
      </c>
      <c r="O400" s="77"/>
      <c r="P400" s="77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102">
        <f t="shared" si="1"/>
        <v>396</v>
      </c>
      <c r="B401" s="94" t="s">
        <v>1846</v>
      </c>
      <c r="C401" s="95" t="s">
        <v>49</v>
      </c>
      <c r="D401" s="96"/>
      <c r="E401" s="97"/>
      <c r="F401" s="98" t="s">
        <v>43</v>
      </c>
      <c r="G401" s="99" t="s">
        <v>53</v>
      </c>
      <c r="H401" s="93" t="s">
        <v>1847</v>
      </c>
      <c r="I401" s="95"/>
      <c r="J401" s="93" t="s">
        <v>96</v>
      </c>
      <c r="K401" s="93">
        <v>30.0</v>
      </c>
      <c r="L401" s="101"/>
      <c r="M401" s="102"/>
      <c r="N401" s="102"/>
      <c r="O401" s="102"/>
      <c r="P401" s="102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77">
        <f t="shared" si="1"/>
        <v>397</v>
      </c>
      <c r="B402" s="78" t="s">
        <v>490</v>
      </c>
      <c r="C402" s="82" t="s">
        <v>49</v>
      </c>
      <c r="D402" s="83"/>
      <c r="E402" s="113"/>
      <c r="F402" s="85" t="s">
        <v>43</v>
      </c>
      <c r="G402" s="86" t="s">
        <v>53</v>
      </c>
      <c r="H402" s="87" t="s">
        <v>1849</v>
      </c>
      <c r="I402" s="82"/>
      <c r="J402" s="87" t="s">
        <v>174</v>
      </c>
      <c r="K402" s="87">
        <v>3.0</v>
      </c>
      <c r="L402" s="89"/>
      <c r="M402" s="77"/>
      <c r="N402" s="91" t="s">
        <v>43</v>
      </c>
      <c r="O402" s="77"/>
      <c r="P402" s="77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102">
        <f t="shared" si="1"/>
        <v>398</v>
      </c>
      <c r="B403" s="94" t="s">
        <v>1430</v>
      </c>
      <c r="C403" s="95" t="s">
        <v>49</v>
      </c>
      <c r="D403" s="96"/>
      <c r="E403" s="97"/>
      <c r="F403" s="98" t="s">
        <v>60</v>
      </c>
      <c r="G403" s="99" t="s">
        <v>49</v>
      </c>
      <c r="H403" s="93" t="s">
        <v>1852</v>
      </c>
      <c r="I403" s="95"/>
      <c r="J403" s="93" t="s">
        <v>55</v>
      </c>
      <c r="K403" s="93">
        <v>7.0</v>
      </c>
      <c r="L403" s="101"/>
      <c r="M403" s="102"/>
      <c r="N403" s="103" t="s">
        <v>43</v>
      </c>
      <c r="O403" s="102"/>
      <c r="P403" s="102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77">
        <f t="shared" si="1"/>
        <v>399</v>
      </c>
      <c r="B404" s="78" t="s">
        <v>1855</v>
      </c>
      <c r="C404" s="82" t="s">
        <v>49</v>
      </c>
      <c r="D404" s="83"/>
      <c r="E404" s="84"/>
      <c r="F404" s="85" t="s">
        <v>60</v>
      </c>
      <c r="G404" s="86" t="s">
        <v>49</v>
      </c>
      <c r="H404" s="77"/>
      <c r="I404" s="82"/>
      <c r="J404" s="87" t="s">
        <v>96</v>
      </c>
      <c r="K404" s="87">
        <v>34.0</v>
      </c>
      <c r="L404" s="89"/>
      <c r="M404" s="77"/>
      <c r="N404" s="77"/>
      <c r="O404" s="77"/>
      <c r="P404" s="77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102">
        <f t="shared" si="1"/>
        <v>400</v>
      </c>
      <c r="B405" s="94" t="s">
        <v>1858</v>
      </c>
      <c r="C405" s="95" t="s">
        <v>49</v>
      </c>
      <c r="D405" s="96"/>
      <c r="E405" s="97"/>
      <c r="F405" s="98" t="s">
        <v>43</v>
      </c>
      <c r="G405" s="99" t="s">
        <v>53</v>
      </c>
      <c r="H405" s="93" t="s">
        <v>1859</v>
      </c>
      <c r="I405" s="95"/>
      <c r="J405" s="93" t="s">
        <v>96</v>
      </c>
      <c r="K405" s="93">
        <v>17.0</v>
      </c>
      <c r="L405" s="101"/>
      <c r="M405" s="102"/>
      <c r="N405" s="102"/>
      <c r="O405" s="102"/>
      <c r="P405" s="102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77">
        <f t="shared" si="1"/>
        <v>401</v>
      </c>
      <c r="B406" s="78" t="s">
        <v>1035</v>
      </c>
      <c r="C406" s="82" t="s">
        <v>49</v>
      </c>
      <c r="D406" s="83"/>
      <c r="E406" s="84"/>
      <c r="F406" s="85" t="s">
        <v>43</v>
      </c>
      <c r="G406" s="86" t="s">
        <v>53</v>
      </c>
      <c r="H406" s="77"/>
      <c r="I406" s="82"/>
      <c r="J406" s="87" t="s">
        <v>68</v>
      </c>
      <c r="K406" s="87">
        <v>22.0</v>
      </c>
      <c r="L406" s="89"/>
      <c r="M406" s="77"/>
      <c r="N406" s="77"/>
      <c r="O406" s="77"/>
      <c r="P406" s="77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102">
        <f t="shared" si="1"/>
        <v>402</v>
      </c>
      <c r="B407" s="94" t="s">
        <v>1864</v>
      </c>
      <c r="C407" s="95" t="s">
        <v>49</v>
      </c>
      <c r="D407" s="96"/>
      <c r="E407" s="97"/>
      <c r="F407" s="98" t="s">
        <v>43</v>
      </c>
      <c r="G407" s="99" t="s">
        <v>53</v>
      </c>
      <c r="H407" s="102"/>
      <c r="I407" s="95"/>
      <c r="J407" s="93" t="s">
        <v>51</v>
      </c>
      <c r="K407" s="93">
        <v>12.0</v>
      </c>
      <c r="L407" s="101"/>
      <c r="M407" s="102"/>
      <c r="N407" s="102"/>
      <c r="O407" s="102"/>
      <c r="P407" s="102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77">
        <f t="shared" si="1"/>
        <v>403</v>
      </c>
      <c r="B408" s="78" t="s">
        <v>1867</v>
      </c>
      <c r="C408" s="82" t="s">
        <v>49</v>
      </c>
      <c r="D408" s="83"/>
      <c r="E408" s="84"/>
      <c r="F408" s="85" t="s">
        <v>43</v>
      </c>
      <c r="G408" s="86" t="s">
        <v>87</v>
      </c>
      <c r="H408" s="87" t="s">
        <v>1869</v>
      </c>
      <c r="I408" s="82"/>
      <c r="J408" s="87" t="s">
        <v>89</v>
      </c>
      <c r="K408" s="87">
        <v>30.0</v>
      </c>
      <c r="L408" s="89"/>
      <c r="M408" s="77"/>
      <c r="N408" s="91" t="s">
        <v>43</v>
      </c>
      <c r="O408" s="77"/>
      <c r="P408" s="77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102">
        <f t="shared" si="1"/>
        <v>404</v>
      </c>
      <c r="B409" s="94" t="s">
        <v>1602</v>
      </c>
      <c r="C409" s="95" t="s">
        <v>49</v>
      </c>
      <c r="D409" s="96"/>
      <c r="E409" s="97"/>
      <c r="F409" s="98" t="s">
        <v>43</v>
      </c>
      <c r="G409" s="99" t="s">
        <v>87</v>
      </c>
      <c r="H409" s="93" t="s">
        <v>1873</v>
      </c>
      <c r="I409" s="95" t="s">
        <v>72</v>
      </c>
      <c r="J409" s="93" t="s">
        <v>55</v>
      </c>
      <c r="K409" s="93">
        <v>18.0</v>
      </c>
      <c r="L409" s="101"/>
      <c r="M409" s="102"/>
      <c r="N409" s="103" t="s">
        <v>43</v>
      </c>
      <c r="O409" s="102"/>
      <c r="P409" s="102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77">
        <f t="shared" si="1"/>
        <v>405</v>
      </c>
      <c r="B410" s="78" t="s">
        <v>1875</v>
      </c>
      <c r="C410" s="82" t="s">
        <v>172</v>
      </c>
      <c r="D410" s="83"/>
      <c r="E410" s="84"/>
      <c r="F410" s="85" t="s">
        <v>43</v>
      </c>
      <c r="G410" s="86" t="s">
        <v>53</v>
      </c>
      <c r="H410" s="87" t="s">
        <v>1877</v>
      </c>
      <c r="I410" s="82"/>
      <c r="J410" s="87" t="s">
        <v>89</v>
      </c>
      <c r="K410" s="87">
        <v>32.0</v>
      </c>
      <c r="L410" s="89"/>
      <c r="M410" s="77"/>
      <c r="N410" s="91" t="s">
        <v>43</v>
      </c>
      <c r="O410" s="77"/>
      <c r="P410" s="77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102">
        <f t="shared" si="1"/>
        <v>406</v>
      </c>
      <c r="B411" s="94" t="s">
        <v>169</v>
      </c>
      <c r="C411" s="95" t="s">
        <v>49</v>
      </c>
      <c r="D411" s="96"/>
      <c r="E411" s="97"/>
      <c r="F411" s="98" t="s">
        <v>43</v>
      </c>
      <c r="G411" s="99" t="s">
        <v>53</v>
      </c>
      <c r="H411" s="102"/>
      <c r="I411" s="95"/>
      <c r="J411" s="93" t="s">
        <v>47</v>
      </c>
      <c r="K411" s="93">
        <v>13.0</v>
      </c>
      <c r="L411" s="101"/>
      <c r="M411" s="102"/>
      <c r="N411" s="112"/>
      <c r="O411" s="102"/>
      <c r="P411" s="102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77">
        <f t="shared" si="1"/>
        <v>407</v>
      </c>
      <c r="B412" s="78" t="s">
        <v>1885</v>
      </c>
      <c r="C412" s="82" t="s">
        <v>49</v>
      </c>
      <c r="D412" s="83"/>
      <c r="E412" s="84"/>
      <c r="F412" s="85" t="s">
        <v>43</v>
      </c>
      <c r="G412" s="86" t="s">
        <v>53</v>
      </c>
      <c r="H412" s="87" t="s">
        <v>1887</v>
      </c>
      <c r="I412" s="82"/>
      <c r="J412" s="87" t="s">
        <v>51</v>
      </c>
      <c r="K412" s="87" t="s">
        <v>616</v>
      </c>
      <c r="L412" s="89"/>
      <c r="M412" s="77"/>
      <c r="N412" s="91" t="s">
        <v>43</v>
      </c>
      <c r="O412" s="77"/>
      <c r="P412" s="87" t="s">
        <v>19</v>
      </c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102">
        <f t="shared" si="1"/>
        <v>408</v>
      </c>
      <c r="B413" s="94" t="s">
        <v>1889</v>
      </c>
      <c r="C413" s="95" t="s">
        <v>5</v>
      </c>
      <c r="D413" s="96"/>
      <c r="E413" s="97"/>
      <c r="F413" s="98" t="s">
        <v>43</v>
      </c>
      <c r="G413" s="99" t="s">
        <v>87</v>
      </c>
      <c r="H413" s="93" t="s">
        <v>1892</v>
      </c>
      <c r="I413" s="95" t="s">
        <v>5</v>
      </c>
      <c r="J413" s="93" t="s">
        <v>55</v>
      </c>
      <c r="K413" s="93">
        <v>4.0</v>
      </c>
      <c r="L413" s="101"/>
      <c r="M413" s="102"/>
      <c r="N413" s="103" t="s">
        <v>43</v>
      </c>
      <c r="O413" s="93">
        <v>2.0</v>
      </c>
      <c r="P413" s="93" t="s">
        <v>19</v>
      </c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77">
        <f t="shared" si="1"/>
        <v>409</v>
      </c>
      <c r="B414" s="78" t="s">
        <v>1895</v>
      </c>
      <c r="C414" s="82" t="s">
        <v>49</v>
      </c>
      <c r="D414" s="83"/>
      <c r="E414" s="84"/>
      <c r="F414" s="85" t="s">
        <v>60</v>
      </c>
      <c r="G414" s="86" t="s">
        <v>49</v>
      </c>
      <c r="H414" s="77"/>
      <c r="I414" s="82"/>
      <c r="J414" s="87" t="s">
        <v>96</v>
      </c>
      <c r="K414" s="87">
        <v>34.0</v>
      </c>
      <c r="L414" s="89"/>
      <c r="M414" s="77"/>
      <c r="N414" s="77"/>
      <c r="O414" s="77"/>
      <c r="P414" s="77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102">
        <f t="shared" si="1"/>
        <v>410</v>
      </c>
      <c r="B415" s="94" t="s">
        <v>1899</v>
      </c>
      <c r="C415" s="95" t="s">
        <v>5</v>
      </c>
      <c r="D415" s="96"/>
      <c r="E415" s="97"/>
      <c r="F415" s="98" t="s">
        <v>43</v>
      </c>
      <c r="G415" s="99" t="s">
        <v>87</v>
      </c>
      <c r="H415" s="102"/>
      <c r="I415" s="95"/>
      <c r="J415" s="93" t="s">
        <v>96</v>
      </c>
      <c r="K415" s="93">
        <v>34.0</v>
      </c>
      <c r="L415" s="101"/>
      <c r="M415" s="102"/>
      <c r="N415" s="102"/>
      <c r="O415" s="102"/>
      <c r="P415" s="93" t="s">
        <v>19</v>
      </c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77">
        <f t="shared" si="1"/>
        <v>411</v>
      </c>
      <c r="B416" s="78" t="s">
        <v>1721</v>
      </c>
      <c r="C416" s="82" t="s">
        <v>5</v>
      </c>
      <c r="D416" s="83"/>
      <c r="E416" s="84"/>
      <c r="F416" s="85" t="s">
        <v>43</v>
      </c>
      <c r="G416" s="86" t="s">
        <v>87</v>
      </c>
      <c r="H416" s="87" t="s">
        <v>87</v>
      </c>
      <c r="I416" s="82"/>
      <c r="J416" s="87" t="s">
        <v>51</v>
      </c>
      <c r="K416" s="87">
        <v>30.0</v>
      </c>
      <c r="L416" s="89"/>
      <c r="M416" s="77"/>
      <c r="N416" s="77"/>
      <c r="O416" s="77"/>
      <c r="P416" s="77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102">
        <f t="shared" si="1"/>
        <v>412</v>
      </c>
      <c r="B417" s="94" t="s">
        <v>1562</v>
      </c>
      <c r="C417" s="95" t="s">
        <v>172</v>
      </c>
      <c r="D417" s="96"/>
      <c r="E417" s="97"/>
      <c r="F417" s="98" t="s">
        <v>43</v>
      </c>
      <c r="G417" s="99" t="s">
        <v>53</v>
      </c>
      <c r="H417" s="93" t="s">
        <v>1903</v>
      </c>
      <c r="I417" s="95"/>
      <c r="J417" s="93" t="s">
        <v>55</v>
      </c>
      <c r="K417" s="93">
        <v>16.0</v>
      </c>
      <c r="L417" s="101"/>
      <c r="M417" s="102"/>
      <c r="N417" s="103" t="s">
        <v>43</v>
      </c>
      <c r="O417" s="102"/>
      <c r="P417" s="102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77">
        <f t="shared" si="1"/>
        <v>413</v>
      </c>
      <c r="B418" s="78" t="s">
        <v>389</v>
      </c>
      <c r="C418" s="82" t="s">
        <v>49</v>
      </c>
      <c r="D418" s="83"/>
      <c r="E418" s="113"/>
      <c r="F418" s="85" t="s">
        <v>43</v>
      </c>
      <c r="G418" s="86" t="s">
        <v>53</v>
      </c>
      <c r="H418" s="87" t="s">
        <v>1908</v>
      </c>
      <c r="I418" s="82"/>
      <c r="J418" s="87" t="s">
        <v>174</v>
      </c>
      <c r="K418" s="87">
        <v>1.0</v>
      </c>
      <c r="L418" s="89"/>
      <c r="M418" s="77"/>
      <c r="N418" s="91" t="s">
        <v>60</v>
      </c>
      <c r="O418" s="77"/>
      <c r="P418" s="77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102">
        <f t="shared" si="1"/>
        <v>414</v>
      </c>
      <c r="B419" s="94" t="s">
        <v>1910</v>
      </c>
      <c r="C419" s="95" t="s">
        <v>5</v>
      </c>
      <c r="D419" s="96"/>
      <c r="E419" s="97"/>
      <c r="F419" s="98" t="s">
        <v>43</v>
      </c>
      <c r="G419" s="99" t="s">
        <v>87</v>
      </c>
      <c r="H419" s="102"/>
      <c r="I419" s="95"/>
      <c r="J419" s="93" t="s">
        <v>89</v>
      </c>
      <c r="K419" s="93">
        <v>25.0</v>
      </c>
      <c r="L419" s="101"/>
      <c r="M419" s="102"/>
      <c r="N419" s="102"/>
      <c r="O419" s="102"/>
      <c r="P419" s="102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77">
        <f t="shared" si="1"/>
        <v>415</v>
      </c>
      <c r="B420" s="78" t="s">
        <v>641</v>
      </c>
      <c r="C420" s="82" t="s">
        <v>49</v>
      </c>
      <c r="D420" s="83"/>
      <c r="E420" s="84"/>
      <c r="F420" s="85" t="s">
        <v>43</v>
      </c>
      <c r="G420" s="86" t="s">
        <v>53</v>
      </c>
      <c r="H420" s="77"/>
      <c r="I420" s="82"/>
      <c r="J420" s="87" t="s">
        <v>174</v>
      </c>
      <c r="K420" s="87">
        <v>27.0</v>
      </c>
      <c r="L420" s="89"/>
      <c r="M420" s="77"/>
      <c r="N420" s="77"/>
      <c r="O420" s="77"/>
      <c r="P420" s="77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102">
        <f t="shared" si="1"/>
        <v>416</v>
      </c>
      <c r="B421" s="94" t="s">
        <v>1918</v>
      </c>
      <c r="C421" s="95" t="s">
        <v>49</v>
      </c>
      <c r="D421" s="96"/>
      <c r="E421" s="97"/>
      <c r="F421" s="98" t="s">
        <v>43</v>
      </c>
      <c r="G421" s="99" t="s">
        <v>53</v>
      </c>
      <c r="H421" s="102"/>
      <c r="I421" s="95"/>
      <c r="J421" s="93" t="s">
        <v>68</v>
      </c>
      <c r="K421" s="93">
        <v>32.0</v>
      </c>
      <c r="L421" s="101"/>
      <c r="M421" s="102"/>
      <c r="N421" s="102"/>
      <c r="O421" s="102"/>
      <c r="P421" s="102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77">
        <f t="shared" si="1"/>
        <v>417</v>
      </c>
      <c r="B422" s="78" t="s">
        <v>297</v>
      </c>
      <c r="C422" s="82" t="s">
        <v>9</v>
      </c>
      <c r="D422" s="83"/>
      <c r="E422" s="84"/>
      <c r="F422" s="85" t="s">
        <v>43</v>
      </c>
      <c r="G422" s="86" t="s">
        <v>87</v>
      </c>
      <c r="H422" s="77"/>
      <c r="I422" s="82"/>
      <c r="J422" s="87" t="s">
        <v>47</v>
      </c>
      <c r="K422" s="87">
        <v>24.0</v>
      </c>
      <c r="L422" s="89"/>
      <c r="M422" s="77"/>
      <c r="N422" s="77"/>
      <c r="O422" s="77"/>
      <c r="P422" s="77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102">
        <f t="shared" si="1"/>
        <v>418</v>
      </c>
      <c r="B423" s="94" t="s">
        <v>1923</v>
      </c>
      <c r="C423" s="95" t="s">
        <v>5</v>
      </c>
      <c r="D423" s="96"/>
      <c r="E423" s="97"/>
      <c r="F423" s="98" t="s">
        <v>43</v>
      </c>
      <c r="G423" s="99" t="s">
        <v>87</v>
      </c>
      <c r="H423" s="102"/>
      <c r="I423" s="95"/>
      <c r="J423" s="93" t="s">
        <v>99</v>
      </c>
      <c r="K423" s="93">
        <v>29.0</v>
      </c>
      <c r="L423" s="101"/>
      <c r="M423" s="102"/>
      <c r="N423" s="102"/>
      <c r="O423" s="102"/>
      <c r="P423" s="102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77">
        <f t="shared" si="1"/>
        <v>419</v>
      </c>
      <c r="B424" s="78" t="s">
        <v>1713</v>
      </c>
      <c r="C424" s="82" t="s">
        <v>49</v>
      </c>
      <c r="D424" s="83"/>
      <c r="E424" s="84"/>
      <c r="F424" s="85" t="s">
        <v>43</v>
      </c>
      <c r="G424" s="86" t="s">
        <v>53</v>
      </c>
      <c r="H424" s="87" t="s">
        <v>1927</v>
      </c>
      <c r="I424" s="82"/>
      <c r="J424" s="87" t="s">
        <v>51</v>
      </c>
      <c r="K424" s="87">
        <v>30.0</v>
      </c>
      <c r="L424" s="89"/>
      <c r="M424" s="77"/>
      <c r="N424" s="91" t="s">
        <v>60</v>
      </c>
      <c r="O424" s="77"/>
      <c r="P424" s="77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102">
        <f t="shared" si="1"/>
        <v>420</v>
      </c>
      <c r="B425" s="94" t="s">
        <v>227</v>
      </c>
      <c r="C425" s="95" t="s">
        <v>49</v>
      </c>
      <c r="D425" s="96"/>
      <c r="E425" s="97"/>
      <c r="F425" s="98" t="s">
        <v>43</v>
      </c>
      <c r="G425" s="99" t="s">
        <v>53</v>
      </c>
      <c r="H425" s="102"/>
      <c r="I425" s="95"/>
      <c r="J425" s="93" t="s">
        <v>47</v>
      </c>
      <c r="K425" s="93">
        <v>17.0</v>
      </c>
      <c r="L425" s="101"/>
      <c r="M425" s="102"/>
      <c r="N425" s="112"/>
      <c r="O425" s="102"/>
      <c r="P425" s="102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77">
        <f t="shared" si="1"/>
        <v>421</v>
      </c>
      <c r="B426" s="78" t="s">
        <v>1932</v>
      </c>
      <c r="C426" s="82" t="s">
        <v>49</v>
      </c>
      <c r="D426" s="83"/>
      <c r="E426" s="84"/>
      <c r="F426" s="85" t="s">
        <v>43</v>
      </c>
      <c r="G426" s="86" t="s">
        <v>87</v>
      </c>
      <c r="H426" s="87" t="s">
        <v>1933</v>
      </c>
      <c r="I426" s="82" t="s">
        <v>72</v>
      </c>
      <c r="J426" s="87" t="s">
        <v>89</v>
      </c>
      <c r="K426" s="87">
        <v>37.0</v>
      </c>
      <c r="L426" s="89"/>
      <c r="M426" s="77"/>
      <c r="N426" s="91" t="s">
        <v>43</v>
      </c>
      <c r="O426" s="77"/>
      <c r="P426" s="77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102">
        <f t="shared" si="1"/>
        <v>422</v>
      </c>
      <c r="B427" s="94" t="s">
        <v>1938</v>
      </c>
      <c r="C427" s="95" t="s">
        <v>5</v>
      </c>
      <c r="D427" s="96"/>
      <c r="E427" s="97"/>
      <c r="F427" s="109" t="s">
        <v>43</v>
      </c>
      <c r="G427" s="99" t="s">
        <v>87</v>
      </c>
      <c r="H427" s="102"/>
      <c r="I427" s="95"/>
      <c r="J427" s="93" t="s">
        <v>51</v>
      </c>
      <c r="K427" s="102"/>
      <c r="L427" s="101"/>
      <c r="M427" s="102"/>
      <c r="N427" s="102"/>
      <c r="O427" s="102"/>
      <c r="P427" s="102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77">
        <f t="shared" si="1"/>
        <v>423</v>
      </c>
      <c r="B428" s="78" t="s">
        <v>1940</v>
      </c>
      <c r="C428" s="82" t="s">
        <v>49</v>
      </c>
      <c r="D428" s="83"/>
      <c r="E428" s="84"/>
      <c r="F428" s="114" t="s">
        <v>43</v>
      </c>
      <c r="G428" s="86" t="s">
        <v>53</v>
      </c>
      <c r="H428" s="77"/>
      <c r="I428" s="82"/>
      <c r="J428" s="87" t="s">
        <v>89</v>
      </c>
      <c r="K428" s="87">
        <v>36.0</v>
      </c>
      <c r="L428" s="89"/>
      <c r="M428" s="77"/>
      <c r="N428" s="77"/>
      <c r="O428" s="77"/>
      <c r="P428" s="77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102">
        <f t="shared" si="1"/>
        <v>424</v>
      </c>
      <c r="B429" s="94" t="s">
        <v>142</v>
      </c>
      <c r="C429" s="95" t="s">
        <v>49</v>
      </c>
      <c r="D429" s="96"/>
      <c r="E429" s="112"/>
      <c r="F429" s="98" t="s">
        <v>43</v>
      </c>
      <c r="G429" s="99" t="s">
        <v>53</v>
      </c>
      <c r="H429" s="93" t="s">
        <v>1943</v>
      </c>
      <c r="I429" s="95"/>
      <c r="J429" s="93" t="s">
        <v>47</v>
      </c>
      <c r="K429" s="93">
        <v>7.0</v>
      </c>
      <c r="L429" s="101"/>
      <c r="M429" s="102"/>
      <c r="N429" s="112"/>
      <c r="O429" s="102"/>
      <c r="P429" s="102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77">
        <f t="shared" si="1"/>
        <v>425</v>
      </c>
      <c r="B430" s="78" t="s">
        <v>1946</v>
      </c>
      <c r="C430" s="82" t="s">
        <v>49</v>
      </c>
      <c r="D430" s="83"/>
      <c r="E430" s="84"/>
      <c r="F430" s="85" t="s">
        <v>43</v>
      </c>
      <c r="G430" s="86" t="s">
        <v>53</v>
      </c>
      <c r="H430" s="87" t="s">
        <v>1947</v>
      </c>
      <c r="I430" s="82"/>
      <c r="J430" s="87" t="s">
        <v>96</v>
      </c>
      <c r="K430" s="87" t="s">
        <v>1648</v>
      </c>
      <c r="L430" s="89"/>
      <c r="M430" s="77"/>
      <c r="N430" s="91" t="s">
        <v>43</v>
      </c>
      <c r="O430" s="77"/>
      <c r="P430" s="77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102">
        <f t="shared" si="1"/>
        <v>426</v>
      </c>
      <c r="B431" s="94" t="s">
        <v>1949</v>
      </c>
      <c r="C431" s="95" t="s">
        <v>49</v>
      </c>
      <c r="D431" s="96"/>
      <c r="E431" s="97"/>
      <c r="F431" s="98" t="s">
        <v>60</v>
      </c>
      <c r="G431" s="99" t="s">
        <v>49</v>
      </c>
      <c r="H431" s="93" t="s">
        <v>1951</v>
      </c>
      <c r="I431" s="95"/>
      <c r="J431" s="93" t="s">
        <v>99</v>
      </c>
      <c r="K431" s="93">
        <v>37.0</v>
      </c>
      <c r="L431" s="101"/>
      <c r="M431" s="102"/>
      <c r="N431" s="103" t="s">
        <v>43</v>
      </c>
      <c r="O431" s="102"/>
      <c r="P431" s="102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77">
        <f t="shared" si="1"/>
        <v>427</v>
      </c>
      <c r="B432" s="78" t="s">
        <v>1954</v>
      </c>
      <c r="C432" s="131"/>
      <c r="D432" s="83"/>
      <c r="E432" s="84"/>
      <c r="F432" s="114" t="s">
        <v>43</v>
      </c>
      <c r="G432" s="86" t="s">
        <v>53</v>
      </c>
      <c r="H432" s="87" t="s">
        <v>1956</v>
      </c>
      <c r="I432" s="82"/>
      <c r="J432" s="87" t="s">
        <v>68</v>
      </c>
      <c r="K432" s="77"/>
      <c r="L432" s="89"/>
      <c r="M432" s="77"/>
      <c r="N432" s="77"/>
      <c r="O432" s="77"/>
      <c r="P432" s="77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102">
        <f t="shared" si="1"/>
        <v>428</v>
      </c>
      <c r="B433" s="94" t="s">
        <v>1958</v>
      </c>
      <c r="C433" s="95" t="s">
        <v>49</v>
      </c>
      <c r="D433" s="96"/>
      <c r="E433" s="97"/>
      <c r="F433" s="98" t="s">
        <v>43</v>
      </c>
      <c r="G433" s="99" t="s">
        <v>53</v>
      </c>
      <c r="H433" s="93" t="s">
        <v>1959</v>
      </c>
      <c r="I433" s="95"/>
      <c r="J433" s="93" t="s">
        <v>96</v>
      </c>
      <c r="K433" s="93" t="s">
        <v>196</v>
      </c>
      <c r="L433" s="101"/>
      <c r="M433" s="102"/>
      <c r="N433" s="103" t="s">
        <v>60</v>
      </c>
      <c r="O433" s="102"/>
      <c r="P433" s="102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77">
        <f t="shared" si="1"/>
        <v>429</v>
      </c>
      <c r="B434" s="78" t="s">
        <v>1962</v>
      </c>
      <c r="C434" s="82" t="s">
        <v>49</v>
      </c>
      <c r="D434" s="83"/>
      <c r="E434" s="84"/>
      <c r="F434" s="85" t="s">
        <v>43</v>
      </c>
      <c r="G434" s="86" t="s">
        <v>87</v>
      </c>
      <c r="H434" s="87" t="s">
        <v>1965</v>
      </c>
      <c r="I434" s="82" t="s">
        <v>172</v>
      </c>
      <c r="J434" s="87" t="s">
        <v>99</v>
      </c>
      <c r="K434" s="87">
        <v>13.0</v>
      </c>
      <c r="L434" s="89"/>
      <c r="M434" s="77"/>
      <c r="N434" s="91" t="s">
        <v>43</v>
      </c>
      <c r="O434" s="77"/>
      <c r="P434" s="77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102">
        <f t="shared" si="1"/>
        <v>430</v>
      </c>
      <c r="B435" s="94" t="s">
        <v>1967</v>
      </c>
      <c r="C435" s="95" t="s">
        <v>49</v>
      </c>
      <c r="D435" s="96"/>
      <c r="E435" s="97"/>
      <c r="F435" s="98" t="s">
        <v>43</v>
      </c>
      <c r="G435" s="99" t="s">
        <v>53</v>
      </c>
      <c r="H435" s="93" t="s">
        <v>1970</v>
      </c>
      <c r="I435" s="95"/>
      <c r="J435" s="93" t="s">
        <v>96</v>
      </c>
      <c r="K435" s="93">
        <v>23.0</v>
      </c>
      <c r="L435" s="101"/>
      <c r="M435" s="102"/>
      <c r="N435" s="103" t="s">
        <v>43</v>
      </c>
      <c r="O435" s="102"/>
      <c r="P435" s="102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77">
        <f t="shared" si="1"/>
        <v>431</v>
      </c>
      <c r="B436" s="78" t="s">
        <v>883</v>
      </c>
      <c r="C436" s="82" t="s">
        <v>49</v>
      </c>
      <c r="D436" s="83"/>
      <c r="E436" s="84"/>
      <c r="F436" s="85" t="s">
        <v>43</v>
      </c>
      <c r="G436" s="86" t="s">
        <v>53</v>
      </c>
      <c r="H436" s="77"/>
      <c r="I436" s="82"/>
      <c r="J436" s="87" t="s">
        <v>68</v>
      </c>
      <c r="K436" s="87">
        <v>10.0</v>
      </c>
      <c r="L436" s="89"/>
      <c r="M436" s="77"/>
      <c r="N436" s="77"/>
      <c r="O436" s="77"/>
      <c r="P436" s="77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102">
        <f t="shared" si="1"/>
        <v>432</v>
      </c>
      <c r="B437" s="94" t="s">
        <v>1976</v>
      </c>
      <c r="C437" s="95" t="s">
        <v>49</v>
      </c>
      <c r="D437" s="96"/>
      <c r="E437" s="97"/>
      <c r="F437" s="98" t="s">
        <v>60</v>
      </c>
      <c r="G437" s="99" t="s">
        <v>49</v>
      </c>
      <c r="H437" s="93" t="s">
        <v>399</v>
      </c>
      <c r="I437" s="95"/>
      <c r="J437" s="93" t="s">
        <v>89</v>
      </c>
      <c r="K437" s="93">
        <v>31.0</v>
      </c>
      <c r="L437" s="101"/>
      <c r="M437" s="102"/>
      <c r="N437" s="103" t="s">
        <v>60</v>
      </c>
      <c r="O437" s="102"/>
      <c r="P437" s="102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77">
        <f t="shared" si="1"/>
        <v>433</v>
      </c>
      <c r="B438" s="78" t="s">
        <v>1981</v>
      </c>
      <c r="C438" s="82" t="s">
        <v>49</v>
      </c>
      <c r="D438" s="83"/>
      <c r="E438" s="84"/>
      <c r="F438" s="85" t="s">
        <v>60</v>
      </c>
      <c r="G438" s="86" t="s">
        <v>53</v>
      </c>
      <c r="H438" s="87" t="s">
        <v>1982</v>
      </c>
      <c r="I438" s="82"/>
      <c r="J438" s="87" t="s">
        <v>89</v>
      </c>
      <c r="K438" s="87">
        <v>35.0</v>
      </c>
      <c r="L438" s="89"/>
      <c r="M438" s="77"/>
      <c r="N438" s="91" t="s">
        <v>43</v>
      </c>
      <c r="O438" s="77"/>
      <c r="P438" s="77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102">
        <f t="shared" si="1"/>
        <v>434</v>
      </c>
      <c r="B439" s="94" t="s">
        <v>179</v>
      </c>
      <c r="C439" s="95" t="s">
        <v>49</v>
      </c>
      <c r="D439" s="96"/>
      <c r="E439" s="97"/>
      <c r="F439" s="98" t="s">
        <v>43</v>
      </c>
      <c r="G439" s="99" t="s">
        <v>53</v>
      </c>
      <c r="H439" s="102"/>
      <c r="I439" s="95"/>
      <c r="J439" s="93" t="s">
        <v>47</v>
      </c>
      <c r="K439" s="93">
        <v>13.0</v>
      </c>
      <c r="L439" s="101"/>
      <c r="M439" s="102"/>
      <c r="N439" s="112"/>
      <c r="O439" s="93"/>
      <c r="P439" s="102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77">
        <f t="shared" si="1"/>
        <v>435</v>
      </c>
      <c r="B440" s="78" t="s">
        <v>929</v>
      </c>
      <c r="C440" s="82" t="s">
        <v>49</v>
      </c>
      <c r="D440" s="83"/>
      <c r="E440" s="84"/>
      <c r="F440" s="85" t="s">
        <v>43</v>
      </c>
      <c r="G440" s="86" t="s">
        <v>53</v>
      </c>
      <c r="H440" s="87" t="s">
        <v>1987</v>
      </c>
      <c r="I440" s="82"/>
      <c r="J440" s="87" t="s">
        <v>68</v>
      </c>
      <c r="K440" s="87">
        <v>12.0</v>
      </c>
      <c r="L440" s="89"/>
      <c r="M440" s="77"/>
      <c r="N440" s="91" t="s">
        <v>43</v>
      </c>
      <c r="O440" s="77"/>
      <c r="P440" s="77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102">
        <f t="shared" si="1"/>
        <v>436</v>
      </c>
      <c r="B441" s="94" t="s">
        <v>1160</v>
      </c>
      <c r="C441" s="95" t="s">
        <v>5</v>
      </c>
      <c r="D441" s="96"/>
      <c r="E441" s="97"/>
      <c r="F441" s="98" t="s">
        <v>43</v>
      </c>
      <c r="G441" s="99" t="s">
        <v>87</v>
      </c>
      <c r="H441" s="102"/>
      <c r="I441" s="95"/>
      <c r="J441" s="93" t="s">
        <v>68</v>
      </c>
      <c r="K441" s="93">
        <v>28.0</v>
      </c>
      <c r="L441" s="101"/>
      <c r="M441" s="102"/>
      <c r="N441" s="102"/>
      <c r="O441" s="102"/>
      <c r="P441" s="102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77">
        <f t="shared" si="1"/>
        <v>437</v>
      </c>
      <c r="B442" s="78" t="s">
        <v>1851</v>
      </c>
      <c r="C442" s="82" t="s">
        <v>5</v>
      </c>
      <c r="D442" s="83"/>
      <c r="E442" s="84"/>
      <c r="F442" s="85" t="s">
        <v>43</v>
      </c>
      <c r="G442" s="86" t="s">
        <v>87</v>
      </c>
      <c r="H442" s="87" t="s">
        <v>1992</v>
      </c>
      <c r="I442" s="82" t="s">
        <v>5</v>
      </c>
      <c r="J442" s="87" t="s">
        <v>51</v>
      </c>
      <c r="K442" s="87">
        <v>19.0</v>
      </c>
      <c r="L442" s="89"/>
      <c r="M442" s="77"/>
      <c r="N442" s="91" t="s">
        <v>43</v>
      </c>
      <c r="O442" s="77"/>
      <c r="P442" s="77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102">
        <f t="shared" si="1"/>
        <v>438</v>
      </c>
      <c r="B443" s="94" t="s">
        <v>1994</v>
      </c>
      <c r="C443" s="95" t="s">
        <v>49</v>
      </c>
      <c r="D443" s="96"/>
      <c r="E443" s="97"/>
      <c r="F443" s="98" t="s">
        <v>43</v>
      </c>
      <c r="G443" s="99" t="s">
        <v>53</v>
      </c>
      <c r="H443" s="93" t="s">
        <v>1996</v>
      </c>
      <c r="I443" s="95"/>
      <c r="J443" s="93" t="s">
        <v>96</v>
      </c>
      <c r="K443" s="93">
        <v>5.0</v>
      </c>
      <c r="L443" s="101"/>
      <c r="M443" s="102"/>
      <c r="N443" s="103" t="s">
        <v>43</v>
      </c>
      <c r="O443" s="102"/>
      <c r="P443" s="102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77">
        <f t="shared" si="1"/>
        <v>439</v>
      </c>
      <c r="B444" s="116" t="s">
        <v>2002</v>
      </c>
      <c r="C444" s="82" t="s">
        <v>5</v>
      </c>
      <c r="D444" s="83"/>
      <c r="E444" s="84"/>
      <c r="F444" s="85" t="s">
        <v>43</v>
      </c>
      <c r="G444" s="86" t="s">
        <v>87</v>
      </c>
      <c r="H444" s="77"/>
      <c r="I444" s="82"/>
      <c r="J444" s="87" t="s">
        <v>68</v>
      </c>
      <c r="K444" s="87">
        <v>18.0</v>
      </c>
      <c r="L444" s="89"/>
      <c r="M444" s="77"/>
      <c r="N444" s="77"/>
      <c r="O444" s="77"/>
      <c r="P444" s="77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102">
        <f t="shared" si="1"/>
        <v>440</v>
      </c>
      <c r="B445" s="94" t="s">
        <v>2006</v>
      </c>
      <c r="C445" s="95" t="s">
        <v>9</v>
      </c>
      <c r="D445" s="96"/>
      <c r="E445" s="97"/>
      <c r="F445" s="109" t="s">
        <v>43</v>
      </c>
      <c r="G445" s="99" t="s">
        <v>87</v>
      </c>
      <c r="H445" s="102"/>
      <c r="I445" s="95"/>
      <c r="J445" s="93" t="s">
        <v>96</v>
      </c>
      <c r="K445" s="102"/>
      <c r="L445" s="101"/>
      <c r="M445" s="102"/>
      <c r="N445" s="102"/>
      <c r="O445" s="102"/>
      <c r="P445" s="102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77">
        <f t="shared" si="1"/>
        <v>441</v>
      </c>
      <c r="B446" s="78" t="s">
        <v>2011</v>
      </c>
      <c r="C446" s="82" t="s">
        <v>49</v>
      </c>
      <c r="D446" s="83"/>
      <c r="E446" s="84"/>
      <c r="F446" s="85" t="s">
        <v>60</v>
      </c>
      <c r="G446" s="86" t="s">
        <v>53</v>
      </c>
      <c r="H446" s="87" t="s">
        <v>2013</v>
      </c>
      <c r="I446" s="82"/>
      <c r="J446" s="87" t="s">
        <v>99</v>
      </c>
      <c r="K446" s="87">
        <v>56.0</v>
      </c>
      <c r="L446" s="89"/>
      <c r="M446" s="77"/>
      <c r="N446" s="91" t="s">
        <v>43</v>
      </c>
      <c r="O446" s="77"/>
      <c r="P446" s="77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102">
        <f t="shared" si="1"/>
        <v>442</v>
      </c>
      <c r="B447" s="94" t="s">
        <v>326</v>
      </c>
      <c r="C447" s="95" t="s">
        <v>49</v>
      </c>
      <c r="D447" s="96"/>
      <c r="E447" s="97"/>
      <c r="F447" s="98" t="s">
        <v>43</v>
      </c>
      <c r="G447" s="99" t="s">
        <v>53</v>
      </c>
      <c r="H447" s="102"/>
      <c r="I447" s="95"/>
      <c r="J447" s="93" t="s">
        <v>47</v>
      </c>
      <c r="K447" s="93">
        <v>27.0</v>
      </c>
      <c r="L447" s="101"/>
      <c r="M447" s="102"/>
      <c r="N447" s="102"/>
      <c r="O447" s="102"/>
      <c r="P447" s="102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77">
        <f t="shared" si="1"/>
        <v>443</v>
      </c>
      <c r="B448" s="78" t="s">
        <v>2017</v>
      </c>
      <c r="C448" s="82" t="s">
        <v>172</v>
      </c>
      <c r="D448" s="83"/>
      <c r="E448" s="84"/>
      <c r="F448" s="85" t="s">
        <v>43</v>
      </c>
      <c r="G448" s="86" t="s">
        <v>53</v>
      </c>
      <c r="H448" s="87" t="s">
        <v>2019</v>
      </c>
      <c r="I448" s="82"/>
      <c r="J448" s="87" t="s">
        <v>89</v>
      </c>
      <c r="K448" s="87">
        <v>31.0</v>
      </c>
      <c r="L448" s="89"/>
      <c r="M448" s="77"/>
      <c r="N448" s="91" t="s">
        <v>60</v>
      </c>
      <c r="O448" s="77"/>
      <c r="P448" s="77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102">
        <f t="shared" si="1"/>
        <v>444</v>
      </c>
      <c r="B449" s="94" t="s">
        <v>2020</v>
      </c>
      <c r="C449" s="95" t="s">
        <v>49</v>
      </c>
      <c r="D449" s="96"/>
      <c r="E449" s="97"/>
      <c r="F449" s="98" t="s">
        <v>60</v>
      </c>
      <c r="G449" s="99" t="s">
        <v>53</v>
      </c>
      <c r="H449" s="93" t="s">
        <v>2021</v>
      </c>
      <c r="I449" s="95"/>
      <c r="J449" s="93" t="s">
        <v>68</v>
      </c>
      <c r="K449" s="93">
        <v>9.0</v>
      </c>
      <c r="L449" s="101"/>
      <c r="M449" s="102"/>
      <c r="N449" s="103" t="s">
        <v>43</v>
      </c>
      <c r="O449" s="102"/>
      <c r="P449" s="102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77">
        <f t="shared" si="1"/>
        <v>445</v>
      </c>
      <c r="B450" s="78" t="s">
        <v>2024</v>
      </c>
      <c r="C450" s="82" t="s">
        <v>49</v>
      </c>
      <c r="D450" s="83"/>
      <c r="E450" s="84"/>
      <c r="F450" s="85" t="s">
        <v>60</v>
      </c>
      <c r="G450" s="86" t="s">
        <v>49</v>
      </c>
      <c r="H450" s="87" t="s">
        <v>2025</v>
      </c>
      <c r="I450" s="82"/>
      <c r="J450" s="87" t="s">
        <v>68</v>
      </c>
      <c r="K450" s="87">
        <v>5.0</v>
      </c>
      <c r="L450" s="89"/>
      <c r="M450" s="77"/>
      <c r="N450" s="91" t="s">
        <v>60</v>
      </c>
      <c r="O450" s="77"/>
      <c r="P450" s="77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102">
        <f t="shared" si="1"/>
        <v>446</v>
      </c>
      <c r="B451" s="94" t="s">
        <v>1819</v>
      </c>
      <c r="C451" s="95" t="s">
        <v>49</v>
      </c>
      <c r="D451" s="96"/>
      <c r="E451" s="97"/>
      <c r="F451" s="98" t="s">
        <v>43</v>
      </c>
      <c r="G451" s="99" t="s">
        <v>53</v>
      </c>
      <c r="H451" s="93" t="s">
        <v>2028</v>
      </c>
      <c r="I451" s="95"/>
      <c r="J451" s="93" t="s">
        <v>51</v>
      </c>
      <c r="K451" s="93">
        <v>18.0</v>
      </c>
      <c r="L451" s="101"/>
      <c r="M451" s="102"/>
      <c r="N451" s="103" t="s">
        <v>60</v>
      </c>
      <c r="O451" s="102"/>
      <c r="P451" s="102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77">
        <f t="shared" si="1"/>
        <v>447</v>
      </c>
      <c r="B452" s="78" t="s">
        <v>2030</v>
      </c>
      <c r="C452" s="82" t="s">
        <v>49</v>
      </c>
      <c r="D452" s="83"/>
      <c r="E452" s="84"/>
      <c r="F452" s="85" t="s">
        <v>43</v>
      </c>
      <c r="G452" s="86" t="s">
        <v>87</v>
      </c>
      <c r="H452" s="87" t="s">
        <v>2031</v>
      </c>
      <c r="I452" s="82"/>
      <c r="J452" s="87" t="s">
        <v>89</v>
      </c>
      <c r="K452" s="87">
        <v>22.0</v>
      </c>
      <c r="L452" s="89"/>
      <c r="M452" s="77"/>
      <c r="N452" s="91" t="s">
        <v>43</v>
      </c>
      <c r="O452" s="77"/>
      <c r="P452" s="87" t="s">
        <v>19</v>
      </c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102">
        <f t="shared" si="1"/>
        <v>448</v>
      </c>
      <c r="B453" s="94" t="s">
        <v>1664</v>
      </c>
      <c r="C453" s="95" t="s">
        <v>49</v>
      </c>
      <c r="D453" s="96"/>
      <c r="E453" s="97"/>
      <c r="F453" s="98" t="s">
        <v>43</v>
      </c>
      <c r="G453" s="99" t="s">
        <v>53</v>
      </c>
      <c r="H453" s="93" t="s">
        <v>2034</v>
      </c>
      <c r="I453" s="95"/>
      <c r="J453" s="93" t="s">
        <v>51</v>
      </c>
      <c r="K453" s="93">
        <v>35.0</v>
      </c>
      <c r="L453" s="101"/>
      <c r="M453" s="102"/>
      <c r="N453" s="103" t="s">
        <v>60</v>
      </c>
      <c r="O453" s="102"/>
      <c r="P453" s="102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77">
        <f t="shared" si="1"/>
        <v>449</v>
      </c>
      <c r="B454" s="78" t="s">
        <v>754</v>
      </c>
      <c r="C454" s="82" t="s">
        <v>49</v>
      </c>
      <c r="D454" s="83"/>
      <c r="E454" s="84"/>
      <c r="F454" s="85" t="s">
        <v>60</v>
      </c>
      <c r="G454" s="86" t="s">
        <v>53</v>
      </c>
      <c r="H454" s="87" t="s">
        <v>2037</v>
      </c>
      <c r="I454" s="82"/>
      <c r="J454" s="87" t="s">
        <v>68</v>
      </c>
      <c r="K454" s="87">
        <v>4.0</v>
      </c>
      <c r="L454" s="89"/>
      <c r="M454" s="77"/>
      <c r="N454" s="91" t="s">
        <v>43</v>
      </c>
      <c r="O454" s="77"/>
      <c r="P454" s="77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102">
        <f t="shared" si="1"/>
        <v>450</v>
      </c>
      <c r="B455" s="94" t="s">
        <v>2041</v>
      </c>
      <c r="C455" s="95" t="s">
        <v>9</v>
      </c>
      <c r="D455" s="96"/>
      <c r="E455" s="97"/>
      <c r="F455" s="109" t="s">
        <v>43</v>
      </c>
      <c r="G455" s="99" t="s">
        <v>87</v>
      </c>
      <c r="H455" s="102"/>
      <c r="I455" s="95"/>
      <c r="J455" s="93" t="s">
        <v>99</v>
      </c>
      <c r="K455" s="102"/>
      <c r="L455" s="101"/>
      <c r="M455" s="102"/>
      <c r="N455" s="102"/>
      <c r="O455" s="102"/>
      <c r="P455" s="102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77">
        <f t="shared" si="1"/>
        <v>451</v>
      </c>
      <c r="B456" s="78" t="s">
        <v>2043</v>
      </c>
      <c r="C456" s="82" t="s">
        <v>49</v>
      </c>
      <c r="D456" s="83"/>
      <c r="E456" s="84"/>
      <c r="F456" s="85" t="s">
        <v>43</v>
      </c>
      <c r="G456" s="86" t="s">
        <v>53</v>
      </c>
      <c r="H456" s="87" t="s">
        <v>2047</v>
      </c>
      <c r="I456" s="82"/>
      <c r="J456" s="87" t="s">
        <v>96</v>
      </c>
      <c r="K456" s="87">
        <v>27.0</v>
      </c>
      <c r="L456" s="89"/>
      <c r="M456" s="77"/>
      <c r="N456" s="91" t="s">
        <v>43</v>
      </c>
      <c r="O456" s="77"/>
      <c r="P456" s="77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102">
        <f t="shared" si="1"/>
        <v>452</v>
      </c>
      <c r="B457" s="94" t="s">
        <v>2050</v>
      </c>
      <c r="C457" s="95" t="s">
        <v>49</v>
      </c>
      <c r="D457" s="96"/>
      <c r="E457" s="97"/>
      <c r="F457" s="98" t="s">
        <v>43</v>
      </c>
      <c r="G457" s="99" t="s">
        <v>53</v>
      </c>
      <c r="H457" s="93" t="s">
        <v>2051</v>
      </c>
      <c r="I457" s="95"/>
      <c r="J457" s="93" t="s">
        <v>51</v>
      </c>
      <c r="K457" s="93">
        <v>6.0</v>
      </c>
      <c r="L457" s="101"/>
      <c r="M457" s="102"/>
      <c r="N457" s="103" t="s">
        <v>60</v>
      </c>
      <c r="O457" s="102"/>
      <c r="P457" s="102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77">
        <f t="shared" si="1"/>
        <v>453</v>
      </c>
      <c r="B458" s="78" t="s">
        <v>1413</v>
      </c>
      <c r="C458" s="82" t="s">
        <v>49</v>
      </c>
      <c r="D458" s="83"/>
      <c r="E458" s="84"/>
      <c r="F458" s="85" t="s">
        <v>43</v>
      </c>
      <c r="G458" s="86" t="s">
        <v>53</v>
      </c>
      <c r="H458" s="87" t="s">
        <v>2054</v>
      </c>
      <c r="I458" s="82"/>
      <c r="J458" s="87" t="s">
        <v>55</v>
      </c>
      <c r="K458" s="87">
        <v>5.0</v>
      </c>
      <c r="L458" s="89"/>
      <c r="M458" s="77"/>
      <c r="N458" s="91" t="s">
        <v>60</v>
      </c>
      <c r="O458" s="77"/>
      <c r="P458" s="77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102">
        <f t="shared" si="1"/>
        <v>454</v>
      </c>
      <c r="B459" s="94" t="s">
        <v>2055</v>
      </c>
      <c r="C459" s="95" t="s">
        <v>49</v>
      </c>
      <c r="D459" s="96"/>
      <c r="E459" s="97"/>
      <c r="F459" s="98" t="s">
        <v>60</v>
      </c>
      <c r="G459" s="99" t="s">
        <v>53</v>
      </c>
      <c r="H459" s="93" t="s">
        <v>2058</v>
      </c>
      <c r="I459" s="95"/>
      <c r="J459" s="93" t="s">
        <v>99</v>
      </c>
      <c r="K459" s="93">
        <v>31.0</v>
      </c>
      <c r="L459" s="101"/>
      <c r="M459" s="102"/>
      <c r="N459" s="103" t="s">
        <v>43</v>
      </c>
      <c r="O459" s="102"/>
      <c r="P459" s="102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77">
        <f t="shared" si="1"/>
        <v>455</v>
      </c>
      <c r="B460" s="78" t="s">
        <v>2062</v>
      </c>
      <c r="C460" s="82" t="s">
        <v>49</v>
      </c>
      <c r="D460" s="83"/>
      <c r="E460" s="84"/>
      <c r="F460" s="85" t="s">
        <v>43</v>
      </c>
      <c r="G460" s="86" t="s">
        <v>87</v>
      </c>
      <c r="H460" s="87" t="s">
        <v>2066</v>
      </c>
      <c r="I460" s="82" t="s">
        <v>69</v>
      </c>
      <c r="J460" s="87" t="s">
        <v>96</v>
      </c>
      <c r="K460" s="87">
        <v>25.0</v>
      </c>
      <c r="L460" s="89"/>
      <c r="M460" s="77"/>
      <c r="N460" s="91" t="s">
        <v>43</v>
      </c>
      <c r="O460" s="77"/>
      <c r="P460" s="77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102">
        <f t="shared" si="1"/>
        <v>456</v>
      </c>
      <c r="B461" s="94" t="s">
        <v>1260</v>
      </c>
      <c r="C461" s="95" t="s">
        <v>49</v>
      </c>
      <c r="D461" s="96"/>
      <c r="E461" s="97"/>
      <c r="F461" s="98" t="s">
        <v>43</v>
      </c>
      <c r="G461" s="99" t="s">
        <v>53</v>
      </c>
      <c r="H461" s="103" t="s">
        <v>2072</v>
      </c>
      <c r="I461" s="95"/>
      <c r="J461" s="93" t="s">
        <v>68</v>
      </c>
      <c r="K461" s="93">
        <v>32.0</v>
      </c>
      <c r="L461" s="101"/>
      <c r="M461" s="102"/>
      <c r="N461" s="103" t="s">
        <v>43</v>
      </c>
      <c r="O461" s="102"/>
      <c r="P461" s="102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77">
        <f t="shared" si="1"/>
        <v>457</v>
      </c>
      <c r="B462" s="78" t="s">
        <v>2074</v>
      </c>
      <c r="C462" s="82" t="s">
        <v>49</v>
      </c>
      <c r="D462" s="83"/>
      <c r="E462" s="84"/>
      <c r="F462" s="85" t="s">
        <v>43</v>
      </c>
      <c r="G462" s="86" t="s">
        <v>53</v>
      </c>
      <c r="H462" s="87" t="s">
        <v>2075</v>
      </c>
      <c r="I462" s="82"/>
      <c r="J462" s="87" t="s">
        <v>99</v>
      </c>
      <c r="K462" s="87">
        <v>7.0</v>
      </c>
      <c r="L462" s="89"/>
      <c r="M462" s="77"/>
      <c r="N462" s="91" t="s">
        <v>43</v>
      </c>
      <c r="O462" s="77"/>
      <c r="P462" s="77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102">
        <f t="shared" si="1"/>
        <v>458</v>
      </c>
      <c r="B463" s="94" t="s">
        <v>667</v>
      </c>
      <c r="C463" s="95" t="s">
        <v>49</v>
      </c>
      <c r="D463" s="96"/>
      <c r="E463" s="112"/>
      <c r="F463" s="98" t="s">
        <v>60</v>
      </c>
      <c r="G463" s="99" t="s">
        <v>53</v>
      </c>
      <c r="H463" s="93" t="s">
        <v>2079</v>
      </c>
      <c r="I463" s="95"/>
      <c r="J463" s="93" t="s">
        <v>174</v>
      </c>
      <c r="K463" s="93" t="s">
        <v>391</v>
      </c>
      <c r="L463" s="101"/>
      <c r="M463" s="102"/>
      <c r="N463" s="103" t="s">
        <v>43</v>
      </c>
      <c r="O463" s="102"/>
      <c r="P463" s="102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77">
        <f t="shared" si="1"/>
        <v>459</v>
      </c>
      <c r="B464" s="78" t="s">
        <v>402</v>
      </c>
      <c r="C464" s="82" t="s">
        <v>49</v>
      </c>
      <c r="D464" s="83"/>
      <c r="E464" s="84"/>
      <c r="F464" s="85" t="s">
        <v>43</v>
      </c>
      <c r="G464" s="86" t="s">
        <v>53</v>
      </c>
      <c r="H464" s="77"/>
      <c r="I464" s="82"/>
      <c r="J464" s="87" t="s">
        <v>174</v>
      </c>
      <c r="K464" s="87">
        <v>1.0</v>
      </c>
      <c r="L464" s="89"/>
      <c r="M464" s="77"/>
      <c r="N464" s="77"/>
      <c r="O464" s="77"/>
      <c r="P464" s="77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102">
        <f t="shared" si="1"/>
        <v>460</v>
      </c>
      <c r="B465" s="94" t="s">
        <v>2083</v>
      </c>
      <c r="C465" s="107" t="s">
        <v>5</v>
      </c>
      <c r="D465" s="96"/>
      <c r="E465" s="97"/>
      <c r="F465" s="98" t="s">
        <v>43</v>
      </c>
      <c r="G465" s="99" t="s">
        <v>87</v>
      </c>
      <c r="H465" s="93" t="s">
        <v>2086</v>
      </c>
      <c r="I465" s="107" t="s">
        <v>5</v>
      </c>
      <c r="J465" s="93" t="s">
        <v>89</v>
      </c>
      <c r="K465" s="93">
        <v>24.0</v>
      </c>
      <c r="L465" s="101"/>
      <c r="M465" s="102"/>
      <c r="N465" s="103" t="s">
        <v>43</v>
      </c>
      <c r="O465" s="102"/>
      <c r="P465" s="102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77">
        <f t="shared" si="1"/>
        <v>461</v>
      </c>
      <c r="B466" s="78" t="s">
        <v>2088</v>
      </c>
      <c r="C466" s="82" t="s">
        <v>72</v>
      </c>
      <c r="D466" s="83"/>
      <c r="E466" s="84"/>
      <c r="F466" s="85" t="s">
        <v>43</v>
      </c>
      <c r="G466" s="86" t="s">
        <v>87</v>
      </c>
      <c r="H466" s="87"/>
      <c r="I466" s="111"/>
      <c r="J466" s="87" t="s">
        <v>68</v>
      </c>
      <c r="K466" s="87">
        <v>24.0</v>
      </c>
      <c r="L466" s="89"/>
      <c r="M466" s="77"/>
      <c r="N466" s="77"/>
      <c r="O466" s="87"/>
      <c r="P466" s="77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102">
        <f t="shared" si="1"/>
        <v>462</v>
      </c>
      <c r="B467" s="94" t="s">
        <v>1150</v>
      </c>
      <c r="C467" s="95" t="s">
        <v>49</v>
      </c>
      <c r="D467" s="96"/>
      <c r="E467" s="97"/>
      <c r="F467" s="98" t="s">
        <v>43</v>
      </c>
      <c r="G467" s="99" t="s">
        <v>53</v>
      </c>
      <c r="H467" s="93" t="s">
        <v>2094</v>
      </c>
      <c r="I467" s="95"/>
      <c r="J467" s="93" t="s">
        <v>68</v>
      </c>
      <c r="K467" s="93">
        <v>27.0</v>
      </c>
      <c r="L467" s="101"/>
      <c r="M467" s="102"/>
      <c r="N467" s="103" t="s">
        <v>43</v>
      </c>
      <c r="O467" s="102"/>
      <c r="P467" s="102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77">
        <f t="shared" si="1"/>
        <v>463</v>
      </c>
      <c r="B468" s="78" t="s">
        <v>924</v>
      </c>
      <c r="C468" s="82" t="s">
        <v>49</v>
      </c>
      <c r="D468" s="83"/>
      <c r="E468" s="84"/>
      <c r="F468" s="85" t="s">
        <v>43</v>
      </c>
      <c r="G468" s="86" t="s">
        <v>53</v>
      </c>
      <c r="H468" s="87" t="s">
        <v>2097</v>
      </c>
      <c r="I468" s="82"/>
      <c r="J468" s="87" t="s">
        <v>68</v>
      </c>
      <c r="K468" s="87">
        <v>12.0</v>
      </c>
      <c r="L468" s="89"/>
      <c r="M468" s="77"/>
      <c r="N468" s="91" t="s">
        <v>43</v>
      </c>
      <c r="O468" s="77"/>
      <c r="P468" s="77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102">
        <f t="shared" si="1"/>
        <v>464</v>
      </c>
      <c r="B469" s="94" t="s">
        <v>2101</v>
      </c>
      <c r="C469" s="95" t="s">
        <v>5</v>
      </c>
      <c r="D469" s="96"/>
      <c r="E469" s="97"/>
      <c r="F469" s="109" t="s">
        <v>43</v>
      </c>
      <c r="G469" s="99" t="s">
        <v>87</v>
      </c>
      <c r="H469" s="102"/>
      <c r="I469" s="95"/>
      <c r="J469" s="93" t="s">
        <v>47</v>
      </c>
      <c r="K469" s="102"/>
      <c r="L469" s="101"/>
      <c r="M469" s="102"/>
      <c r="N469" s="102"/>
      <c r="O469" s="102"/>
      <c r="P469" s="102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77">
        <f t="shared" si="1"/>
        <v>465</v>
      </c>
      <c r="B470" s="78" t="s">
        <v>2103</v>
      </c>
      <c r="C470" s="82" t="s">
        <v>5</v>
      </c>
      <c r="D470" s="83"/>
      <c r="E470" s="84"/>
      <c r="F470" s="114" t="s">
        <v>43</v>
      </c>
      <c r="G470" s="86" t="s">
        <v>87</v>
      </c>
      <c r="H470" s="77"/>
      <c r="I470" s="82"/>
      <c r="J470" s="87" t="s">
        <v>174</v>
      </c>
      <c r="K470" s="77"/>
      <c r="L470" s="89"/>
      <c r="M470" s="77"/>
      <c r="N470" s="77"/>
      <c r="O470" s="77"/>
      <c r="P470" s="77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102">
        <f t="shared" si="1"/>
        <v>466</v>
      </c>
      <c r="B471" s="94" t="s">
        <v>1975</v>
      </c>
      <c r="C471" s="95" t="s">
        <v>49</v>
      </c>
      <c r="D471" s="96"/>
      <c r="E471" s="97"/>
      <c r="F471" s="98" t="s">
        <v>43</v>
      </c>
      <c r="G471" s="99" t="s">
        <v>53</v>
      </c>
      <c r="H471" s="102"/>
      <c r="I471" s="95"/>
      <c r="J471" s="93" t="s">
        <v>51</v>
      </c>
      <c r="K471" s="93">
        <v>1.0</v>
      </c>
      <c r="L471" s="101"/>
      <c r="M471" s="102"/>
      <c r="N471" s="102"/>
      <c r="O471" s="102"/>
      <c r="P471" s="102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77">
        <f t="shared" si="1"/>
        <v>467</v>
      </c>
      <c r="B472" s="78" t="s">
        <v>2108</v>
      </c>
      <c r="C472" s="82" t="s">
        <v>5</v>
      </c>
      <c r="D472" s="83"/>
      <c r="E472" s="84"/>
      <c r="F472" s="85" t="s">
        <v>43</v>
      </c>
      <c r="G472" s="86" t="s">
        <v>87</v>
      </c>
      <c r="H472" s="87" t="s">
        <v>2109</v>
      </c>
      <c r="I472" s="82" t="s">
        <v>5</v>
      </c>
      <c r="J472" s="87" t="s">
        <v>96</v>
      </c>
      <c r="K472" s="87">
        <v>10.0</v>
      </c>
      <c r="L472" s="89"/>
      <c r="M472" s="77"/>
      <c r="N472" s="91" t="s">
        <v>43</v>
      </c>
      <c r="O472" s="77"/>
      <c r="P472" s="77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102">
        <f t="shared" si="1"/>
        <v>468</v>
      </c>
      <c r="B473" s="94" t="s">
        <v>1498</v>
      </c>
      <c r="C473" s="95" t="s">
        <v>49</v>
      </c>
      <c r="D473" s="96"/>
      <c r="E473" s="97"/>
      <c r="F473" s="98" t="s">
        <v>43</v>
      </c>
      <c r="G473" s="99" t="s">
        <v>53</v>
      </c>
      <c r="H473" s="93" t="s">
        <v>2113</v>
      </c>
      <c r="I473" s="95"/>
      <c r="J473" s="93" t="s">
        <v>55</v>
      </c>
      <c r="K473" s="93">
        <v>11.0</v>
      </c>
      <c r="L473" s="101"/>
      <c r="M473" s="102"/>
      <c r="N473" s="103" t="s">
        <v>43</v>
      </c>
      <c r="O473" s="102"/>
      <c r="P473" s="102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77">
        <f t="shared" si="1"/>
        <v>469</v>
      </c>
      <c r="B474" s="78" t="s">
        <v>2115</v>
      </c>
      <c r="C474" s="82" t="s">
        <v>5</v>
      </c>
      <c r="D474" s="83"/>
      <c r="E474" s="84"/>
      <c r="F474" s="85" t="s">
        <v>43</v>
      </c>
      <c r="G474" s="86" t="s">
        <v>87</v>
      </c>
      <c r="H474" s="77"/>
      <c r="I474" s="82"/>
      <c r="J474" s="87" t="s">
        <v>47</v>
      </c>
      <c r="K474" s="87">
        <v>28.0</v>
      </c>
      <c r="L474" s="89"/>
      <c r="M474" s="77"/>
      <c r="N474" s="77"/>
      <c r="O474" s="77"/>
      <c r="P474" s="77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102">
        <f t="shared" si="1"/>
        <v>470</v>
      </c>
      <c r="B475" s="94" t="s">
        <v>2119</v>
      </c>
      <c r="C475" s="95" t="s">
        <v>5</v>
      </c>
      <c r="D475" s="96"/>
      <c r="E475" s="97"/>
      <c r="F475" s="98" t="s">
        <v>43</v>
      </c>
      <c r="G475" s="99" t="s">
        <v>87</v>
      </c>
      <c r="H475" s="102"/>
      <c r="I475" s="95"/>
      <c r="J475" s="93" t="s">
        <v>99</v>
      </c>
      <c r="K475" s="93">
        <v>36.0</v>
      </c>
      <c r="L475" s="101"/>
      <c r="M475" s="102"/>
      <c r="N475" s="102"/>
      <c r="O475" s="102"/>
      <c r="P475" s="102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77">
        <f t="shared" si="1"/>
        <v>471</v>
      </c>
      <c r="B476" s="78" t="s">
        <v>1886</v>
      </c>
      <c r="C476" s="82" t="s">
        <v>5</v>
      </c>
      <c r="D476" s="83"/>
      <c r="E476" s="84"/>
      <c r="F476" s="85" t="s">
        <v>43</v>
      </c>
      <c r="G476" s="86" t="s">
        <v>87</v>
      </c>
      <c r="H476" s="87" t="s">
        <v>2125</v>
      </c>
      <c r="I476" s="111" t="s">
        <v>5</v>
      </c>
      <c r="J476" s="87" t="s">
        <v>51</v>
      </c>
      <c r="K476" s="87">
        <v>8.0</v>
      </c>
      <c r="L476" s="89"/>
      <c r="M476" s="77"/>
      <c r="N476" s="91" t="s">
        <v>43</v>
      </c>
      <c r="O476" s="87">
        <v>2.0</v>
      </c>
      <c r="P476" s="77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102">
        <f t="shared" si="1"/>
        <v>472</v>
      </c>
      <c r="B477" s="94" t="s">
        <v>1638</v>
      </c>
      <c r="C477" s="95" t="s">
        <v>49</v>
      </c>
      <c r="D477" s="96"/>
      <c r="E477" s="97"/>
      <c r="F477" s="98" t="s">
        <v>60</v>
      </c>
      <c r="G477" s="99" t="s">
        <v>49</v>
      </c>
      <c r="H477" s="102"/>
      <c r="I477" s="95"/>
      <c r="J477" s="93" t="s">
        <v>55</v>
      </c>
      <c r="K477" s="93">
        <v>23.0</v>
      </c>
      <c r="L477" s="101"/>
      <c r="M477" s="102"/>
      <c r="N477" s="102"/>
      <c r="O477" s="102"/>
      <c r="P477" s="102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77">
        <f t="shared" si="1"/>
        <v>473</v>
      </c>
      <c r="B478" s="78" t="s">
        <v>2130</v>
      </c>
      <c r="C478" s="82" t="s">
        <v>49</v>
      </c>
      <c r="D478" s="83"/>
      <c r="E478" s="84"/>
      <c r="F478" s="114" t="s">
        <v>43</v>
      </c>
      <c r="G478" s="86" t="s">
        <v>53</v>
      </c>
      <c r="H478" s="77"/>
      <c r="I478" s="82"/>
      <c r="J478" s="87" t="s">
        <v>68</v>
      </c>
      <c r="K478" s="77"/>
      <c r="L478" s="89"/>
      <c r="M478" s="77"/>
      <c r="N478" s="77"/>
      <c r="O478" s="77"/>
      <c r="P478" s="77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102">
        <f t="shared" si="1"/>
        <v>474</v>
      </c>
      <c r="B479" s="94" t="s">
        <v>631</v>
      </c>
      <c r="C479" s="95" t="s">
        <v>88</v>
      </c>
      <c r="D479" s="96"/>
      <c r="E479" s="97"/>
      <c r="F479" s="98" t="s">
        <v>203</v>
      </c>
      <c r="G479" s="99" t="s">
        <v>49</v>
      </c>
      <c r="H479" s="102"/>
      <c r="I479" s="95"/>
      <c r="J479" s="93" t="s">
        <v>174</v>
      </c>
      <c r="K479" s="93">
        <v>27.0</v>
      </c>
      <c r="L479" s="101"/>
      <c r="M479" s="102"/>
      <c r="N479" s="102"/>
      <c r="O479" s="102"/>
      <c r="P479" s="102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77">
        <f t="shared" si="1"/>
        <v>475</v>
      </c>
      <c r="B480" s="78" t="s">
        <v>2134</v>
      </c>
      <c r="C480" s="82" t="s">
        <v>172</v>
      </c>
      <c r="D480" s="83"/>
      <c r="E480" s="84"/>
      <c r="F480" s="85" t="s">
        <v>60</v>
      </c>
      <c r="G480" s="86" t="s">
        <v>53</v>
      </c>
      <c r="H480" s="87" t="s">
        <v>2136</v>
      </c>
      <c r="I480" s="82"/>
      <c r="J480" s="87" t="s">
        <v>89</v>
      </c>
      <c r="K480" s="87">
        <v>31.0</v>
      </c>
      <c r="L480" s="89"/>
      <c r="M480" s="77"/>
      <c r="N480" s="91" t="s">
        <v>43</v>
      </c>
      <c r="O480" s="77"/>
      <c r="P480" s="77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102">
        <f t="shared" si="1"/>
        <v>476</v>
      </c>
      <c r="B481" s="94" t="s">
        <v>2139</v>
      </c>
      <c r="C481" s="95" t="s">
        <v>5</v>
      </c>
      <c r="D481" s="96"/>
      <c r="E481" s="97"/>
      <c r="F481" s="98" t="s">
        <v>43</v>
      </c>
      <c r="G481" s="99" t="s">
        <v>87</v>
      </c>
      <c r="H481" s="102"/>
      <c r="I481" s="95"/>
      <c r="J481" s="93" t="s">
        <v>96</v>
      </c>
      <c r="K481" s="93">
        <v>18.0</v>
      </c>
      <c r="L481" s="101"/>
      <c r="M481" s="102"/>
      <c r="N481" s="102"/>
      <c r="O481" s="102"/>
      <c r="P481" s="102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77">
        <f t="shared" si="1"/>
        <v>477</v>
      </c>
      <c r="B482" s="78" t="s">
        <v>727</v>
      </c>
      <c r="C482" s="82" t="s">
        <v>5</v>
      </c>
      <c r="D482" s="83"/>
      <c r="E482" s="84"/>
      <c r="F482" s="85" t="s">
        <v>43</v>
      </c>
      <c r="G482" s="86" t="s">
        <v>87</v>
      </c>
      <c r="H482" s="77"/>
      <c r="I482" s="82"/>
      <c r="J482" s="87" t="s">
        <v>68</v>
      </c>
      <c r="K482" s="87"/>
      <c r="L482" s="89"/>
      <c r="M482" s="77"/>
      <c r="N482" s="77"/>
      <c r="O482" s="87"/>
      <c r="P482" s="77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102">
        <f t="shared" si="1"/>
        <v>478</v>
      </c>
      <c r="B483" s="94" t="s">
        <v>2143</v>
      </c>
      <c r="C483" s="95" t="s">
        <v>5</v>
      </c>
      <c r="D483" s="96"/>
      <c r="E483" s="97"/>
      <c r="F483" s="98" t="s">
        <v>60</v>
      </c>
      <c r="G483" s="99" t="s">
        <v>49</v>
      </c>
      <c r="H483" s="102"/>
      <c r="I483" s="95"/>
      <c r="J483" s="93" t="s">
        <v>89</v>
      </c>
      <c r="K483" s="93">
        <v>25.0</v>
      </c>
      <c r="L483" s="101"/>
      <c r="M483" s="102"/>
      <c r="N483" s="102"/>
      <c r="O483" s="93"/>
      <c r="P483" s="102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77">
        <f t="shared" si="1"/>
        <v>479</v>
      </c>
      <c r="B484" s="78" t="s">
        <v>346</v>
      </c>
      <c r="C484" s="82" t="s">
        <v>5</v>
      </c>
      <c r="D484" s="83"/>
      <c r="E484" s="84"/>
      <c r="F484" s="85" t="s">
        <v>43</v>
      </c>
      <c r="G484" s="86" t="s">
        <v>87</v>
      </c>
      <c r="H484" s="77"/>
      <c r="I484" s="82"/>
      <c r="J484" s="87" t="s">
        <v>47</v>
      </c>
      <c r="K484" s="87">
        <v>29.0</v>
      </c>
      <c r="L484" s="89"/>
      <c r="M484" s="77"/>
      <c r="N484" s="77"/>
      <c r="O484" s="77"/>
      <c r="P484" s="77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102">
        <f t="shared" si="1"/>
        <v>480</v>
      </c>
      <c r="B485" s="94" t="s">
        <v>2147</v>
      </c>
      <c r="C485" s="95" t="s">
        <v>49</v>
      </c>
      <c r="D485" s="96"/>
      <c r="E485" s="97"/>
      <c r="F485" s="98" t="s">
        <v>43</v>
      </c>
      <c r="G485" s="99" t="s">
        <v>53</v>
      </c>
      <c r="H485" s="93" t="s">
        <v>2148</v>
      </c>
      <c r="I485" s="95"/>
      <c r="J485" s="93" t="s">
        <v>96</v>
      </c>
      <c r="K485" s="93">
        <v>2.0</v>
      </c>
      <c r="L485" s="101"/>
      <c r="M485" s="102"/>
      <c r="N485" s="103" t="s">
        <v>43</v>
      </c>
      <c r="O485" s="102"/>
      <c r="P485" s="102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77">
        <f t="shared" si="1"/>
        <v>481</v>
      </c>
      <c r="B486" s="78" t="s">
        <v>1030</v>
      </c>
      <c r="C486" s="82" t="s">
        <v>49</v>
      </c>
      <c r="D486" s="83"/>
      <c r="E486" s="84"/>
      <c r="F486" s="85" t="s">
        <v>43</v>
      </c>
      <c r="G486" s="86" t="s">
        <v>53</v>
      </c>
      <c r="H486" s="77"/>
      <c r="I486" s="82"/>
      <c r="J486" s="87" t="s">
        <v>68</v>
      </c>
      <c r="K486" s="87">
        <v>20.0</v>
      </c>
      <c r="L486" s="89"/>
      <c r="M486" s="77"/>
      <c r="N486" s="77"/>
      <c r="O486" s="77"/>
      <c r="P486" s="77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102">
        <f t="shared" si="1"/>
        <v>482</v>
      </c>
      <c r="B487" s="94" t="s">
        <v>1254</v>
      </c>
      <c r="C487" s="95" t="s">
        <v>49</v>
      </c>
      <c r="D487" s="96"/>
      <c r="E487" s="97"/>
      <c r="F487" s="98" t="s">
        <v>60</v>
      </c>
      <c r="G487" s="99" t="s">
        <v>53</v>
      </c>
      <c r="H487" s="93" t="s">
        <v>2157</v>
      </c>
      <c r="I487" s="95"/>
      <c r="J487" s="93" t="s">
        <v>68</v>
      </c>
      <c r="K487" s="93">
        <v>31.0</v>
      </c>
      <c r="L487" s="101"/>
      <c r="M487" s="102"/>
      <c r="N487" s="103" t="s">
        <v>43</v>
      </c>
      <c r="O487" s="102"/>
      <c r="P487" s="102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77">
        <f t="shared" si="1"/>
        <v>483</v>
      </c>
      <c r="B488" s="78" t="s">
        <v>432</v>
      </c>
      <c r="C488" s="82" t="s">
        <v>5</v>
      </c>
      <c r="D488" s="83"/>
      <c r="E488" s="84"/>
      <c r="F488" s="85" t="s">
        <v>43</v>
      </c>
      <c r="G488" s="86" t="s">
        <v>87</v>
      </c>
      <c r="H488" s="77"/>
      <c r="I488" s="82"/>
      <c r="J488" s="87" t="s">
        <v>174</v>
      </c>
      <c r="K488" s="87">
        <v>2.0</v>
      </c>
      <c r="L488" s="89"/>
      <c r="M488" s="77"/>
      <c r="N488" s="77"/>
      <c r="O488" s="77"/>
      <c r="P488" s="77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102">
        <f t="shared" si="1"/>
        <v>484</v>
      </c>
      <c r="B489" s="94" t="s">
        <v>1245</v>
      </c>
      <c r="C489" s="95" t="s">
        <v>5</v>
      </c>
      <c r="D489" s="96"/>
      <c r="E489" s="97"/>
      <c r="F489" s="98" t="s">
        <v>43</v>
      </c>
      <c r="G489" s="99" t="s">
        <v>87</v>
      </c>
      <c r="H489" s="102"/>
      <c r="I489" s="95"/>
      <c r="J489" s="93" t="s">
        <v>68</v>
      </c>
      <c r="K489" s="93">
        <v>31.0</v>
      </c>
      <c r="L489" s="101"/>
      <c r="M489" s="102"/>
      <c r="N489" s="102"/>
      <c r="O489" s="102"/>
      <c r="P489" s="102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77">
        <f t="shared" si="1"/>
        <v>485</v>
      </c>
      <c r="B490" s="78" t="s">
        <v>2165</v>
      </c>
      <c r="C490" s="111" t="s">
        <v>5</v>
      </c>
      <c r="D490" s="83"/>
      <c r="E490" s="84"/>
      <c r="F490" s="85" t="s">
        <v>43</v>
      </c>
      <c r="G490" s="86" t="s">
        <v>87</v>
      </c>
      <c r="H490" s="87" t="s">
        <v>2167</v>
      </c>
      <c r="I490" s="111" t="s">
        <v>5</v>
      </c>
      <c r="J490" s="87" t="s">
        <v>96</v>
      </c>
      <c r="K490" s="87">
        <v>21.0</v>
      </c>
      <c r="L490" s="89"/>
      <c r="M490" s="77"/>
      <c r="N490" s="91" t="s">
        <v>43</v>
      </c>
      <c r="O490" s="77"/>
      <c r="P490" s="77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102">
        <f t="shared" si="1"/>
        <v>486</v>
      </c>
      <c r="B491" s="94" t="s">
        <v>2169</v>
      </c>
      <c r="C491" s="95" t="s">
        <v>49</v>
      </c>
      <c r="D491" s="96"/>
      <c r="E491" s="97"/>
      <c r="F491" s="98" t="s">
        <v>60</v>
      </c>
      <c r="G491" s="99" t="s">
        <v>53</v>
      </c>
      <c r="H491" s="93" t="s">
        <v>2172</v>
      </c>
      <c r="I491" s="95"/>
      <c r="J491" s="93" t="s">
        <v>99</v>
      </c>
      <c r="K491" s="93">
        <v>7.0</v>
      </c>
      <c r="L491" s="101"/>
      <c r="M491" s="102"/>
      <c r="N491" s="103" t="s">
        <v>43</v>
      </c>
      <c r="O491" s="102"/>
      <c r="P491" s="102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77">
        <f t="shared" si="1"/>
        <v>487</v>
      </c>
      <c r="B492" s="78" t="s">
        <v>2175</v>
      </c>
      <c r="C492" s="82" t="s">
        <v>5</v>
      </c>
      <c r="D492" s="83"/>
      <c r="E492" s="84"/>
      <c r="F492" s="85" t="s">
        <v>43</v>
      </c>
      <c r="G492" s="86" t="s">
        <v>87</v>
      </c>
      <c r="H492" s="77"/>
      <c r="I492" s="82"/>
      <c r="J492" s="87" t="s">
        <v>96</v>
      </c>
      <c r="K492" s="87">
        <v>24.0</v>
      </c>
      <c r="L492" s="89"/>
      <c r="M492" s="77"/>
      <c r="N492" s="77"/>
      <c r="O492" s="77"/>
      <c r="P492" s="77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102">
        <f t="shared" si="1"/>
        <v>488</v>
      </c>
      <c r="B493" s="94" t="s">
        <v>1126</v>
      </c>
      <c r="C493" s="107" t="s">
        <v>5</v>
      </c>
      <c r="D493" s="96"/>
      <c r="E493" s="97"/>
      <c r="F493" s="98" t="s">
        <v>43</v>
      </c>
      <c r="G493" s="99" t="s">
        <v>87</v>
      </c>
      <c r="H493" s="93" t="s">
        <v>2179</v>
      </c>
      <c r="I493" s="107" t="s">
        <v>5</v>
      </c>
      <c r="J493" s="93" t="s">
        <v>68</v>
      </c>
      <c r="K493" s="93">
        <v>27.0</v>
      </c>
      <c r="L493" s="101"/>
      <c r="M493" s="102"/>
      <c r="N493" s="103" t="s">
        <v>43</v>
      </c>
      <c r="O493" s="93">
        <v>2.0</v>
      </c>
      <c r="P493" s="102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77">
        <f t="shared" si="1"/>
        <v>489</v>
      </c>
      <c r="B494" s="78" t="s">
        <v>2181</v>
      </c>
      <c r="C494" s="82" t="s">
        <v>5</v>
      </c>
      <c r="D494" s="83"/>
      <c r="E494" s="84"/>
      <c r="F494" s="85" t="s">
        <v>43</v>
      </c>
      <c r="G494" s="86" t="s">
        <v>87</v>
      </c>
      <c r="H494" s="77"/>
      <c r="I494" s="82"/>
      <c r="J494" s="87" t="s">
        <v>96</v>
      </c>
      <c r="K494" s="87">
        <v>20.0</v>
      </c>
      <c r="L494" s="89"/>
      <c r="M494" s="77"/>
      <c r="N494" s="77"/>
      <c r="O494" s="77"/>
      <c r="P494" s="77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102">
        <f t="shared" si="1"/>
        <v>490</v>
      </c>
      <c r="B495" s="94" t="s">
        <v>2184</v>
      </c>
      <c r="C495" s="95" t="s">
        <v>172</v>
      </c>
      <c r="D495" s="96"/>
      <c r="E495" s="97"/>
      <c r="F495" s="98" t="s">
        <v>43</v>
      </c>
      <c r="G495" s="99" t="s">
        <v>53</v>
      </c>
      <c r="H495" s="102"/>
      <c r="I495" s="95"/>
      <c r="J495" s="93" t="s">
        <v>89</v>
      </c>
      <c r="K495" s="93">
        <v>33.0</v>
      </c>
      <c r="L495" s="101"/>
      <c r="M495" s="102"/>
      <c r="N495" s="102"/>
      <c r="O495" s="102"/>
      <c r="P495" s="102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77">
        <f t="shared" si="1"/>
        <v>491</v>
      </c>
      <c r="B496" s="78" t="s">
        <v>2187</v>
      </c>
      <c r="C496" s="82" t="s">
        <v>72</v>
      </c>
      <c r="D496" s="83"/>
      <c r="E496" s="84"/>
      <c r="F496" s="85" t="s">
        <v>43</v>
      </c>
      <c r="G496" s="86" t="s">
        <v>87</v>
      </c>
      <c r="H496" s="77"/>
      <c r="I496" s="82"/>
      <c r="J496" s="87" t="s">
        <v>96</v>
      </c>
      <c r="K496" s="87">
        <v>31.0</v>
      </c>
      <c r="L496" s="89"/>
      <c r="M496" s="77"/>
      <c r="N496" s="77"/>
      <c r="O496" s="77"/>
      <c r="P496" s="77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102">
        <f t="shared" si="1"/>
        <v>492</v>
      </c>
      <c r="B497" s="94" t="s">
        <v>934</v>
      </c>
      <c r="C497" s="95" t="s">
        <v>5</v>
      </c>
      <c r="D497" s="96"/>
      <c r="E497" s="97"/>
      <c r="F497" s="98" t="s">
        <v>43</v>
      </c>
      <c r="G497" s="99" t="s">
        <v>87</v>
      </c>
      <c r="H497" s="102"/>
      <c r="I497" s="95"/>
      <c r="J497" s="93" t="s">
        <v>68</v>
      </c>
      <c r="K497" s="93">
        <v>13.0</v>
      </c>
      <c r="L497" s="101"/>
      <c r="M497" s="102"/>
      <c r="N497" s="102"/>
      <c r="O497" s="102"/>
      <c r="P497" s="102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77">
        <f t="shared" si="1"/>
        <v>493</v>
      </c>
      <c r="B498" s="78" t="s">
        <v>2195</v>
      </c>
      <c r="C498" s="82" t="s">
        <v>49</v>
      </c>
      <c r="D498" s="83"/>
      <c r="E498" s="84"/>
      <c r="F498" s="85" t="s">
        <v>43</v>
      </c>
      <c r="G498" s="86" t="s">
        <v>53</v>
      </c>
      <c r="H498" s="77"/>
      <c r="I498" s="82"/>
      <c r="J498" s="87" t="s">
        <v>96</v>
      </c>
      <c r="K498" s="87">
        <v>31.0</v>
      </c>
      <c r="L498" s="89"/>
      <c r="M498" s="77"/>
      <c r="N498" s="77"/>
      <c r="O498" s="77"/>
      <c r="P498" s="77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102">
        <f t="shared" si="1"/>
        <v>494</v>
      </c>
      <c r="B499" s="94" t="s">
        <v>2198</v>
      </c>
      <c r="C499" s="95" t="s">
        <v>9</v>
      </c>
      <c r="D499" s="96"/>
      <c r="E499" s="97"/>
      <c r="F499" s="98" t="s">
        <v>43</v>
      </c>
      <c r="G499" s="99" t="s">
        <v>87</v>
      </c>
      <c r="H499" s="102"/>
      <c r="I499" s="95"/>
      <c r="J499" s="93" t="s">
        <v>96</v>
      </c>
      <c r="K499" s="93">
        <v>13.0</v>
      </c>
      <c r="L499" s="101"/>
      <c r="M499" s="102"/>
      <c r="N499" s="102"/>
      <c r="O499" s="102"/>
      <c r="P499" s="102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77">
        <f t="shared" si="1"/>
        <v>495</v>
      </c>
      <c r="B500" s="78" t="s">
        <v>2203</v>
      </c>
      <c r="C500" s="82" t="s">
        <v>5</v>
      </c>
      <c r="D500" s="83"/>
      <c r="E500" s="84"/>
      <c r="F500" s="85" t="s">
        <v>43</v>
      </c>
      <c r="G500" s="86" t="s">
        <v>87</v>
      </c>
      <c r="H500" s="77"/>
      <c r="I500" s="82"/>
      <c r="J500" s="87" t="s">
        <v>96</v>
      </c>
      <c r="K500" s="87">
        <v>13.0</v>
      </c>
      <c r="L500" s="89"/>
      <c r="M500" s="77"/>
      <c r="N500" s="77"/>
      <c r="O500" s="77"/>
      <c r="P500" s="77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102">
        <f t="shared" si="1"/>
        <v>496</v>
      </c>
      <c r="B501" s="94" t="s">
        <v>2207</v>
      </c>
      <c r="C501" s="95" t="s">
        <v>5</v>
      </c>
      <c r="D501" s="96"/>
      <c r="E501" s="97"/>
      <c r="F501" s="98" t="s">
        <v>43</v>
      </c>
      <c r="G501" s="99" t="s">
        <v>87</v>
      </c>
      <c r="H501" s="102"/>
      <c r="I501" s="95"/>
      <c r="J501" s="93" t="s">
        <v>89</v>
      </c>
      <c r="K501" s="93">
        <v>31.0</v>
      </c>
      <c r="L501" s="101"/>
      <c r="M501" s="102"/>
      <c r="N501" s="102"/>
      <c r="O501" s="102"/>
      <c r="P501" s="102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77">
        <f t="shared" si="1"/>
        <v>497</v>
      </c>
      <c r="B502" s="78" t="s">
        <v>2210</v>
      </c>
      <c r="C502" s="82" t="s">
        <v>49</v>
      </c>
      <c r="D502" s="83"/>
      <c r="E502" s="84"/>
      <c r="F502" s="85" t="s">
        <v>60</v>
      </c>
      <c r="G502" s="86" t="s">
        <v>53</v>
      </c>
      <c r="H502" s="87" t="s">
        <v>2211</v>
      </c>
      <c r="I502" s="82"/>
      <c r="J502" s="87" t="s">
        <v>96</v>
      </c>
      <c r="K502" s="87">
        <v>20.0</v>
      </c>
      <c r="L502" s="89"/>
      <c r="M502" s="77"/>
      <c r="N502" s="91" t="s">
        <v>43</v>
      </c>
      <c r="O502" s="77"/>
      <c r="P502" s="77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102">
        <f t="shared" si="1"/>
        <v>498</v>
      </c>
      <c r="B503" s="94" t="s">
        <v>2214</v>
      </c>
      <c r="C503" s="95" t="s">
        <v>76</v>
      </c>
      <c r="D503" s="96"/>
      <c r="E503" s="97"/>
      <c r="F503" s="98" t="s">
        <v>43</v>
      </c>
      <c r="G503" s="99" t="s">
        <v>87</v>
      </c>
      <c r="H503" s="102"/>
      <c r="I503" s="95"/>
      <c r="J503" s="93" t="s">
        <v>96</v>
      </c>
      <c r="K503" s="93">
        <v>6.0</v>
      </c>
      <c r="L503" s="101"/>
      <c r="M503" s="102"/>
      <c r="N503" s="102"/>
      <c r="O503" s="102"/>
      <c r="P503" s="102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77">
        <f t="shared" si="1"/>
        <v>499</v>
      </c>
      <c r="B504" s="78" t="s">
        <v>1884</v>
      </c>
      <c r="C504" s="82" t="s">
        <v>49</v>
      </c>
      <c r="D504" s="83"/>
      <c r="E504" s="84"/>
      <c r="F504" s="85" t="s">
        <v>203</v>
      </c>
      <c r="G504" s="86" t="s">
        <v>53</v>
      </c>
      <c r="H504" s="87" t="s">
        <v>2219</v>
      </c>
      <c r="I504" s="82"/>
      <c r="J504" s="87" t="s">
        <v>51</v>
      </c>
      <c r="K504" s="87">
        <v>9.0</v>
      </c>
      <c r="L504" s="89"/>
      <c r="M504" s="77"/>
      <c r="N504" s="91" t="s">
        <v>43</v>
      </c>
      <c r="O504" s="77"/>
      <c r="P504" s="77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102">
        <f t="shared" si="1"/>
        <v>500</v>
      </c>
      <c r="B505" s="94" t="s">
        <v>2221</v>
      </c>
      <c r="C505" s="95" t="s">
        <v>5</v>
      </c>
      <c r="D505" s="96"/>
      <c r="E505" s="97"/>
      <c r="F505" s="98" t="s">
        <v>43</v>
      </c>
      <c r="G505" s="99" t="s">
        <v>87</v>
      </c>
      <c r="H505" s="102"/>
      <c r="I505" s="95"/>
      <c r="J505" s="93" t="s">
        <v>99</v>
      </c>
      <c r="K505" s="93" t="s">
        <v>2222</v>
      </c>
      <c r="L505" s="101"/>
      <c r="M505" s="102"/>
      <c r="N505" s="102"/>
      <c r="O505" s="102"/>
      <c r="P505" s="102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77">
        <f t="shared" si="1"/>
        <v>501</v>
      </c>
      <c r="B506" s="78" t="s">
        <v>2225</v>
      </c>
      <c r="C506" s="82" t="s">
        <v>5</v>
      </c>
      <c r="D506" s="83"/>
      <c r="E506" s="84"/>
      <c r="F506" s="85" t="s">
        <v>43</v>
      </c>
      <c r="G506" s="86" t="s">
        <v>87</v>
      </c>
      <c r="H506" s="87" t="s">
        <v>2228</v>
      </c>
      <c r="I506" s="82" t="s">
        <v>5</v>
      </c>
      <c r="J506" s="87" t="s">
        <v>99</v>
      </c>
      <c r="K506" s="87">
        <v>5.0</v>
      </c>
      <c r="L506" s="89"/>
      <c r="M506" s="77"/>
      <c r="N506" s="91" t="s">
        <v>43</v>
      </c>
      <c r="O506" s="77"/>
      <c r="P506" s="77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102">
        <f t="shared" si="1"/>
        <v>502</v>
      </c>
      <c r="B507" s="94" t="s">
        <v>2061</v>
      </c>
      <c r="C507" s="95" t="s">
        <v>49</v>
      </c>
      <c r="D507" s="96"/>
      <c r="E507" s="97"/>
      <c r="F507" s="98" t="s">
        <v>43</v>
      </c>
      <c r="G507" s="99" t="s">
        <v>87</v>
      </c>
      <c r="H507" s="93" t="s">
        <v>2230</v>
      </c>
      <c r="I507" s="95" t="s">
        <v>72</v>
      </c>
      <c r="J507" s="93" t="s">
        <v>89</v>
      </c>
      <c r="K507" s="93">
        <v>5.0</v>
      </c>
      <c r="L507" s="101"/>
      <c r="M507" s="102"/>
      <c r="N507" s="103" t="s">
        <v>43</v>
      </c>
      <c r="O507" s="102"/>
      <c r="P507" s="102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77">
        <f t="shared" si="1"/>
        <v>503</v>
      </c>
      <c r="B508" s="78" t="s">
        <v>2234</v>
      </c>
      <c r="C508" s="82" t="s">
        <v>9</v>
      </c>
      <c r="D508" s="83"/>
      <c r="E508" s="84"/>
      <c r="F508" s="114" t="s">
        <v>43</v>
      </c>
      <c r="G508" s="86" t="s">
        <v>87</v>
      </c>
      <c r="H508" s="77"/>
      <c r="I508" s="82"/>
      <c r="J508" s="87" t="s">
        <v>99</v>
      </c>
      <c r="K508" s="77"/>
      <c r="L508" s="89"/>
      <c r="M508" s="77"/>
      <c r="N508" s="77"/>
      <c r="O508" s="77"/>
      <c r="P508" s="77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102">
        <f t="shared" si="1"/>
        <v>504</v>
      </c>
      <c r="B509" s="94" t="s">
        <v>2237</v>
      </c>
      <c r="C509" s="95" t="s">
        <v>49</v>
      </c>
      <c r="D509" s="96"/>
      <c r="E509" s="97"/>
      <c r="F509" s="98" t="s">
        <v>43</v>
      </c>
      <c r="G509" s="99" t="s">
        <v>53</v>
      </c>
      <c r="H509" s="93" t="s">
        <v>2239</v>
      </c>
      <c r="I509" s="95"/>
      <c r="J509" s="93" t="s">
        <v>99</v>
      </c>
      <c r="K509" s="93">
        <v>38.0</v>
      </c>
      <c r="L509" s="101"/>
      <c r="M509" s="102"/>
      <c r="N509" s="103" t="s">
        <v>43</v>
      </c>
      <c r="O509" s="102"/>
      <c r="P509" s="102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77">
        <f t="shared" si="1"/>
        <v>505</v>
      </c>
      <c r="B510" s="78" t="s">
        <v>2240</v>
      </c>
      <c r="C510" s="82" t="s">
        <v>9</v>
      </c>
      <c r="D510" s="83"/>
      <c r="E510" s="84"/>
      <c r="F510" s="85" t="s">
        <v>43</v>
      </c>
      <c r="G510" s="86" t="s">
        <v>87</v>
      </c>
      <c r="H510" s="87" t="s">
        <v>2241</v>
      </c>
      <c r="I510" s="82"/>
      <c r="J510" s="87" t="s">
        <v>99</v>
      </c>
      <c r="K510" s="87">
        <v>10.0</v>
      </c>
      <c r="L510" s="89"/>
      <c r="M510" s="77"/>
      <c r="N510" s="91" t="s">
        <v>43</v>
      </c>
      <c r="O510" s="77"/>
      <c r="P510" s="77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102">
        <f t="shared" si="1"/>
        <v>506</v>
      </c>
      <c r="B511" s="94" t="s">
        <v>1086</v>
      </c>
      <c r="C511" s="95" t="s">
        <v>49</v>
      </c>
      <c r="D511" s="96"/>
      <c r="E511" s="97"/>
      <c r="F511" s="98" t="s">
        <v>43</v>
      </c>
      <c r="G511" s="99" t="s">
        <v>53</v>
      </c>
      <c r="H511" s="102"/>
      <c r="I511" s="95"/>
      <c r="J511" s="93" t="s">
        <v>68</v>
      </c>
      <c r="K511" s="93">
        <v>24.0</v>
      </c>
      <c r="L511" s="101"/>
      <c r="M511" s="102"/>
      <c r="N511" s="103" t="s">
        <v>43</v>
      </c>
      <c r="O511" s="102"/>
      <c r="P511" s="102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77">
        <f t="shared" si="1"/>
        <v>507</v>
      </c>
      <c r="B512" s="78" t="s">
        <v>1758</v>
      </c>
      <c r="C512" s="82" t="s">
        <v>49</v>
      </c>
      <c r="D512" s="83"/>
      <c r="E512" s="84"/>
      <c r="F512" s="85" t="s">
        <v>43</v>
      </c>
      <c r="G512" s="86" t="s">
        <v>53</v>
      </c>
      <c r="H512" s="77"/>
      <c r="I512" s="82"/>
      <c r="J512" s="87" t="s">
        <v>51</v>
      </c>
      <c r="K512" s="87">
        <v>26.0</v>
      </c>
      <c r="L512" s="89"/>
      <c r="M512" s="77"/>
      <c r="N512" s="77"/>
      <c r="O512" s="77"/>
      <c r="P512" s="87" t="s">
        <v>19</v>
      </c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102">
        <f t="shared" si="1"/>
        <v>508</v>
      </c>
      <c r="B513" s="94" t="s">
        <v>2153</v>
      </c>
      <c r="C513" s="95" t="s">
        <v>5</v>
      </c>
      <c r="D513" s="96"/>
      <c r="E513" s="97"/>
      <c r="F513" s="98" t="s">
        <v>43</v>
      </c>
      <c r="G513" s="99" t="s">
        <v>87</v>
      </c>
      <c r="H513" s="102"/>
      <c r="I513" s="95"/>
      <c r="J513" s="93" t="s">
        <v>89</v>
      </c>
      <c r="K513" s="93">
        <v>11.0</v>
      </c>
      <c r="L513" s="101"/>
      <c r="M513" s="102"/>
      <c r="N513" s="102"/>
      <c r="O513" s="102"/>
      <c r="P513" s="102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77">
        <f t="shared" si="1"/>
        <v>509</v>
      </c>
      <c r="B514" s="78" t="s">
        <v>715</v>
      </c>
      <c r="C514" s="82" t="s">
        <v>49</v>
      </c>
      <c r="D514" s="83"/>
      <c r="E514" s="84"/>
      <c r="F514" s="85" t="s">
        <v>60</v>
      </c>
      <c r="G514" s="86" t="s">
        <v>49</v>
      </c>
      <c r="H514" s="77"/>
      <c r="I514" s="82"/>
      <c r="J514" s="87" t="s">
        <v>174</v>
      </c>
      <c r="K514" s="87">
        <v>12.0</v>
      </c>
      <c r="L514" s="89"/>
      <c r="M514" s="77"/>
      <c r="N514" s="77"/>
      <c r="O514" s="77"/>
      <c r="P514" s="77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102">
        <f t="shared" si="1"/>
        <v>510</v>
      </c>
      <c r="B515" s="94" t="s">
        <v>1360</v>
      </c>
      <c r="C515" s="95" t="s">
        <v>49</v>
      </c>
      <c r="D515" s="96"/>
      <c r="E515" s="97"/>
      <c r="F515" s="98" t="s">
        <v>43</v>
      </c>
      <c r="G515" s="99" t="s">
        <v>53</v>
      </c>
      <c r="H515" s="102"/>
      <c r="I515" s="95"/>
      <c r="J515" s="93" t="s">
        <v>55</v>
      </c>
      <c r="K515" s="93">
        <v>28.0</v>
      </c>
      <c r="L515" s="101"/>
      <c r="M515" s="102"/>
      <c r="N515" s="102"/>
      <c r="O515" s="102"/>
      <c r="P515" s="102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77">
        <f t="shared" si="1"/>
        <v>511</v>
      </c>
      <c r="B516" s="78" t="s">
        <v>222</v>
      </c>
      <c r="C516" s="82" t="s">
        <v>49</v>
      </c>
      <c r="D516" s="83"/>
      <c r="E516" s="84"/>
      <c r="F516" s="85" t="s">
        <v>43</v>
      </c>
      <c r="G516" s="86" t="s">
        <v>53</v>
      </c>
      <c r="H516" s="77"/>
      <c r="I516" s="82"/>
      <c r="J516" s="87" t="s">
        <v>47</v>
      </c>
      <c r="K516" s="87">
        <v>17.0</v>
      </c>
      <c r="L516" s="89"/>
      <c r="M516" s="77"/>
      <c r="N516" s="113"/>
      <c r="O516" s="77"/>
      <c r="P516" s="77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102">
        <f t="shared" si="1"/>
        <v>512</v>
      </c>
      <c r="B517" s="94" t="s">
        <v>1698</v>
      </c>
      <c r="C517" s="95" t="s">
        <v>5</v>
      </c>
      <c r="D517" s="96"/>
      <c r="E517" s="97"/>
      <c r="F517" s="98" t="s">
        <v>43</v>
      </c>
      <c r="G517" s="99" t="s">
        <v>87</v>
      </c>
      <c r="H517" s="102"/>
      <c r="I517" s="95"/>
      <c r="J517" s="93" t="s">
        <v>51</v>
      </c>
      <c r="K517" s="93">
        <v>33.0</v>
      </c>
      <c r="L517" s="101"/>
      <c r="M517" s="102"/>
      <c r="N517" s="102"/>
      <c r="O517" s="102"/>
      <c r="P517" s="102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77">
        <f t="shared" si="1"/>
        <v>513</v>
      </c>
      <c r="B518" s="78" t="s">
        <v>1103</v>
      </c>
      <c r="C518" s="82" t="s">
        <v>76</v>
      </c>
      <c r="D518" s="83"/>
      <c r="E518" s="84"/>
      <c r="F518" s="85" t="s">
        <v>43</v>
      </c>
      <c r="G518" s="86" t="s">
        <v>87</v>
      </c>
      <c r="H518" s="87"/>
      <c r="I518" s="82"/>
      <c r="J518" s="87" t="s">
        <v>68</v>
      </c>
      <c r="K518" s="87">
        <v>27.0</v>
      </c>
      <c r="L518" s="89"/>
      <c r="M518" s="77"/>
      <c r="N518" s="77"/>
      <c r="O518" s="77"/>
      <c r="P518" s="77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102">
        <f t="shared" si="1"/>
        <v>514</v>
      </c>
      <c r="B519" s="94" t="s">
        <v>1624</v>
      </c>
      <c r="C519" s="95" t="s">
        <v>49</v>
      </c>
      <c r="D519" s="96"/>
      <c r="E519" s="97"/>
      <c r="F519" s="98" t="s">
        <v>60</v>
      </c>
      <c r="G519" s="99" t="s">
        <v>49</v>
      </c>
      <c r="H519" s="102"/>
      <c r="I519" s="95"/>
      <c r="J519" s="93" t="s">
        <v>55</v>
      </c>
      <c r="K519" s="93">
        <v>22.0</v>
      </c>
      <c r="L519" s="101"/>
      <c r="M519" s="102"/>
      <c r="N519" s="102"/>
      <c r="O519" s="102"/>
      <c r="P519" s="102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77">
        <f t="shared" si="1"/>
        <v>515</v>
      </c>
      <c r="B520" s="78" t="s">
        <v>2264</v>
      </c>
      <c r="C520" s="82" t="s">
        <v>49</v>
      </c>
      <c r="D520" s="83"/>
      <c r="E520" s="84"/>
      <c r="F520" s="85" t="s">
        <v>43</v>
      </c>
      <c r="G520" s="86" t="s">
        <v>53</v>
      </c>
      <c r="H520" s="77"/>
      <c r="I520" s="82"/>
      <c r="J520" s="87" t="s">
        <v>96</v>
      </c>
      <c r="K520" s="87" t="s">
        <v>1648</v>
      </c>
      <c r="L520" s="89"/>
      <c r="M520" s="77"/>
      <c r="N520" s="77"/>
      <c r="O520" s="77"/>
      <c r="P520" s="77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102">
        <f t="shared" si="1"/>
        <v>516</v>
      </c>
      <c r="B521" s="117" t="s">
        <v>2268</v>
      </c>
      <c r="C521" s="95" t="s">
        <v>49</v>
      </c>
      <c r="D521" s="96"/>
      <c r="E521" s="97"/>
      <c r="F521" s="98" t="s">
        <v>43</v>
      </c>
      <c r="G521" s="99" t="s">
        <v>53</v>
      </c>
      <c r="H521" s="102"/>
      <c r="I521" s="95"/>
      <c r="J521" s="93" t="s">
        <v>99</v>
      </c>
      <c r="K521" s="93">
        <v>30.0</v>
      </c>
      <c r="L521" s="101"/>
      <c r="M521" s="102"/>
      <c r="N521" s="102"/>
      <c r="O521" s="102"/>
      <c r="P521" s="102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77">
        <f t="shared" si="1"/>
        <v>517</v>
      </c>
      <c r="B522" s="78" t="s">
        <v>2273</v>
      </c>
      <c r="C522" s="82" t="s">
        <v>5</v>
      </c>
      <c r="D522" s="83"/>
      <c r="E522" s="84"/>
      <c r="F522" s="85" t="s">
        <v>43</v>
      </c>
      <c r="G522" s="86" t="s">
        <v>87</v>
      </c>
      <c r="H522" s="77"/>
      <c r="I522" s="82"/>
      <c r="J522" s="87" t="s">
        <v>96</v>
      </c>
      <c r="K522" s="87">
        <v>36.0</v>
      </c>
      <c r="L522" s="89"/>
      <c r="M522" s="77"/>
      <c r="N522" s="77"/>
      <c r="O522" s="77"/>
      <c r="P522" s="77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102">
        <f t="shared" si="1"/>
        <v>518</v>
      </c>
      <c r="B523" s="94" t="s">
        <v>2275</v>
      </c>
      <c r="C523" s="95" t="s">
        <v>88</v>
      </c>
      <c r="D523" s="96"/>
      <c r="E523" s="97"/>
      <c r="F523" s="109" t="s">
        <v>43</v>
      </c>
      <c r="G523" s="99" t="s">
        <v>53</v>
      </c>
      <c r="H523" s="102"/>
      <c r="I523" s="95"/>
      <c r="J523" s="93" t="s">
        <v>99</v>
      </c>
      <c r="K523" s="93">
        <v>2.0</v>
      </c>
      <c r="L523" s="101"/>
      <c r="M523" s="102"/>
      <c r="N523" s="102"/>
      <c r="O523" s="102"/>
      <c r="P523" s="102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77">
        <f t="shared" si="1"/>
        <v>519</v>
      </c>
      <c r="B524" s="78" t="s">
        <v>2270</v>
      </c>
      <c r="C524" s="82" t="s">
        <v>88</v>
      </c>
      <c r="D524" s="83"/>
      <c r="E524" s="84"/>
      <c r="F524" s="85" t="s">
        <v>43</v>
      </c>
      <c r="G524" s="86" t="s">
        <v>53</v>
      </c>
      <c r="H524" s="77"/>
      <c r="I524" s="82"/>
      <c r="J524" s="87" t="s">
        <v>89</v>
      </c>
      <c r="K524" s="87">
        <v>23.0</v>
      </c>
      <c r="L524" s="89"/>
      <c r="M524" s="77"/>
      <c r="N524" s="77"/>
      <c r="O524" s="77"/>
      <c r="P524" s="77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102">
        <f t="shared" si="1"/>
        <v>520</v>
      </c>
      <c r="B525" s="94" t="s">
        <v>1341</v>
      </c>
      <c r="C525" s="95" t="s">
        <v>5</v>
      </c>
      <c r="D525" s="96"/>
      <c r="E525" s="97"/>
      <c r="F525" s="98" t="s">
        <v>43</v>
      </c>
      <c r="G525" s="99" t="s">
        <v>87</v>
      </c>
      <c r="H525" s="102"/>
      <c r="I525" s="95"/>
      <c r="J525" s="93" t="s">
        <v>55</v>
      </c>
      <c r="K525" s="93">
        <v>26.0</v>
      </c>
      <c r="L525" s="101"/>
      <c r="M525" s="102"/>
      <c r="N525" s="102"/>
      <c r="O525" s="102"/>
      <c r="P525" s="102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77">
        <f t="shared" si="1"/>
        <v>521</v>
      </c>
      <c r="B526" s="78" t="s">
        <v>2283</v>
      </c>
      <c r="C526" s="82" t="s">
        <v>5</v>
      </c>
      <c r="D526" s="83"/>
      <c r="E526" s="84"/>
      <c r="F526" s="114" t="s">
        <v>43</v>
      </c>
      <c r="G526" s="86" t="s">
        <v>87</v>
      </c>
      <c r="H526" s="77"/>
      <c r="I526" s="82"/>
      <c r="J526" s="87" t="s">
        <v>89</v>
      </c>
      <c r="K526" s="77"/>
      <c r="L526" s="89"/>
      <c r="M526" s="77"/>
      <c r="N526" s="77"/>
      <c r="O526" s="77"/>
      <c r="P526" s="77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102">
        <f t="shared" si="1"/>
        <v>522</v>
      </c>
      <c r="B527" s="94" t="s">
        <v>2040</v>
      </c>
      <c r="C527" s="95" t="s">
        <v>49</v>
      </c>
      <c r="D527" s="96"/>
      <c r="E527" s="97"/>
      <c r="F527" s="98" t="s">
        <v>60</v>
      </c>
      <c r="G527" s="99" t="s">
        <v>87</v>
      </c>
      <c r="H527" s="93" t="s">
        <v>2286</v>
      </c>
      <c r="I527" s="107" t="s">
        <v>69</v>
      </c>
      <c r="J527" s="93" t="s">
        <v>89</v>
      </c>
      <c r="K527" s="93">
        <v>4.0</v>
      </c>
      <c r="L527" s="101"/>
      <c r="M527" s="102"/>
      <c r="N527" s="103" t="s">
        <v>43</v>
      </c>
      <c r="O527" s="102"/>
      <c r="P527" s="102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77">
        <f t="shared" si="1"/>
        <v>523</v>
      </c>
      <c r="B528" s="78" t="s">
        <v>1936</v>
      </c>
      <c r="C528" s="82" t="s">
        <v>49</v>
      </c>
      <c r="D528" s="83"/>
      <c r="E528" s="84"/>
      <c r="F528" s="85" t="s">
        <v>43</v>
      </c>
      <c r="G528" s="86" t="s">
        <v>53</v>
      </c>
      <c r="H528" s="87" t="s">
        <v>2291</v>
      </c>
      <c r="I528" s="82"/>
      <c r="J528" s="87" t="s">
        <v>51</v>
      </c>
      <c r="K528" s="87">
        <v>5.0</v>
      </c>
      <c r="L528" s="89"/>
      <c r="M528" s="77"/>
      <c r="N528" s="91" t="s">
        <v>203</v>
      </c>
      <c r="O528" s="77"/>
      <c r="P528" s="77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102">
        <f t="shared" si="1"/>
        <v>524</v>
      </c>
      <c r="B529" s="94" t="s">
        <v>2296</v>
      </c>
      <c r="C529" s="95" t="s">
        <v>49</v>
      </c>
      <c r="D529" s="96"/>
      <c r="E529" s="97"/>
      <c r="F529" s="98" t="s">
        <v>43</v>
      </c>
      <c r="G529" s="99" t="s">
        <v>53</v>
      </c>
      <c r="H529" s="102"/>
      <c r="I529" s="95"/>
      <c r="J529" s="93" t="s">
        <v>99</v>
      </c>
      <c r="K529" s="93" t="s">
        <v>2222</v>
      </c>
      <c r="L529" s="101"/>
      <c r="M529" s="102"/>
      <c r="N529" s="102"/>
      <c r="O529" s="102"/>
      <c r="P529" s="102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77">
        <f t="shared" si="1"/>
        <v>525</v>
      </c>
      <c r="B530" s="78" t="s">
        <v>2299</v>
      </c>
      <c r="C530" s="82" t="s">
        <v>88</v>
      </c>
      <c r="D530" s="83"/>
      <c r="E530" s="84"/>
      <c r="F530" s="114" t="s">
        <v>43</v>
      </c>
      <c r="G530" s="86" t="s">
        <v>87</v>
      </c>
      <c r="H530" s="77"/>
      <c r="I530" s="82"/>
      <c r="J530" s="87" t="s">
        <v>99</v>
      </c>
      <c r="K530" s="87">
        <v>13.0</v>
      </c>
      <c r="L530" s="89"/>
      <c r="M530" s="77"/>
      <c r="N530" s="77"/>
      <c r="O530" s="77"/>
      <c r="P530" s="77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102">
        <f t="shared" si="1"/>
        <v>526</v>
      </c>
      <c r="B531" s="94" t="s">
        <v>2302</v>
      </c>
      <c r="C531" s="95" t="s">
        <v>72</v>
      </c>
      <c r="D531" s="96"/>
      <c r="E531" s="97"/>
      <c r="F531" s="109" t="s">
        <v>43</v>
      </c>
      <c r="G531" s="99" t="s">
        <v>87</v>
      </c>
      <c r="H531" s="102"/>
      <c r="I531" s="95"/>
      <c r="J531" s="93" t="s">
        <v>68</v>
      </c>
      <c r="K531" s="102"/>
      <c r="L531" s="101"/>
      <c r="M531" s="102"/>
      <c r="N531" s="102"/>
      <c r="O531" s="102"/>
      <c r="P531" s="102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77">
        <f t="shared" si="1"/>
        <v>527</v>
      </c>
      <c r="B532" s="78" t="s">
        <v>2306</v>
      </c>
      <c r="C532" s="82" t="s">
        <v>5</v>
      </c>
      <c r="D532" s="83"/>
      <c r="E532" s="84"/>
      <c r="F532" s="85" t="s">
        <v>43</v>
      </c>
      <c r="G532" s="86" t="s">
        <v>53</v>
      </c>
      <c r="H532" s="77"/>
      <c r="I532" s="82"/>
      <c r="J532" s="87" t="s">
        <v>99</v>
      </c>
      <c r="K532" s="87">
        <v>6.0</v>
      </c>
      <c r="L532" s="89"/>
      <c r="M532" s="77"/>
      <c r="N532" s="77"/>
      <c r="O532" s="77"/>
      <c r="P532" s="77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102">
        <f t="shared" si="1"/>
        <v>528</v>
      </c>
      <c r="B533" s="94" t="s">
        <v>1079</v>
      </c>
      <c r="C533" s="107" t="s">
        <v>69</v>
      </c>
      <c r="D533" s="96"/>
      <c r="E533" s="97"/>
      <c r="F533" s="98" t="s">
        <v>43</v>
      </c>
      <c r="G533" s="99" t="s">
        <v>87</v>
      </c>
      <c r="H533" s="93" t="s">
        <v>2310</v>
      </c>
      <c r="I533" s="95"/>
      <c r="J533" s="93" t="s">
        <v>68</v>
      </c>
      <c r="K533" s="93">
        <v>24.0</v>
      </c>
      <c r="L533" s="101"/>
      <c r="M533" s="102"/>
      <c r="N533" s="103" t="s">
        <v>43</v>
      </c>
      <c r="O533" s="102"/>
      <c r="P533" s="102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77">
        <f t="shared" si="1"/>
        <v>529</v>
      </c>
      <c r="B534" s="78" t="s">
        <v>1728</v>
      </c>
      <c r="C534" s="82" t="s">
        <v>49</v>
      </c>
      <c r="D534" s="83"/>
      <c r="E534" s="84"/>
      <c r="F534" s="85" t="s">
        <v>60</v>
      </c>
      <c r="G534" s="86" t="s">
        <v>53</v>
      </c>
      <c r="H534" s="87" t="s">
        <v>2313</v>
      </c>
      <c r="I534" s="82"/>
      <c r="J534" s="87" t="s">
        <v>51</v>
      </c>
      <c r="K534" s="87">
        <v>29.0</v>
      </c>
      <c r="L534" s="89"/>
      <c r="M534" s="77"/>
      <c r="N534" s="91" t="s">
        <v>43</v>
      </c>
      <c r="O534" s="77"/>
      <c r="P534" s="77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102">
        <f t="shared" si="1"/>
        <v>530</v>
      </c>
      <c r="B535" s="94" t="s">
        <v>1494</v>
      </c>
      <c r="C535" s="95" t="s">
        <v>49</v>
      </c>
      <c r="D535" s="96"/>
      <c r="E535" s="97"/>
      <c r="F535" s="98" t="s">
        <v>43</v>
      </c>
      <c r="G535" s="99" t="s">
        <v>87</v>
      </c>
      <c r="H535" s="93" t="s">
        <v>2316</v>
      </c>
      <c r="I535" s="95" t="s">
        <v>69</v>
      </c>
      <c r="J535" s="93" t="s">
        <v>55</v>
      </c>
      <c r="K535" s="93">
        <v>11.0</v>
      </c>
      <c r="L535" s="101"/>
      <c r="M535" s="102"/>
      <c r="N535" s="103" t="s">
        <v>60</v>
      </c>
      <c r="O535" s="102"/>
      <c r="P535" s="102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77">
        <f t="shared" si="1"/>
        <v>531</v>
      </c>
      <c r="B536" s="78" t="s">
        <v>1658</v>
      </c>
      <c r="C536" s="82" t="s">
        <v>49</v>
      </c>
      <c r="D536" s="83"/>
      <c r="E536" s="84"/>
      <c r="F536" s="85" t="s">
        <v>60</v>
      </c>
      <c r="G536" s="86" t="s">
        <v>53</v>
      </c>
      <c r="H536" s="87" t="s">
        <v>2321</v>
      </c>
      <c r="I536" s="82"/>
      <c r="J536" s="87" t="s">
        <v>55</v>
      </c>
      <c r="K536" s="87">
        <v>25.0</v>
      </c>
      <c r="L536" s="89"/>
      <c r="M536" s="77"/>
      <c r="N536" s="91" t="s">
        <v>43</v>
      </c>
      <c r="O536" s="77"/>
      <c r="P536" s="77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102">
        <f t="shared" si="1"/>
        <v>532</v>
      </c>
      <c r="B537" s="94" t="s">
        <v>1961</v>
      </c>
      <c r="C537" s="95" t="s">
        <v>49</v>
      </c>
      <c r="D537" s="96"/>
      <c r="E537" s="97"/>
      <c r="F537" s="98" t="s">
        <v>43</v>
      </c>
      <c r="G537" s="99" t="s">
        <v>53</v>
      </c>
      <c r="H537" s="93" t="s">
        <v>2325</v>
      </c>
      <c r="I537" s="95"/>
      <c r="J537" s="93" t="s">
        <v>51</v>
      </c>
      <c r="K537" s="93">
        <v>4.0</v>
      </c>
      <c r="L537" s="101"/>
      <c r="M537" s="102"/>
      <c r="N537" s="103" t="s">
        <v>43</v>
      </c>
      <c r="O537" s="102"/>
      <c r="P537" s="102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77">
        <f t="shared" si="1"/>
        <v>533</v>
      </c>
      <c r="B538" s="78" t="s">
        <v>2327</v>
      </c>
      <c r="C538" s="82" t="s">
        <v>49</v>
      </c>
      <c r="D538" s="83"/>
      <c r="E538" s="84"/>
      <c r="F538" s="85" t="s">
        <v>43</v>
      </c>
      <c r="G538" s="86" t="s">
        <v>87</v>
      </c>
      <c r="H538" s="87" t="s">
        <v>2328</v>
      </c>
      <c r="I538" s="82" t="s">
        <v>76</v>
      </c>
      <c r="J538" s="87" t="s">
        <v>68</v>
      </c>
      <c r="K538" s="87">
        <v>28.0</v>
      </c>
      <c r="L538" s="87"/>
      <c r="M538" s="77"/>
      <c r="N538" s="91" t="s">
        <v>43</v>
      </c>
      <c r="O538" s="77"/>
      <c r="P538" s="77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102">
        <f t="shared" si="1"/>
        <v>534</v>
      </c>
      <c r="B539" s="94" t="s">
        <v>2333</v>
      </c>
      <c r="C539" s="95" t="s">
        <v>49</v>
      </c>
      <c r="D539" s="96"/>
      <c r="E539" s="97"/>
      <c r="F539" s="98" t="s">
        <v>43</v>
      </c>
      <c r="G539" s="99" t="s">
        <v>87</v>
      </c>
      <c r="H539" s="93" t="s">
        <v>2336</v>
      </c>
      <c r="I539" s="95" t="s">
        <v>172</v>
      </c>
      <c r="J539" s="93" t="s">
        <v>96</v>
      </c>
      <c r="K539" s="93">
        <v>23.0</v>
      </c>
      <c r="L539" s="101"/>
      <c r="M539" s="102"/>
      <c r="N539" s="103" t="s">
        <v>43</v>
      </c>
      <c r="O539" s="102"/>
      <c r="P539" s="102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77">
        <f t="shared" si="1"/>
        <v>535</v>
      </c>
      <c r="B540" s="78" t="s">
        <v>2338</v>
      </c>
      <c r="C540" s="82" t="s">
        <v>5</v>
      </c>
      <c r="D540" s="83"/>
      <c r="E540" s="84"/>
      <c r="F540" s="85" t="s">
        <v>43</v>
      </c>
      <c r="G540" s="86" t="s">
        <v>87</v>
      </c>
      <c r="H540" s="77"/>
      <c r="I540" s="82"/>
      <c r="J540" s="87" t="s">
        <v>99</v>
      </c>
      <c r="K540" s="87">
        <v>35.0</v>
      </c>
      <c r="L540" s="89"/>
      <c r="M540" s="77"/>
      <c r="N540" s="77"/>
      <c r="O540" s="77"/>
      <c r="P540" s="77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102">
        <f t="shared" si="1"/>
        <v>536</v>
      </c>
      <c r="B541" s="94" t="s">
        <v>890</v>
      </c>
      <c r="C541" s="95" t="s">
        <v>172</v>
      </c>
      <c r="D541" s="96"/>
      <c r="E541" s="97"/>
      <c r="F541" s="98" t="s">
        <v>43</v>
      </c>
      <c r="G541" s="99" t="s">
        <v>53</v>
      </c>
      <c r="H541" s="102"/>
      <c r="I541" s="95"/>
      <c r="J541" s="93" t="s">
        <v>68</v>
      </c>
      <c r="K541" s="93">
        <v>10.0</v>
      </c>
      <c r="L541" s="101"/>
      <c r="M541" s="102"/>
      <c r="N541" s="102"/>
      <c r="O541" s="102"/>
      <c r="P541" s="102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77">
        <f t="shared" si="1"/>
        <v>537</v>
      </c>
      <c r="B542" s="78" t="s">
        <v>2252</v>
      </c>
      <c r="C542" s="111" t="s">
        <v>76</v>
      </c>
      <c r="D542" s="83"/>
      <c r="E542" s="84"/>
      <c r="F542" s="85" t="s">
        <v>43</v>
      </c>
      <c r="G542" s="86" t="s">
        <v>87</v>
      </c>
      <c r="H542" s="77"/>
      <c r="I542" s="82"/>
      <c r="J542" s="87" t="s">
        <v>89</v>
      </c>
      <c r="K542" s="87">
        <v>22.0</v>
      </c>
      <c r="L542" s="89"/>
      <c r="M542" s="77"/>
      <c r="N542" s="77"/>
      <c r="O542" s="77"/>
      <c r="P542" s="77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102">
        <f t="shared" si="1"/>
        <v>538</v>
      </c>
      <c r="B543" s="94" t="s">
        <v>614</v>
      </c>
      <c r="C543" s="95" t="s">
        <v>49</v>
      </c>
      <c r="D543" s="96"/>
      <c r="E543" s="112"/>
      <c r="F543" s="98" t="s">
        <v>43</v>
      </c>
      <c r="G543" s="99" t="s">
        <v>53</v>
      </c>
      <c r="H543" s="93" t="s">
        <v>2346</v>
      </c>
      <c r="I543" s="95" t="s">
        <v>88</v>
      </c>
      <c r="J543" s="93" t="s">
        <v>174</v>
      </c>
      <c r="K543" s="93">
        <v>27.0</v>
      </c>
      <c r="L543" s="101"/>
      <c r="M543" s="102"/>
      <c r="N543" s="103" t="s">
        <v>203</v>
      </c>
      <c r="O543" s="102"/>
      <c r="P543" s="102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77">
        <f t="shared" si="1"/>
        <v>539</v>
      </c>
      <c r="B544" s="78" t="s">
        <v>2347</v>
      </c>
      <c r="C544" s="82" t="s">
        <v>9</v>
      </c>
      <c r="D544" s="83"/>
      <c r="E544" s="84"/>
      <c r="F544" s="85" t="s">
        <v>43</v>
      </c>
      <c r="G544" s="86" t="s">
        <v>87</v>
      </c>
      <c r="H544" s="77"/>
      <c r="I544" s="82"/>
      <c r="J544" s="87" t="s">
        <v>99</v>
      </c>
      <c r="K544" s="87">
        <v>35.0</v>
      </c>
      <c r="L544" s="89"/>
      <c r="M544" s="77"/>
      <c r="N544" s="77"/>
      <c r="O544" s="77"/>
      <c r="P544" s="77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102">
        <f t="shared" si="1"/>
        <v>540</v>
      </c>
      <c r="B545" s="94" t="s">
        <v>2351</v>
      </c>
      <c r="C545" s="95" t="s">
        <v>172</v>
      </c>
      <c r="D545" s="96"/>
      <c r="E545" s="97"/>
      <c r="F545" s="98" t="s">
        <v>43</v>
      </c>
      <c r="G545" s="99" t="s">
        <v>53</v>
      </c>
      <c r="H545" s="93" t="s">
        <v>2355</v>
      </c>
      <c r="I545" s="95"/>
      <c r="J545" s="93" t="s">
        <v>89</v>
      </c>
      <c r="K545" s="93">
        <v>37.0</v>
      </c>
      <c r="L545" s="101"/>
      <c r="M545" s="102"/>
      <c r="N545" s="103" t="s">
        <v>60</v>
      </c>
      <c r="O545" s="102"/>
      <c r="P545" s="102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77">
        <f t="shared" si="1"/>
        <v>541</v>
      </c>
      <c r="B546" s="78" t="s">
        <v>2358</v>
      </c>
      <c r="C546" s="82" t="s">
        <v>49</v>
      </c>
      <c r="D546" s="83"/>
      <c r="E546" s="84"/>
      <c r="F546" s="114" t="s">
        <v>43</v>
      </c>
      <c r="G546" s="86" t="s">
        <v>53</v>
      </c>
      <c r="H546" s="77"/>
      <c r="I546" s="82"/>
      <c r="J546" s="87" t="s">
        <v>89</v>
      </c>
      <c r="K546" s="77"/>
      <c r="L546" s="89"/>
      <c r="M546" s="77"/>
      <c r="N546" s="77"/>
      <c r="O546" s="77"/>
      <c r="P546" s="77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102">
        <f t="shared" si="1"/>
        <v>542</v>
      </c>
      <c r="B547" s="94" t="s">
        <v>2112</v>
      </c>
      <c r="C547" s="95" t="s">
        <v>49</v>
      </c>
      <c r="D547" s="96"/>
      <c r="E547" s="97"/>
      <c r="F547" s="98" t="s">
        <v>43</v>
      </c>
      <c r="G547" s="99" t="s">
        <v>53</v>
      </c>
      <c r="H547" s="102"/>
      <c r="I547" s="95"/>
      <c r="J547" s="93" t="s">
        <v>99</v>
      </c>
      <c r="K547" s="93">
        <v>11.0</v>
      </c>
      <c r="L547" s="101"/>
      <c r="M547" s="102"/>
      <c r="N547" s="102"/>
      <c r="O547" s="102"/>
      <c r="P547" s="102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77">
        <f t="shared" si="1"/>
        <v>543</v>
      </c>
      <c r="B548" s="78" t="s">
        <v>2366</v>
      </c>
      <c r="C548" s="82" t="s">
        <v>9</v>
      </c>
      <c r="D548" s="83"/>
      <c r="E548" s="84"/>
      <c r="F548" s="114" t="s">
        <v>43</v>
      </c>
      <c r="G548" s="86" t="s">
        <v>87</v>
      </c>
      <c r="H548" s="77"/>
      <c r="I548" s="82"/>
      <c r="J548" s="87" t="s">
        <v>89</v>
      </c>
      <c r="K548" s="77"/>
      <c r="L548" s="89"/>
      <c r="M548" s="77"/>
      <c r="N548" s="77"/>
      <c r="O548" s="77"/>
      <c r="P548" s="77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A549" s="102">
        <f t="shared" si="1"/>
        <v>544</v>
      </c>
      <c r="B549" s="94" t="s">
        <v>2368</v>
      </c>
      <c r="C549" s="95" t="s">
        <v>76</v>
      </c>
      <c r="D549" s="96"/>
      <c r="E549" s="97"/>
      <c r="F549" s="98" t="s">
        <v>43</v>
      </c>
      <c r="G549" s="99" t="s">
        <v>87</v>
      </c>
      <c r="H549" s="102"/>
      <c r="I549" s="95"/>
      <c r="J549" s="93" t="s">
        <v>96</v>
      </c>
      <c r="K549" s="93">
        <v>13.0</v>
      </c>
      <c r="L549" s="101"/>
      <c r="M549" s="102"/>
      <c r="N549" s="102"/>
      <c r="O549" s="102"/>
      <c r="P549" s="93" t="s">
        <v>18</v>
      </c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77">
        <f t="shared" si="1"/>
        <v>545</v>
      </c>
      <c r="B550" s="78" t="s">
        <v>2374</v>
      </c>
      <c r="C550" s="82" t="s">
        <v>69</v>
      </c>
      <c r="D550" s="83"/>
      <c r="E550" s="84"/>
      <c r="F550" s="85" t="s">
        <v>43</v>
      </c>
      <c r="G550" s="86" t="s">
        <v>87</v>
      </c>
      <c r="H550" s="77"/>
      <c r="I550" s="82"/>
      <c r="J550" s="87" t="s">
        <v>99</v>
      </c>
      <c r="K550" s="87">
        <v>28.0</v>
      </c>
      <c r="L550" s="89"/>
      <c r="M550" s="77"/>
      <c r="N550" s="77"/>
      <c r="O550" s="77"/>
      <c r="P550" s="77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A551" s="102">
        <f t="shared" si="1"/>
        <v>546</v>
      </c>
      <c r="B551" s="94" t="s">
        <v>2377</v>
      </c>
      <c r="C551" s="95" t="s">
        <v>49</v>
      </c>
      <c r="D551" s="96"/>
      <c r="E551" s="97"/>
      <c r="F551" s="98" t="s">
        <v>43</v>
      </c>
      <c r="G551" s="99" t="s">
        <v>53</v>
      </c>
      <c r="H551" s="102"/>
      <c r="I551" s="95"/>
      <c r="J551" s="93" t="s">
        <v>68</v>
      </c>
      <c r="K551" s="93">
        <v>9.0</v>
      </c>
      <c r="L551" s="101"/>
      <c r="M551" s="102"/>
      <c r="N551" s="102"/>
      <c r="O551" s="102"/>
      <c r="P551" s="102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77">
        <f t="shared" si="1"/>
        <v>547</v>
      </c>
      <c r="B552" s="78" t="s">
        <v>2382</v>
      </c>
      <c r="C552" s="82" t="s">
        <v>49</v>
      </c>
      <c r="D552" s="83"/>
      <c r="E552" s="84"/>
      <c r="F552" s="114" t="s">
        <v>43</v>
      </c>
      <c r="G552" s="86" t="s">
        <v>53</v>
      </c>
      <c r="H552" s="77"/>
      <c r="I552" s="82"/>
      <c r="J552" s="87" t="s">
        <v>89</v>
      </c>
      <c r="K552" s="77"/>
      <c r="L552" s="89"/>
      <c r="M552" s="77"/>
      <c r="N552" s="77"/>
      <c r="O552" s="77"/>
      <c r="P552" s="77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102">
        <f t="shared" si="1"/>
        <v>548</v>
      </c>
      <c r="B553" s="94" t="s">
        <v>1196</v>
      </c>
      <c r="C553" s="95" t="s">
        <v>172</v>
      </c>
      <c r="D553" s="96"/>
      <c r="E553" s="97"/>
      <c r="F553" s="98" t="s">
        <v>43</v>
      </c>
      <c r="G553" s="99" t="s">
        <v>87</v>
      </c>
      <c r="H553" s="102"/>
      <c r="I553" s="95"/>
      <c r="J553" s="93" t="s">
        <v>68</v>
      </c>
      <c r="K553" s="93">
        <v>30.0</v>
      </c>
      <c r="L553" s="101"/>
      <c r="M553" s="102"/>
      <c r="N553" s="102"/>
      <c r="O553" s="102"/>
      <c r="P553" s="102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77">
        <f t="shared" si="1"/>
        <v>549</v>
      </c>
      <c r="B554" s="78" t="s">
        <v>2387</v>
      </c>
      <c r="C554" s="82" t="s">
        <v>72</v>
      </c>
      <c r="D554" s="83"/>
      <c r="E554" s="84"/>
      <c r="F554" s="85" t="s">
        <v>43</v>
      </c>
      <c r="G554" s="86" t="s">
        <v>87</v>
      </c>
      <c r="H554" s="77"/>
      <c r="I554" s="82"/>
      <c r="J554" s="87" t="s">
        <v>96</v>
      </c>
      <c r="K554" s="87">
        <v>34.0</v>
      </c>
      <c r="L554" s="89"/>
      <c r="M554" s="77"/>
      <c r="N554" s="77"/>
      <c r="O554" s="77"/>
      <c r="P554" s="77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102">
        <f t="shared" si="1"/>
        <v>550</v>
      </c>
      <c r="B555" s="94" t="s">
        <v>2390</v>
      </c>
      <c r="C555" s="95" t="s">
        <v>49</v>
      </c>
      <c r="D555" s="96"/>
      <c r="E555" s="97"/>
      <c r="F555" s="98" t="s">
        <v>43</v>
      </c>
      <c r="G555" s="99" t="s">
        <v>53</v>
      </c>
      <c r="H555" s="102"/>
      <c r="I555" s="95"/>
      <c r="J555" s="93" t="s">
        <v>68</v>
      </c>
      <c r="K555" s="93">
        <v>22.0</v>
      </c>
      <c r="L555" s="101"/>
      <c r="M555" s="102"/>
      <c r="N555" s="102"/>
      <c r="O555" s="102"/>
      <c r="P555" s="102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77">
        <f t="shared" si="1"/>
        <v>551</v>
      </c>
      <c r="B556" s="78" t="s">
        <v>1578</v>
      </c>
      <c r="C556" s="82" t="s">
        <v>49</v>
      </c>
      <c r="D556" s="83"/>
      <c r="E556" s="84"/>
      <c r="F556" s="85" t="s">
        <v>43</v>
      </c>
      <c r="G556" s="86" t="s">
        <v>53</v>
      </c>
      <c r="H556" s="77"/>
      <c r="I556" s="82"/>
      <c r="J556" s="87" t="s">
        <v>55</v>
      </c>
      <c r="K556" s="87">
        <v>17.0</v>
      </c>
      <c r="L556" s="89"/>
      <c r="M556" s="77"/>
      <c r="N556" s="77"/>
      <c r="O556" s="77"/>
      <c r="P556" s="77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102">
        <f t="shared" si="1"/>
        <v>552</v>
      </c>
      <c r="B557" s="94" t="s">
        <v>2395</v>
      </c>
      <c r="C557" s="95" t="s">
        <v>49</v>
      </c>
      <c r="D557" s="96"/>
      <c r="E557" s="97"/>
      <c r="F557" s="109" t="s">
        <v>43</v>
      </c>
      <c r="G557" s="99" t="s">
        <v>53</v>
      </c>
      <c r="H557" s="93" t="s">
        <v>2398</v>
      </c>
      <c r="I557" s="95"/>
      <c r="J557" s="93" t="s">
        <v>174</v>
      </c>
      <c r="K557" s="102"/>
      <c r="L557" s="101"/>
      <c r="M557" s="102"/>
      <c r="N557" s="102"/>
      <c r="O557" s="102"/>
      <c r="P557" s="102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77">
        <f t="shared" si="1"/>
        <v>553</v>
      </c>
      <c r="B558" s="78" t="s">
        <v>2365</v>
      </c>
      <c r="C558" s="82" t="s">
        <v>49</v>
      </c>
      <c r="D558" s="83"/>
      <c r="E558" s="84"/>
      <c r="F558" s="85" t="s">
        <v>43</v>
      </c>
      <c r="G558" s="86" t="s">
        <v>53</v>
      </c>
      <c r="H558" s="77"/>
      <c r="I558" s="82"/>
      <c r="J558" s="87" t="s">
        <v>96</v>
      </c>
      <c r="K558" s="87" t="s">
        <v>2402</v>
      </c>
      <c r="L558" s="89"/>
      <c r="M558" s="77"/>
      <c r="N558" s="77"/>
      <c r="O558" s="77"/>
      <c r="P558" s="77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102">
        <f t="shared" si="1"/>
        <v>554</v>
      </c>
      <c r="B559" s="94" t="s">
        <v>2404</v>
      </c>
      <c r="C559" s="95" t="s">
        <v>49</v>
      </c>
      <c r="D559" s="96"/>
      <c r="E559" s="97"/>
      <c r="F559" s="98" t="s">
        <v>43</v>
      </c>
      <c r="G559" s="99" t="s">
        <v>53</v>
      </c>
      <c r="H559" s="102"/>
      <c r="I559" s="95"/>
      <c r="J559" s="93" t="s">
        <v>96</v>
      </c>
      <c r="K559" s="93">
        <v>34.0</v>
      </c>
      <c r="L559" s="101"/>
      <c r="M559" s="102"/>
      <c r="N559" s="102"/>
      <c r="O559" s="102"/>
      <c r="P559" s="102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77">
        <f t="shared" si="1"/>
        <v>555</v>
      </c>
      <c r="B560" s="78" t="s">
        <v>1979</v>
      </c>
      <c r="C560" s="82" t="s">
        <v>49</v>
      </c>
      <c r="D560" s="83"/>
      <c r="E560" s="84"/>
      <c r="F560" s="85" t="s">
        <v>43</v>
      </c>
      <c r="G560" s="86" t="s">
        <v>53</v>
      </c>
      <c r="H560" s="87" t="s">
        <v>2406</v>
      </c>
      <c r="I560" s="82"/>
      <c r="J560" s="87" t="s">
        <v>51</v>
      </c>
      <c r="K560" s="87">
        <v>1.0</v>
      </c>
      <c r="L560" s="89"/>
      <c r="M560" s="77"/>
      <c r="N560" s="91" t="s">
        <v>60</v>
      </c>
      <c r="O560" s="77"/>
      <c r="P560" s="77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102">
        <f t="shared" si="1"/>
        <v>556</v>
      </c>
      <c r="B561" s="94" t="s">
        <v>2409</v>
      </c>
      <c r="C561" s="95" t="s">
        <v>49</v>
      </c>
      <c r="D561" s="96"/>
      <c r="E561" s="97"/>
      <c r="F561" s="98" t="s">
        <v>43</v>
      </c>
      <c r="G561" s="99" t="s">
        <v>53</v>
      </c>
      <c r="H561" s="93" t="s">
        <v>2410</v>
      </c>
      <c r="I561" s="95"/>
      <c r="J561" s="93" t="s">
        <v>99</v>
      </c>
      <c r="K561" s="93">
        <v>17.0</v>
      </c>
      <c r="L561" s="101"/>
      <c r="M561" s="102"/>
      <c r="N561" s="103" t="s">
        <v>43</v>
      </c>
      <c r="O561" s="102"/>
      <c r="P561" s="102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77">
        <f t="shared" si="1"/>
        <v>557</v>
      </c>
      <c r="B562" s="78" t="s">
        <v>2018</v>
      </c>
      <c r="C562" s="82" t="s">
        <v>88</v>
      </c>
      <c r="D562" s="83"/>
      <c r="E562" s="84"/>
      <c r="F562" s="85" t="s">
        <v>203</v>
      </c>
      <c r="G562" s="86" t="s">
        <v>49</v>
      </c>
      <c r="H562" s="77"/>
      <c r="I562" s="82"/>
      <c r="J562" s="87" t="s">
        <v>89</v>
      </c>
      <c r="K562" s="87">
        <v>3.0</v>
      </c>
      <c r="L562" s="89"/>
      <c r="M562" s="77"/>
      <c r="N562" s="77"/>
      <c r="O562" s="77"/>
      <c r="P562" s="77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102">
        <f t="shared" si="1"/>
        <v>558</v>
      </c>
      <c r="B563" s="94" t="s">
        <v>2415</v>
      </c>
      <c r="C563" s="95" t="s">
        <v>5</v>
      </c>
      <c r="D563" s="96"/>
      <c r="E563" s="97"/>
      <c r="F563" s="98" t="s">
        <v>43</v>
      </c>
      <c r="G563" s="99" t="s">
        <v>87</v>
      </c>
      <c r="H563" s="93" t="s">
        <v>2416</v>
      </c>
      <c r="I563" s="95"/>
      <c r="J563" s="93" t="s">
        <v>99</v>
      </c>
      <c r="K563" s="93">
        <v>17.0</v>
      </c>
      <c r="L563" s="101"/>
      <c r="M563" s="102"/>
      <c r="N563" s="103" t="s">
        <v>43</v>
      </c>
      <c r="O563" s="102"/>
      <c r="P563" s="102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77">
        <f t="shared" si="1"/>
        <v>559</v>
      </c>
      <c r="B564" s="78" t="s">
        <v>436</v>
      </c>
      <c r="C564" s="82" t="s">
        <v>49</v>
      </c>
      <c r="D564" s="83"/>
      <c r="E564" s="84"/>
      <c r="F564" s="85" t="s">
        <v>43</v>
      </c>
      <c r="G564" s="86" t="s">
        <v>53</v>
      </c>
      <c r="H564" s="77"/>
      <c r="I564" s="82"/>
      <c r="J564" s="87" t="s">
        <v>174</v>
      </c>
      <c r="K564" s="87">
        <v>2.0</v>
      </c>
      <c r="L564" s="89"/>
      <c r="M564" s="77"/>
      <c r="N564" s="77"/>
      <c r="O564" s="77"/>
      <c r="P564" s="77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102">
        <f t="shared" si="1"/>
        <v>560</v>
      </c>
      <c r="B565" s="94" t="s">
        <v>1738</v>
      </c>
      <c r="C565" s="95" t="s">
        <v>49</v>
      </c>
      <c r="D565" s="96"/>
      <c r="E565" s="97"/>
      <c r="F565" s="98" t="s">
        <v>43</v>
      </c>
      <c r="G565" s="99" t="s">
        <v>53</v>
      </c>
      <c r="H565" s="93" t="s">
        <v>2421</v>
      </c>
      <c r="I565" s="95"/>
      <c r="J565" s="93" t="s">
        <v>51</v>
      </c>
      <c r="K565" s="93">
        <v>28.0</v>
      </c>
      <c r="L565" s="101"/>
      <c r="M565" s="102"/>
      <c r="N565" s="103" t="s">
        <v>43</v>
      </c>
      <c r="O565" s="102"/>
      <c r="P565" s="102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77">
        <f t="shared" si="1"/>
        <v>561</v>
      </c>
      <c r="B566" s="78" t="s">
        <v>773</v>
      </c>
      <c r="C566" s="82" t="s">
        <v>9</v>
      </c>
      <c r="D566" s="83"/>
      <c r="E566" s="84"/>
      <c r="F566" s="85" t="s">
        <v>43</v>
      </c>
      <c r="G566" s="86" t="s">
        <v>87</v>
      </c>
      <c r="H566" s="87" t="s">
        <v>2424</v>
      </c>
      <c r="I566" s="82"/>
      <c r="J566" s="87" t="s">
        <v>68</v>
      </c>
      <c r="K566" s="87">
        <v>4.0</v>
      </c>
      <c r="L566" s="89"/>
      <c r="M566" s="77"/>
      <c r="N566" s="91" t="s">
        <v>60</v>
      </c>
      <c r="O566" s="77"/>
      <c r="P566" s="77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102">
        <f t="shared" si="1"/>
        <v>562</v>
      </c>
      <c r="B567" s="94" t="s">
        <v>2426</v>
      </c>
      <c r="C567" s="95" t="s">
        <v>9</v>
      </c>
      <c r="D567" s="96"/>
      <c r="E567" s="97"/>
      <c r="F567" s="98" t="s">
        <v>43</v>
      </c>
      <c r="G567" s="99" t="s">
        <v>87</v>
      </c>
      <c r="H567" s="93" t="s">
        <v>2428</v>
      </c>
      <c r="I567" s="95"/>
      <c r="J567" s="93" t="s">
        <v>99</v>
      </c>
      <c r="K567" s="93">
        <v>17.0</v>
      </c>
      <c r="L567" s="101"/>
      <c r="M567" s="102"/>
      <c r="N567" s="103" t="s">
        <v>60</v>
      </c>
      <c r="O567" s="102"/>
      <c r="P567" s="102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77">
        <f t="shared" si="1"/>
        <v>563</v>
      </c>
      <c r="B568" s="78" t="s">
        <v>453</v>
      </c>
      <c r="C568" s="82" t="s">
        <v>72</v>
      </c>
      <c r="D568" s="83"/>
      <c r="E568" s="84"/>
      <c r="F568" s="85" t="s">
        <v>43</v>
      </c>
      <c r="G568" s="86" t="s">
        <v>87</v>
      </c>
      <c r="H568" s="77"/>
      <c r="I568" s="82"/>
      <c r="J568" s="87" t="s">
        <v>174</v>
      </c>
      <c r="K568" s="87">
        <v>3.0</v>
      </c>
      <c r="L568" s="89"/>
      <c r="M568" s="77"/>
      <c r="N568" s="77"/>
      <c r="O568" s="77"/>
      <c r="P568" s="77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102">
        <f t="shared" si="1"/>
        <v>564</v>
      </c>
      <c r="B569" s="94" t="s">
        <v>2432</v>
      </c>
      <c r="C569" s="95" t="s">
        <v>49</v>
      </c>
      <c r="D569" s="96"/>
      <c r="E569" s="112"/>
      <c r="F569" s="98" t="s">
        <v>43</v>
      </c>
      <c r="G569" s="99" t="s">
        <v>53</v>
      </c>
      <c r="H569" s="93" t="s">
        <v>2433</v>
      </c>
      <c r="I569" s="95"/>
      <c r="J569" s="93" t="s">
        <v>174</v>
      </c>
      <c r="K569" s="93">
        <v>3.0</v>
      </c>
      <c r="L569" s="101"/>
      <c r="M569" s="102"/>
      <c r="N569" s="98" t="s">
        <v>60</v>
      </c>
      <c r="O569" s="102"/>
      <c r="P569" s="102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77">
        <f t="shared" si="1"/>
        <v>565</v>
      </c>
      <c r="B570" s="78" t="s">
        <v>1768</v>
      </c>
      <c r="C570" s="82" t="s">
        <v>49</v>
      </c>
      <c r="D570" s="83"/>
      <c r="E570" s="84"/>
      <c r="F570" s="85" t="s">
        <v>43</v>
      </c>
      <c r="G570" s="86" t="s">
        <v>49</v>
      </c>
      <c r="H570" s="87" t="s">
        <v>2437</v>
      </c>
      <c r="I570" s="82"/>
      <c r="J570" s="87" t="s">
        <v>51</v>
      </c>
      <c r="K570" s="87">
        <v>25.0</v>
      </c>
      <c r="L570" s="89"/>
      <c r="M570" s="77"/>
      <c r="N570" s="91" t="s">
        <v>43</v>
      </c>
      <c r="O570" s="77"/>
      <c r="P570" s="77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102">
        <f t="shared" si="1"/>
        <v>566</v>
      </c>
      <c r="B571" s="94" t="s">
        <v>2440</v>
      </c>
      <c r="C571" s="95" t="s">
        <v>49</v>
      </c>
      <c r="D571" s="96"/>
      <c r="E571" s="112"/>
      <c r="F571" s="98" t="s">
        <v>43</v>
      </c>
      <c r="G571" s="99" t="s">
        <v>53</v>
      </c>
      <c r="H571" s="93" t="s">
        <v>2442</v>
      </c>
      <c r="I571" s="95"/>
      <c r="J571" s="93" t="s">
        <v>174</v>
      </c>
      <c r="K571" s="93">
        <v>27.0</v>
      </c>
      <c r="L571" s="101"/>
      <c r="M571" s="102"/>
      <c r="N571" s="103" t="s">
        <v>60</v>
      </c>
      <c r="O571" s="102"/>
      <c r="P571" s="102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77">
        <f t="shared" si="1"/>
        <v>567</v>
      </c>
      <c r="B572" s="78" t="s">
        <v>819</v>
      </c>
      <c r="C572" s="82" t="s">
        <v>49</v>
      </c>
      <c r="D572" s="83"/>
      <c r="E572" s="84"/>
      <c r="F572" s="85" t="s">
        <v>60</v>
      </c>
      <c r="G572" s="86" t="s">
        <v>53</v>
      </c>
      <c r="H572" s="87" t="s">
        <v>2445</v>
      </c>
      <c r="I572" s="82"/>
      <c r="J572" s="87" t="s">
        <v>68</v>
      </c>
      <c r="K572" s="87">
        <v>5.0</v>
      </c>
      <c r="L572" s="89"/>
      <c r="M572" s="77"/>
      <c r="N572" s="91" t="s">
        <v>43</v>
      </c>
      <c r="O572" s="77"/>
      <c r="P572" s="77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102">
        <f t="shared" si="1"/>
        <v>568</v>
      </c>
      <c r="B573" s="94" t="s">
        <v>2448</v>
      </c>
      <c r="C573" s="95" t="s">
        <v>9</v>
      </c>
      <c r="D573" s="96"/>
      <c r="E573" s="97"/>
      <c r="F573" s="109" t="s">
        <v>43</v>
      </c>
      <c r="G573" s="99" t="s">
        <v>87</v>
      </c>
      <c r="H573" s="102"/>
      <c r="I573" s="95"/>
      <c r="J573" s="93" t="s">
        <v>89</v>
      </c>
      <c r="K573" s="102"/>
      <c r="L573" s="101"/>
      <c r="M573" s="102"/>
      <c r="N573" s="102"/>
      <c r="O573" s="102"/>
      <c r="P573" s="102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77">
        <f t="shared" si="1"/>
        <v>569</v>
      </c>
      <c r="B574" s="78" t="s">
        <v>2452</v>
      </c>
      <c r="C574" s="82" t="s">
        <v>49</v>
      </c>
      <c r="D574" s="83"/>
      <c r="E574" s="84"/>
      <c r="F574" s="85" t="s">
        <v>43</v>
      </c>
      <c r="G574" s="86" t="s">
        <v>87</v>
      </c>
      <c r="H574" s="77"/>
      <c r="I574" s="82"/>
      <c r="J574" s="87" t="s">
        <v>68</v>
      </c>
      <c r="K574" s="87">
        <v>20.0</v>
      </c>
      <c r="L574" s="89"/>
      <c r="M574" s="77"/>
      <c r="N574" s="77"/>
      <c r="O574" s="77"/>
      <c r="P574" s="77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102">
        <f t="shared" si="1"/>
        <v>570</v>
      </c>
      <c r="B575" s="94" t="s">
        <v>1953</v>
      </c>
      <c r="C575" s="95" t="s">
        <v>49</v>
      </c>
      <c r="D575" s="96"/>
      <c r="E575" s="97"/>
      <c r="F575" s="98" t="s">
        <v>43</v>
      </c>
      <c r="G575" s="99" t="s">
        <v>53</v>
      </c>
      <c r="H575" s="93" t="s">
        <v>2456</v>
      </c>
      <c r="I575" s="95"/>
      <c r="J575" s="93" t="s">
        <v>51</v>
      </c>
      <c r="K575" s="93">
        <v>4.0</v>
      </c>
      <c r="L575" s="101"/>
      <c r="M575" s="102"/>
      <c r="N575" s="103" t="s">
        <v>60</v>
      </c>
      <c r="O575" s="102"/>
      <c r="P575" s="102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77">
        <f t="shared" si="1"/>
        <v>571</v>
      </c>
      <c r="B576" s="78" t="s">
        <v>164</v>
      </c>
      <c r="C576" s="82" t="s">
        <v>49</v>
      </c>
      <c r="D576" s="83"/>
      <c r="E576" s="84"/>
      <c r="F576" s="85" t="s">
        <v>43</v>
      </c>
      <c r="G576" s="86" t="s">
        <v>53</v>
      </c>
      <c r="H576" s="77"/>
      <c r="I576" s="82"/>
      <c r="J576" s="87" t="s">
        <v>47</v>
      </c>
      <c r="K576" s="87">
        <v>11.0</v>
      </c>
      <c r="L576" s="89"/>
      <c r="M576" s="77"/>
      <c r="N576" s="113"/>
      <c r="O576" s="77"/>
      <c r="P576" s="77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102">
        <f t="shared" si="1"/>
        <v>572</v>
      </c>
      <c r="B577" s="94" t="s">
        <v>1872</v>
      </c>
      <c r="C577" s="95" t="s">
        <v>5</v>
      </c>
      <c r="D577" s="96"/>
      <c r="E577" s="97"/>
      <c r="F577" s="98" t="s">
        <v>43</v>
      </c>
      <c r="G577" s="99" t="s">
        <v>87</v>
      </c>
      <c r="H577" s="93" t="s">
        <v>2462</v>
      </c>
      <c r="I577" s="95" t="s">
        <v>69</v>
      </c>
      <c r="J577" s="93" t="s">
        <v>51</v>
      </c>
      <c r="K577" s="93">
        <v>11.0</v>
      </c>
      <c r="L577" s="101"/>
      <c r="M577" s="102"/>
      <c r="N577" s="103" t="s">
        <v>43</v>
      </c>
      <c r="O577" s="102"/>
      <c r="P577" s="102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77">
        <f t="shared" si="1"/>
        <v>573</v>
      </c>
      <c r="B578" s="78" t="s">
        <v>2146</v>
      </c>
      <c r="C578" s="82" t="s">
        <v>49</v>
      </c>
      <c r="D578" s="83"/>
      <c r="E578" s="84"/>
      <c r="F578" s="85" t="s">
        <v>43</v>
      </c>
      <c r="G578" s="86" t="s">
        <v>53</v>
      </c>
      <c r="H578" s="77"/>
      <c r="I578" s="82"/>
      <c r="J578" s="87" t="s">
        <v>89</v>
      </c>
      <c r="K578" s="87">
        <v>10.0</v>
      </c>
      <c r="L578" s="89"/>
      <c r="M578" s="77"/>
      <c r="N578" s="77"/>
      <c r="O578" s="77"/>
      <c r="P578" s="77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102">
        <f t="shared" si="1"/>
        <v>574</v>
      </c>
      <c r="B579" s="94" t="s">
        <v>2394</v>
      </c>
      <c r="C579" s="95" t="s">
        <v>49</v>
      </c>
      <c r="D579" s="96"/>
      <c r="E579" s="97"/>
      <c r="F579" s="98" t="s">
        <v>43</v>
      </c>
      <c r="G579" s="99" t="s">
        <v>53</v>
      </c>
      <c r="H579" s="102"/>
      <c r="I579" s="95"/>
      <c r="J579" s="93" t="s">
        <v>96</v>
      </c>
      <c r="K579" s="93" t="s">
        <v>2467</v>
      </c>
      <c r="L579" s="101"/>
      <c r="M579" s="102"/>
      <c r="N579" s="102"/>
      <c r="O579" s="102"/>
      <c r="P579" s="102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77">
        <f t="shared" si="1"/>
        <v>575</v>
      </c>
      <c r="B580" s="78" t="s">
        <v>2469</v>
      </c>
      <c r="C580" s="82" t="s">
        <v>5</v>
      </c>
      <c r="D580" s="83"/>
      <c r="E580" s="84"/>
      <c r="F580" s="85" t="s">
        <v>43</v>
      </c>
      <c r="G580" s="86" t="s">
        <v>87</v>
      </c>
      <c r="H580" s="87" t="s">
        <v>2471</v>
      </c>
      <c r="I580" s="111" t="s">
        <v>5</v>
      </c>
      <c r="J580" s="87" t="s">
        <v>99</v>
      </c>
      <c r="K580" s="87" t="s">
        <v>2472</v>
      </c>
      <c r="L580" s="89"/>
      <c r="M580" s="77"/>
      <c r="N580" s="91" t="s">
        <v>43</v>
      </c>
      <c r="O580" s="87"/>
      <c r="P580" s="77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102">
        <f t="shared" si="1"/>
        <v>576</v>
      </c>
      <c r="B581" s="117" t="s">
        <v>2474</v>
      </c>
      <c r="C581" s="95" t="s">
        <v>49</v>
      </c>
      <c r="D581" s="96"/>
      <c r="E581" s="97"/>
      <c r="F581" s="98" t="s">
        <v>43</v>
      </c>
      <c r="G581" s="99" t="s">
        <v>53</v>
      </c>
      <c r="H581" s="93" t="s">
        <v>2475</v>
      </c>
      <c r="I581" s="95"/>
      <c r="J581" s="93" t="s">
        <v>96</v>
      </c>
      <c r="K581" s="93">
        <v>24.0</v>
      </c>
      <c r="L581" s="101"/>
      <c r="M581" s="102"/>
      <c r="N581" s="103" t="s">
        <v>43</v>
      </c>
      <c r="O581" s="102"/>
      <c r="P581" s="102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77">
        <f t="shared" si="1"/>
        <v>577</v>
      </c>
      <c r="B582" s="78" t="s">
        <v>559</v>
      </c>
      <c r="C582" s="82" t="s">
        <v>49</v>
      </c>
      <c r="D582" s="83"/>
      <c r="E582" s="113"/>
      <c r="F582" s="85" t="s">
        <v>43</v>
      </c>
      <c r="G582" s="86" t="s">
        <v>53</v>
      </c>
      <c r="H582" s="87" t="s">
        <v>2479</v>
      </c>
      <c r="I582" s="82"/>
      <c r="J582" s="87" t="s">
        <v>174</v>
      </c>
      <c r="K582" s="87">
        <v>18.0</v>
      </c>
      <c r="L582" s="89"/>
      <c r="M582" s="77"/>
      <c r="N582" s="91" t="s">
        <v>60</v>
      </c>
      <c r="O582" s="77"/>
      <c r="P582" s="77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102">
        <f t="shared" si="1"/>
        <v>578</v>
      </c>
      <c r="B583" s="94" t="s">
        <v>2294</v>
      </c>
      <c r="C583" s="95" t="s">
        <v>49</v>
      </c>
      <c r="D583" s="96"/>
      <c r="E583" s="97"/>
      <c r="F583" s="98" t="s">
        <v>60</v>
      </c>
      <c r="G583" s="99" t="s">
        <v>87</v>
      </c>
      <c r="H583" s="93" t="s">
        <v>2484</v>
      </c>
      <c r="I583" s="95" t="s">
        <v>9</v>
      </c>
      <c r="J583" s="93" t="s">
        <v>89</v>
      </c>
      <c r="K583" s="93">
        <v>24.0</v>
      </c>
      <c r="L583" s="101"/>
      <c r="M583" s="102"/>
      <c r="N583" s="103" t="s">
        <v>43</v>
      </c>
      <c r="O583" s="102"/>
      <c r="P583" s="102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77">
        <f t="shared" si="1"/>
        <v>579</v>
      </c>
      <c r="B584" s="78" t="s">
        <v>2488</v>
      </c>
      <c r="C584" s="82" t="s">
        <v>49</v>
      </c>
      <c r="D584" s="83"/>
      <c r="E584" s="84"/>
      <c r="F584" s="85" t="s">
        <v>43</v>
      </c>
      <c r="G584" s="86" t="s">
        <v>53</v>
      </c>
      <c r="H584" s="77"/>
      <c r="I584" s="82"/>
      <c r="J584" s="87" t="s">
        <v>47</v>
      </c>
      <c r="K584" s="87">
        <v>28.0</v>
      </c>
      <c r="L584" s="89"/>
      <c r="M584" s="77"/>
      <c r="N584" s="77"/>
      <c r="O584" s="77"/>
      <c r="P584" s="77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102">
        <f t="shared" si="1"/>
        <v>580</v>
      </c>
      <c r="B585" s="94" t="s">
        <v>838</v>
      </c>
      <c r="C585" s="95" t="s">
        <v>69</v>
      </c>
      <c r="D585" s="96"/>
      <c r="E585" s="97"/>
      <c r="F585" s="98" t="s">
        <v>43</v>
      </c>
      <c r="G585" s="99" t="s">
        <v>87</v>
      </c>
      <c r="H585" s="102"/>
      <c r="I585" s="95"/>
      <c r="J585" s="93" t="s">
        <v>68</v>
      </c>
      <c r="K585" s="93">
        <v>6.0</v>
      </c>
      <c r="L585" s="101"/>
      <c r="M585" s="102"/>
      <c r="N585" s="102"/>
      <c r="O585" s="102"/>
      <c r="P585" s="102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77">
        <f t="shared" si="1"/>
        <v>581</v>
      </c>
      <c r="B586" s="78" t="s">
        <v>2493</v>
      </c>
      <c r="C586" s="82" t="s">
        <v>172</v>
      </c>
      <c r="D586" s="83"/>
      <c r="E586" s="84"/>
      <c r="F586" s="85" t="s">
        <v>43</v>
      </c>
      <c r="G586" s="86" t="s">
        <v>53</v>
      </c>
      <c r="H586" s="77"/>
      <c r="I586" s="82"/>
      <c r="J586" s="87" t="s">
        <v>89</v>
      </c>
      <c r="K586" s="87">
        <v>31.0</v>
      </c>
      <c r="L586" s="89"/>
      <c r="M586" s="77"/>
      <c r="N586" s="77"/>
      <c r="O586" s="77"/>
      <c r="P586" s="77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102">
        <f t="shared" si="1"/>
        <v>582</v>
      </c>
      <c r="B587" s="94" t="s">
        <v>1707</v>
      </c>
      <c r="C587" s="95" t="s">
        <v>49</v>
      </c>
      <c r="D587" s="96"/>
      <c r="E587" s="97"/>
      <c r="F587" s="98" t="s">
        <v>43</v>
      </c>
      <c r="G587" s="99" t="s">
        <v>53</v>
      </c>
      <c r="H587" s="93" t="s">
        <v>2497</v>
      </c>
      <c r="I587" s="95"/>
      <c r="J587" s="93" t="s">
        <v>51</v>
      </c>
      <c r="K587" s="93">
        <v>31.0</v>
      </c>
      <c r="L587" s="101"/>
      <c r="M587" s="102"/>
      <c r="N587" s="103" t="s">
        <v>43</v>
      </c>
      <c r="O587" s="102"/>
      <c r="P587" s="102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77">
        <f t="shared" si="1"/>
        <v>583</v>
      </c>
      <c r="B588" s="78" t="s">
        <v>137</v>
      </c>
      <c r="C588" s="82" t="s">
        <v>49</v>
      </c>
      <c r="D588" s="83"/>
      <c r="E588" s="84"/>
      <c r="F588" s="85" t="s">
        <v>43</v>
      </c>
      <c r="G588" s="86" t="s">
        <v>53</v>
      </c>
      <c r="H588" s="77"/>
      <c r="I588" s="82"/>
      <c r="J588" s="87" t="s">
        <v>47</v>
      </c>
      <c r="K588" s="87">
        <v>7.0</v>
      </c>
      <c r="L588" s="89"/>
      <c r="M588" s="77"/>
      <c r="N588" s="113"/>
      <c r="O588" s="77"/>
      <c r="P588" s="77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102">
        <f t="shared" si="1"/>
        <v>584</v>
      </c>
      <c r="B589" s="94" t="s">
        <v>2503</v>
      </c>
      <c r="C589" s="95" t="s">
        <v>172</v>
      </c>
      <c r="D589" s="96"/>
      <c r="E589" s="97"/>
      <c r="F589" s="98" t="s">
        <v>43</v>
      </c>
      <c r="G589" s="99" t="s">
        <v>53</v>
      </c>
      <c r="H589" s="93" t="s">
        <v>2504</v>
      </c>
      <c r="I589" s="95"/>
      <c r="J589" s="93" t="s">
        <v>89</v>
      </c>
      <c r="K589" s="93">
        <v>38.0</v>
      </c>
      <c r="L589" s="101"/>
      <c r="M589" s="102"/>
      <c r="N589" s="102"/>
      <c r="O589" s="102"/>
      <c r="P589" s="102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77">
        <f t="shared" si="1"/>
        <v>585</v>
      </c>
      <c r="B590" s="78" t="s">
        <v>2506</v>
      </c>
      <c r="C590" s="82" t="s">
        <v>172</v>
      </c>
      <c r="D590" s="83"/>
      <c r="E590" s="84"/>
      <c r="F590" s="85" t="s">
        <v>43</v>
      </c>
      <c r="G590" s="86" t="s">
        <v>53</v>
      </c>
      <c r="H590" s="87" t="s">
        <v>2507</v>
      </c>
      <c r="I590" s="82"/>
      <c r="J590" s="87" t="s">
        <v>89</v>
      </c>
      <c r="K590" s="87">
        <v>38.0</v>
      </c>
      <c r="L590" s="89"/>
      <c r="M590" s="77"/>
      <c r="N590" s="77"/>
      <c r="O590" s="77"/>
      <c r="P590" s="77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102">
        <f t="shared" si="1"/>
        <v>586</v>
      </c>
      <c r="B591" s="94" t="s">
        <v>42</v>
      </c>
      <c r="C591" s="95" t="s">
        <v>49</v>
      </c>
      <c r="D591" s="139"/>
      <c r="E591" s="108" t="s">
        <v>1612</v>
      </c>
      <c r="F591" s="109" t="s">
        <v>43</v>
      </c>
      <c r="G591" s="99" t="s">
        <v>53</v>
      </c>
      <c r="H591" s="93" t="s">
        <v>2511</v>
      </c>
      <c r="I591" s="95"/>
      <c r="J591" s="93" t="s">
        <v>47</v>
      </c>
      <c r="K591" s="93">
        <v>1.0</v>
      </c>
      <c r="L591" s="93"/>
      <c r="M591" s="108" t="s">
        <v>2514</v>
      </c>
      <c r="N591" s="109" t="s">
        <v>43</v>
      </c>
      <c r="O591" s="93"/>
      <c r="P591" s="102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77">
        <f t="shared" si="1"/>
        <v>587</v>
      </c>
      <c r="B592" s="78" t="s">
        <v>2516</v>
      </c>
      <c r="C592" s="82" t="s">
        <v>5</v>
      </c>
      <c r="D592" s="83"/>
      <c r="E592" s="84"/>
      <c r="F592" s="114" t="s">
        <v>43</v>
      </c>
      <c r="G592" s="86" t="s">
        <v>87</v>
      </c>
      <c r="H592" s="77"/>
      <c r="I592" s="82"/>
      <c r="J592" s="87" t="s">
        <v>51</v>
      </c>
      <c r="K592" s="77"/>
      <c r="L592" s="89"/>
      <c r="M592" s="77"/>
      <c r="N592" s="77"/>
      <c r="O592" s="77"/>
      <c r="P592" s="77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102">
        <f t="shared" si="1"/>
        <v>588</v>
      </c>
      <c r="B593" s="94" t="s">
        <v>2078</v>
      </c>
      <c r="C593" s="95" t="s">
        <v>49</v>
      </c>
      <c r="D593" s="96"/>
      <c r="E593" s="97"/>
      <c r="F593" s="98" t="s">
        <v>43</v>
      </c>
      <c r="G593" s="99" t="s">
        <v>53</v>
      </c>
      <c r="H593" s="93" t="s">
        <v>2521</v>
      </c>
      <c r="I593" s="95"/>
      <c r="J593" s="93" t="s">
        <v>89</v>
      </c>
      <c r="K593" s="93">
        <v>5.0</v>
      </c>
      <c r="L593" s="101"/>
      <c r="M593" s="102"/>
      <c r="N593" s="102"/>
      <c r="O593" s="102"/>
      <c r="P593" s="93" t="s">
        <v>19</v>
      </c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77">
        <f t="shared" si="1"/>
        <v>589</v>
      </c>
      <c r="B594" s="78" t="s">
        <v>2085</v>
      </c>
      <c r="C594" s="111" t="s">
        <v>5</v>
      </c>
      <c r="D594" s="83"/>
      <c r="E594" s="84"/>
      <c r="F594" s="85" t="s">
        <v>43</v>
      </c>
      <c r="G594" s="86" t="s">
        <v>87</v>
      </c>
      <c r="H594" s="87" t="s">
        <v>2526</v>
      </c>
      <c r="I594" s="82" t="s">
        <v>9</v>
      </c>
      <c r="J594" s="87" t="s">
        <v>89</v>
      </c>
      <c r="K594" s="87">
        <v>6.0</v>
      </c>
      <c r="L594" s="89"/>
      <c r="M594" s="77"/>
      <c r="N594" s="91" t="s">
        <v>43</v>
      </c>
      <c r="O594" s="87">
        <v>2.0</v>
      </c>
      <c r="P594" s="77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102">
        <f t="shared" si="1"/>
        <v>590</v>
      </c>
      <c r="B595" s="94" t="s">
        <v>1223</v>
      </c>
      <c r="C595" s="95" t="s">
        <v>49</v>
      </c>
      <c r="D595" s="96"/>
      <c r="E595" s="97"/>
      <c r="F595" s="98" t="s">
        <v>43</v>
      </c>
      <c r="G595" s="99" t="s">
        <v>87</v>
      </c>
      <c r="H595" s="93" t="s">
        <v>2530</v>
      </c>
      <c r="I595" s="95" t="s">
        <v>72</v>
      </c>
      <c r="J595" s="93" t="s">
        <v>68</v>
      </c>
      <c r="K595" s="93">
        <v>31.0</v>
      </c>
      <c r="L595" s="101"/>
      <c r="M595" s="102"/>
      <c r="N595" s="103" t="s">
        <v>43</v>
      </c>
      <c r="O595" s="102"/>
      <c r="P595" s="102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77">
        <f t="shared" si="1"/>
        <v>591</v>
      </c>
      <c r="B596" s="78" t="s">
        <v>1597</v>
      </c>
      <c r="C596" s="82" t="s">
        <v>49</v>
      </c>
      <c r="D596" s="83"/>
      <c r="E596" s="84"/>
      <c r="F596" s="85" t="s">
        <v>43</v>
      </c>
      <c r="G596" s="86" t="s">
        <v>87</v>
      </c>
      <c r="H596" s="87" t="s">
        <v>2534</v>
      </c>
      <c r="I596" s="82" t="s">
        <v>172</v>
      </c>
      <c r="J596" s="87" t="s">
        <v>55</v>
      </c>
      <c r="K596" s="87">
        <v>18.0</v>
      </c>
      <c r="L596" s="89"/>
      <c r="M596" s="77"/>
      <c r="N596" s="91" t="s">
        <v>43</v>
      </c>
      <c r="O596" s="77"/>
      <c r="P596" s="87" t="s">
        <v>19</v>
      </c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102">
        <f t="shared" si="1"/>
        <v>592</v>
      </c>
      <c r="B597" s="94" t="s">
        <v>130</v>
      </c>
      <c r="C597" s="95" t="s">
        <v>9</v>
      </c>
      <c r="D597" s="96"/>
      <c r="E597" s="112"/>
      <c r="F597" s="98" t="s">
        <v>43</v>
      </c>
      <c r="G597" s="99" t="s">
        <v>87</v>
      </c>
      <c r="H597" s="93" t="s">
        <v>2537</v>
      </c>
      <c r="I597" s="95"/>
      <c r="J597" s="93" t="s">
        <v>47</v>
      </c>
      <c r="K597" s="93">
        <v>7.0</v>
      </c>
      <c r="L597" s="101"/>
      <c r="M597" s="102"/>
      <c r="N597" s="112"/>
      <c r="O597" s="102"/>
      <c r="P597" s="102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77">
        <f t="shared" si="1"/>
        <v>593</v>
      </c>
      <c r="B598" s="78" t="s">
        <v>2539</v>
      </c>
      <c r="C598" s="82" t="s">
        <v>49</v>
      </c>
      <c r="D598" s="83"/>
      <c r="E598" s="84"/>
      <c r="F598" s="85" t="s">
        <v>43</v>
      </c>
      <c r="G598" s="86" t="s">
        <v>87</v>
      </c>
      <c r="H598" s="87" t="s">
        <v>2540</v>
      </c>
      <c r="I598" s="82"/>
      <c r="J598" s="87" t="s">
        <v>99</v>
      </c>
      <c r="K598" s="87">
        <v>32.0</v>
      </c>
      <c r="L598" s="89"/>
      <c r="M598" s="77"/>
      <c r="N598" s="91" t="s">
        <v>43</v>
      </c>
      <c r="O598" s="77"/>
      <c r="P598" s="77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102">
        <f t="shared" si="1"/>
        <v>594</v>
      </c>
      <c r="B599" s="94" t="s">
        <v>1365</v>
      </c>
      <c r="C599" s="95" t="s">
        <v>49</v>
      </c>
      <c r="D599" s="96"/>
      <c r="E599" s="97"/>
      <c r="F599" s="98" t="s">
        <v>60</v>
      </c>
      <c r="G599" s="99" t="s">
        <v>49</v>
      </c>
      <c r="H599" s="93" t="s">
        <v>2544</v>
      </c>
      <c r="I599" s="95"/>
      <c r="J599" s="93" t="s">
        <v>55</v>
      </c>
      <c r="K599" s="93">
        <v>4.0</v>
      </c>
      <c r="L599" s="101"/>
      <c r="M599" s="102"/>
      <c r="N599" s="103" t="s">
        <v>60</v>
      </c>
      <c r="O599" s="102"/>
      <c r="P599" s="102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77">
        <f t="shared" si="1"/>
        <v>595</v>
      </c>
      <c r="B600" s="78" t="s">
        <v>2548</v>
      </c>
      <c r="C600" s="82" t="s">
        <v>49</v>
      </c>
      <c r="D600" s="83"/>
      <c r="E600" s="84"/>
      <c r="F600" s="114" t="s">
        <v>43</v>
      </c>
      <c r="G600" s="86" t="s">
        <v>53</v>
      </c>
      <c r="H600" s="77"/>
      <c r="I600" s="82"/>
      <c r="J600" s="87" t="s">
        <v>99</v>
      </c>
      <c r="K600" s="77"/>
      <c r="L600" s="89"/>
      <c r="M600" s="77"/>
      <c r="N600" s="77"/>
      <c r="O600" s="77"/>
      <c r="P600" s="77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102">
        <f t="shared" si="1"/>
        <v>596</v>
      </c>
      <c r="B601" s="94" t="s">
        <v>1011</v>
      </c>
      <c r="C601" s="95" t="s">
        <v>49</v>
      </c>
      <c r="D601" s="96"/>
      <c r="E601" s="97"/>
      <c r="F601" s="98" t="s">
        <v>43</v>
      </c>
      <c r="G601" s="99" t="s">
        <v>53</v>
      </c>
      <c r="H601" s="93" t="s">
        <v>2552</v>
      </c>
      <c r="I601" s="95"/>
      <c r="J601" s="93" t="s">
        <v>68</v>
      </c>
      <c r="K601" s="93">
        <v>17.0</v>
      </c>
      <c r="L601" s="101"/>
      <c r="M601" s="102"/>
      <c r="N601" s="103" t="s">
        <v>43</v>
      </c>
      <c r="O601" s="102"/>
      <c r="P601" s="102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77">
        <f t="shared" si="1"/>
        <v>597</v>
      </c>
      <c r="B602" s="78" t="s">
        <v>1907</v>
      </c>
      <c r="C602" s="82" t="s">
        <v>49</v>
      </c>
      <c r="D602" s="83"/>
      <c r="E602" s="84"/>
      <c r="F602" s="85" t="s">
        <v>43</v>
      </c>
      <c r="G602" s="86" t="s">
        <v>53</v>
      </c>
      <c r="H602" s="77"/>
      <c r="I602" s="82"/>
      <c r="J602" s="87" t="s">
        <v>51</v>
      </c>
      <c r="K602" s="87">
        <v>7.0</v>
      </c>
      <c r="L602" s="89"/>
      <c r="M602" s="77"/>
      <c r="N602" s="77"/>
      <c r="O602" s="77"/>
      <c r="P602" s="77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102">
        <f t="shared" si="1"/>
        <v>598</v>
      </c>
      <c r="B603" s="94" t="s">
        <v>2559</v>
      </c>
      <c r="C603" s="95" t="s">
        <v>69</v>
      </c>
      <c r="D603" s="96"/>
      <c r="E603" s="97"/>
      <c r="F603" s="98" t="s">
        <v>43</v>
      </c>
      <c r="G603" s="99" t="s">
        <v>87</v>
      </c>
      <c r="H603" s="93" t="s">
        <v>2560</v>
      </c>
      <c r="I603" s="95"/>
      <c r="J603" s="93" t="s">
        <v>89</v>
      </c>
      <c r="K603" s="93">
        <v>30.0</v>
      </c>
      <c r="L603" s="101"/>
      <c r="M603" s="102"/>
      <c r="N603" s="103" t="s">
        <v>43</v>
      </c>
      <c r="O603" s="102"/>
      <c r="P603" s="102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77">
        <f t="shared" si="1"/>
        <v>599</v>
      </c>
      <c r="B604" s="78" t="s">
        <v>2562</v>
      </c>
      <c r="C604" s="82" t="s">
        <v>49</v>
      </c>
      <c r="D604" s="83"/>
      <c r="E604" s="84"/>
      <c r="F604" s="85" t="s">
        <v>60</v>
      </c>
      <c r="G604" s="86" t="s">
        <v>49</v>
      </c>
      <c r="H604" s="77"/>
      <c r="I604" s="82"/>
      <c r="J604" s="87" t="s">
        <v>99</v>
      </c>
      <c r="K604" s="87">
        <v>9.0</v>
      </c>
      <c r="L604" s="89"/>
      <c r="M604" s="77"/>
      <c r="N604" s="77"/>
      <c r="O604" s="77"/>
      <c r="P604" s="77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102">
        <f t="shared" si="1"/>
        <v>600</v>
      </c>
      <c r="B605" s="94" t="s">
        <v>2565</v>
      </c>
      <c r="C605" s="95" t="s">
        <v>49</v>
      </c>
      <c r="D605" s="96"/>
      <c r="E605" s="97"/>
      <c r="F605" s="109" t="s">
        <v>43</v>
      </c>
      <c r="G605" s="99" t="s">
        <v>53</v>
      </c>
      <c r="H605" s="102"/>
      <c r="I605" s="95"/>
      <c r="J605" s="93" t="s">
        <v>99</v>
      </c>
      <c r="K605" s="102"/>
      <c r="L605" s="101"/>
      <c r="M605" s="102"/>
      <c r="N605" s="102"/>
      <c r="O605" s="102"/>
      <c r="P605" s="102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77">
        <f t="shared" si="1"/>
        <v>601</v>
      </c>
      <c r="B606" s="78" t="s">
        <v>1575</v>
      </c>
      <c r="C606" s="82" t="s">
        <v>88</v>
      </c>
      <c r="D606" s="83"/>
      <c r="E606" s="84"/>
      <c r="F606" s="85" t="s">
        <v>43</v>
      </c>
      <c r="G606" s="86" t="s">
        <v>53</v>
      </c>
      <c r="H606" s="77"/>
      <c r="I606" s="82"/>
      <c r="J606" s="87" t="s">
        <v>55</v>
      </c>
      <c r="K606" s="87">
        <v>17.0</v>
      </c>
      <c r="L606" s="89"/>
      <c r="M606" s="77"/>
      <c r="N606" s="77"/>
      <c r="O606" s="77"/>
      <c r="P606" s="77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102">
        <f t="shared" si="1"/>
        <v>602</v>
      </c>
      <c r="B607" s="94" t="s">
        <v>2397</v>
      </c>
      <c r="C607" s="95" t="s">
        <v>5</v>
      </c>
      <c r="D607" s="96"/>
      <c r="E607" s="97"/>
      <c r="F607" s="98" t="s">
        <v>43</v>
      </c>
      <c r="G607" s="99" t="s">
        <v>87</v>
      </c>
      <c r="H607" s="93" t="s">
        <v>2572</v>
      </c>
      <c r="I607" s="95"/>
      <c r="J607" s="93" t="s">
        <v>96</v>
      </c>
      <c r="K607" s="93">
        <v>7.0</v>
      </c>
      <c r="L607" s="101"/>
      <c r="M607" s="102"/>
      <c r="N607" s="103" t="s">
        <v>43</v>
      </c>
      <c r="O607" s="102"/>
      <c r="P607" s="102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77">
        <f t="shared" si="1"/>
        <v>603</v>
      </c>
      <c r="B608" s="78" t="s">
        <v>2573</v>
      </c>
      <c r="C608" s="82" t="s">
        <v>49</v>
      </c>
      <c r="D608" s="83"/>
      <c r="E608" s="84"/>
      <c r="F608" s="85" t="s">
        <v>43</v>
      </c>
      <c r="G608" s="86" t="s">
        <v>53</v>
      </c>
      <c r="H608" s="77"/>
      <c r="I608" s="82"/>
      <c r="J608" s="87" t="s">
        <v>96</v>
      </c>
      <c r="K608" s="87">
        <v>31.0</v>
      </c>
      <c r="L608" s="89"/>
      <c r="M608" s="77"/>
      <c r="N608" s="77"/>
      <c r="O608" s="77"/>
      <c r="P608" s="77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102">
        <f t="shared" si="1"/>
        <v>604</v>
      </c>
      <c r="B609" s="94" t="s">
        <v>2576</v>
      </c>
      <c r="C609" s="95" t="s">
        <v>5</v>
      </c>
      <c r="D609" s="96"/>
      <c r="E609" s="97"/>
      <c r="F609" s="98" t="s">
        <v>43</v>
      </c>
      <c r="G609" s="99" t="s">
        <v>87</v>
      </c>
      <c r="H609" s="102"/>
      <c r="I609" s="95"/>
      <c r="J609" s="93" t="s">
        <v>55</v>
      </c>
      <c r="K609" s="93">
        <v>16.0</v>
      </c>
      <c r="L609" s="101"/>
      <c r="M609" s="102"/>
      <c r="N609" s="102"/>
      <c r="O609" s="102"/>
      <c r="P609" s="102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77">
        <f t="shared" si="1"/>
        <v>605</v>
      </c>
      <c r="B610" s="78" t="s">
        <v>66</v>
      </c>
      <c r="C610" s="82" t="s">
        <v>72</v>
      </c>
      <c r="D610" s="83"/>
      <c r="E610" s="130" t="s">
        <v>2514</v>
      </c>
      <c r="F610" s="114" t="s">
        <v>43</v>
      </c>
      <c r="G610" s="86" t="s">
        <v>87</v>
      </c>
      <c r="H610" s="87" t="s">
        <v>2579</v>
      </c>
      <c r="I610" s="82"/>
      <c r="J610" s="87" t="s">
        <v>47</v>
      </c>
      <c r="K610" s="87">
        <v>1.0</v>
      </c>
      <c r="L610" s="89"/>
      <c r="M610" s="77"/>
      <c r="N610" s="113"/>
      <c r="O610" s="77"/>
      <c r="P610" s="77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102">
        <f t="shared" si="1"/>
        <v>606</v>
      </c>
      <c r="B611" s="117" t="s">
        <v>2582</v>
      </c>
      <c r="C611" s="95" t="s">
        <v>5</v>
      </c>
      <c r="D611" s="96"/>
      <c r="E611" s="97"/>
      <c r="F611" s="98" t="s">
        <v>43</v>
      </c>
      <c r="G611" s="99" t="s">
        <v>87</v>
      </c>
      <c r="H611" s="102"/>
      <c r="I611" s="95"/>
      <c r="J611" s="93" t="s">
        <v>68</v>
      </c>
      <c r="K611" s="93">
        <v>16.0</v>
      </c>
      <c r="L611" s="101"/>
      <c r="M611" s="102"/>
      <c r="N611" s="102"/>
      <c r="O611" s="102"/>
      <c r="P611" s="102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77">
        <f t="shared" si="1"/>
        <v>607</v>
      </c>
      <c r="B612" s="78" t="s">
        <v>2584</v>
      </c>
      <c r="C612" s="82" t="s">
        <v>49</v>
      </c>
      <c r="D612" s="83"/>
      <c r="E612" s="84"/>
      <c r="F612" s="114" t="s">
        <v>43</v>
      </c>
      <c r="G612" s="86" t="s">
        <v>53</v>
      </c>
      <c r="H612" s="77"/>
      <c r="I612" s="82"/>
      <c r="J612" s="87" t="s">
        <v>99</v>
      </c>
      <c r="K612" s="77"/>
      <c r="L612" s="89"/>
      <c r="M612" s="77"/>
      <c r="N612" s="77"/>
      <c r="O612" s="77"/>
      <c r="P612" s="77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102">
        <f t="shared" si="1"/>
        <v>608</v>
      </c>
      <c r="B613" s="94" t="s">
        <v>2587</v>
      </c>
      <c r="C613" s="95" t="s">
        <v>69</v>
      </c>
      <c r="D613" s="96"/>
      <c r="E613" s="97"/>
      <c r="F613" s="98" t="s">
        <v>43</v>
      </c>
      <c r="G613" s="99" t="s">
        <v>87</v>
      </c>
      <c r="H613" s="102"/>
      <c r="I613" s="95"/>
      <c r="J613" s="93" t="s">
        <v>96</v>
      </c>
      <c r="K613" s="93">
        <v>6.0</v>
      </c>
      <c r="L613" s="101"/>
      <c r="M613" s="102"/>
      <c r="N613" s="103" t="s">
        <v>43</v>
      </c>
      <c r="O613" s="102"/>
      <c r="P613" s="102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77">
        <f t="shared" si="1"/>
        <v>609</v>
      </c>
      <c r="B614" s="78" t="s">
        <v>2591</v>
      </c>
      <c r="C614" s="82" t="s">
        <v>5</v>
      </c>
      <c r="D614" s="83"/>
      <c r="E614" s="84"/>
      <c r="F614" s="85" t="s">
        <v>43</v>
      </c>
      <c r="G614" s="86" t="s">
        <v>87</v>
      </c>
      <c r="H614" s="87" t="s">
        <v>2592</v>
      </c>
      <c r="I614" s="82"/>
      <c r="J614" s="87" t="s">
        <v>89</v>
      </c>
      <c r="K614" s="87">
        <v>30.0</v>
      </c>
      <c r="L614" s="89"/>
      <c r="M614" s="77"/>
      <c r="N614" s="91" t="s">
        <v>43</v>
      </c>
      <c r="O614" s="77"/>
      <c r="P614" s="77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102">
        <f t="shared" si="1"/>
        <v>610</v>
      </c>
      <c r="B615" s="94" t="s">
        <v>366</v>
      </c>
      <c r="C615" s="95" t="s">
        <v>5</v>
      </c>
      <c r="D615" s="96"/>
      <c r="E615" s="97"/>
      <c r="F615" s="98" t="s">
        <v>43</v>
      </c>
      <c r="G615" s="99" t="s">
        <v>87</v>
      </c>
      <c r="H615" s="102"/>
      <c r="I615" s="95"/>
      <c r="J615" s="93" t="s">
        <v>47</v>
      </c>
      <c r="K615" s="93">
        <v>30.0</v>
      </c>
      <c r="L615" s="101"/>
      <c r="M615" s="102"/>
      <c r="N615" s="102"/>
      <c r="O615" s="102"/>
      <c r="P615" s="102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77">
        <f t="shared" si="1"/>
        <v>611</v>
      </c>
      <c r="B616" s="78" t="s">
        <v>2596</v>
      </c>
      <c r="C616" s="82" t="s">
        <v>5</v>
      </c>
      <c r="D616" s="83"/>
      <c r="E616" s="84"/>
      <c r="F616" s="85" t="s">
        <v>203</v>
      </c>
      <c r="G616" s="86" t="s">
        <v>49</v>
      </c>
      <c r="H616" s="77"/>
      <c r="I616" s="82"/>
      <c r="J616" s="87" t="s">
        <v>99</v>
      </c>
      <c r="K616" s="87" t="s">
        <v>2598</v>
      </c>
      <c r="L616" s="89"/>
      <c r="M616" s="77"/>
      <c r="N616" s="77"/>
      <c r="O616" s="77"/>
      <c r="P616" s="77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102">
        <f t="shared" si="1"/>
        <v>612</v>
      </c>
      <c r="B617" s="94" t="s">
        <v>1116</v>
      </c>
      <c r="C617" s="95" t="s">
        <v>49</v>
      </c>
      <c r="D617" s="96"/>
      <c r="E617" s="97"/>
      <c r="F617" s="98" t="s">
        <v>60</v>
      </c>
      <c r="G617" s="99" t="s">
        <v>53</v>
      </c>
      <c r="H617" s="93" t="s">
        <v>2600</v>
      </c>
      <c r="I617" s="95"/>
      <c r="J617" s="93" t="s">
        <v>68</v>
      </c>
      <c r="K617" s="93">
        <v>27.0</v>
      </c>
      <c r="L617" s="101"/>
      <c r="M617" s="102"/>
      <c r="N617" s="103" t="s">
        <v>43</v>
      </c>
      <c r="O617" s="102"/>
      <c r="P617" s="102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77">
        <f t="shared" si="1"/>
        <v>613</v>
      </c>
      <c r="B618" s="78" t="s">
        <v>2602</v>
      </c>
      <c r="C618" s="82" t="s">
        <v>49</v>
      </c>
      <c r="D618" s="83"/>
      <c r="E618" s="84"/>
      <c r="F618" s="85" t="s">
        <v>60</v>
      </c>
      <c r="G618" s="86" t="s">
        <v>53</v>
      </c>
      <c r="H618" s="87" t="s">
        <v>2604</v>
      </c>
      <c r="I618" s="82"/>
      <c r="J618" s="87" t="s">
        <v>99</v>
      </c>
      <c r="K618" s="87">
        <v>36.0</v>
      </c>
      <c r="L618" s="89"/>
      <c r="M618" s="77"/>
      <c r="N618" s="91" t="s">
        <v>43</v>
      </c>
      <c r="O618" s="77"/>
      <c r="P618" s="77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102">
        <f t="shared" si="1"/>
        <v>614</v>
      </c>
      <c r="B619" s="94" t="s">
        <v>2606</v>
      </c>
      <c r="C619" s="95" t="s">
        <v>5</v>
      </c>
      <c r="D619" s="96"/>
      <c r="E619" s="97"/>
      <c r="F619" s="109" t="s">
        <v>43</v>
      </c>
      <c r="G619" s="99" t="s">
        <v>87</v>
      </c>
      <c r="H619" s="93" t="s">
        <v>2607</v>
      </c>
      <c r="I619" s="95" t="s">
        <v>5</v>
      </c>
      <c r="J619" s="93" t="s">
        <v>47</v>
      </c>
      <c r="K619" s="102"/>
      <c r="L619" s="101"/>
      <c r="M619" s="102"/>
      <c r="N619" s="102"/>
      <c r="O619" s="102"/>
      <c r="P619" s="102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77">
        <f t="shared" si="1"/>
        <v>615</v>
      </c>
      <c r="B620" s="78" t="s">
        <v>797</v>
      </c>
      <c r="C620" s="82" t="s">
        <v>49</v>
      </c>
      <c r="D620" s="83"/>
      <c r="E620" s="84"/>
      <c r="F620" s="85" t="s">
        <v>203</v>
      </c>
      <c r="G620" s="86" t="s">
        <v>49</v>
      </c>
      <c r="H620" s="77"/>
      <c r="I620" s="82"/>
      <c r="J620" s="87" t="s">
        <v>68</v>
      </c>
      <c r="K620" s="87">
        <v>4.0</v>
      </c>
      <c r="L620" s="89"/>
      <c r="M620" s="77"/>
      <c r="N620" s="77"/>
      <c r="O620" s="77"/>
      <c r="P620" s="77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102">
        <f t="shared" si="1"/>
        <v>616</v>
      </c>
      <c r="B621" s="94" t="s">
        <v>2611</v>
      </c>
      <c r="C621" s="95" t="s">
        <v>49</v>
      </c>
      <c r="D621" s="96"/>
      <c r="E621" s="97"/>
      <c r="F621" s="109" t="s">
        <v>43</v>
      </c>
      <c r="G621" s="99" t="s">
        <v>53</v>
      </c>
      <c r="H621" s="102"/>
      <c r="I621" s="95"/>
      <c r="J621" s="93" t="s">
        <v>51</v>
      </c>
      <c r="K621" s="102"/>
      <c r="L621" s="101"/>
      <c r="M621" s="102"/>
      <c r="N621" s="102"/>
      <c r="O621" s="102"/>
      <c r="P621" s="102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77">
        <f t="shared" si="1"/>
        <v>617</v>
      </c>
      <c r="B622" s="78" t="s">
        <v>2319</v>
      </c>
      <c r="C622" s="82" t="s">
        <v>49</v>
      </c>
      <c r="D622" s="83"/>
      <c r="E622" s="84"/>
      <c r="F622" s="85" t="s">
        <v>43</v>
      </c>
      <c r="G622" s="86" t="s">
        <v>53</v>
      </c>
      <c r="H622" s="87" t="s">
        <v>2615</v>
      </c>
      <c r="I622" s="82"/>
      <c r="J622" s="87" t="s">
        <v>96</v>
      </c>
      <c r="K622" s="87">
        <v>34.0</v>
      </c>
      <c r="L622" s="89"/>
      <c r="M622" s="77"/>
      <c r="N622" s="91" t="s">
        <v>43</v>
      </c>
      <c r="O622" s="77"/>
      <c r="P622" s="77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102">
        <f t="shared" si="1"/>
        <v>618</v>
      </c>
      <c r="B623" s="117" t="s">
        <v>2616</v>
      </c>
      <c r="C623" s="95" t="s">
        <v>5</v>
      </c>
      <c r="D623" s="96"/>
      <c r="E623" s="97"/>
      <c r="F623" s="98" t="s">
        <v>43</v>
      </c>
      <c r="G623" s="99" t="s">
        <v>87</v>
      </c>
      <c r="H623" s="102"/>
      <c r="I623" s="95"/>
      <c r="J623" s="93" t="s">
        <v>89</v>
      </c>
      <c r="K623" s="93">
        <v>28.0</v>
      </c>
      <c r="L623" s="101"/>
      <c r="M623" s="102"/>
      <c r="N623" s="102"/>
      <c r="O623" s="102"/>
      <c r="P623" s="102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77">
        <f t="shared" si="1"/>
        <v>619</v>
      </c>
      <c r="B624" s="78" t="s">
        <v>2618</v>
      </c>
      <c r="C624" s="82" t="s">
        <v>69</v>
      </c>
      <c r="D624" s="83"/>
      <c r="E624" s="84"/>
      <c r="F624" s="85" t="s">
        <v>43</v>
      </c>
      <c r="G624" s="86" t="s">
        <v>87</v>
      </c>
      <c r="H624" s="77"/>
      <c r="I624" s="82"/>
      <c r="J624" s="87" t="s">
        <v>55</v>
      </c>
      <c r="K624" s="87">
        <v>15.0</v>
      </c>
      <c r="L624" s="89"/>
      <c r="M624" s="77"/>
      <c r="N624" s="77"/>
      <c r="O624" s="77"/>
      <c r="P624" s="77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102">
        <f t="shared" si="1"/>
        <v>620</v>
      </c>
      <c r="B625" s="94" t="s">
        <v>1812</v>
      </c>
      <c r="C625" s="95" t="s">
        <v>5</v>
      </c>
      <c r="D625" s="96"/>
      <c r="E625" s="97"/>
      <c r="F625" s="98" t="s">
        <v>43</v>
      </c>
      <c r="G625" s="99" t="s">
        <v>87</v>
      </c>
      <c r="H625" s="102"/>
      <c r="I625" s="95"/>
      <c r="J625" s="93" t="s">
        <v>51</v>
      </c>
      <c r="K625" s="93">
        <v>23.0</v>
      </c>
      <c r="L625" s="101"/>
      <c r="M625" s="102"/>
      <c r="N625" s="102"/>
      <c r="O625" s="102"/>
      <c r="P625" s="102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77">
        <f t="shared" si="1"/>
        <v>621</v>
      </c>
      <c r="B626" s="78" t="s">
        <v>323</v>
      </c>
      <c r="C626" s="82" t="s">
        <v>69</v>
      </c>
      <c r="D626" s="83"/>
      <c r="E626" s="84"/>
      <c r="F626" s="85" t="s">
        <v>43</v>
      </c>
      <c r="G626" s="86" t="s">
        <v>87</v>
      </c>
      <c r="H626" s="77"/>
      <c r="I626" s="82"/>
      <c r="J626" s="87" t="s">
        <v>47</v>
      </c>
      <c r="K626" s="87">
        <v>26.0</v>
      </c>
      <c r="L626" s="89"/>
      <c r="M626" s="77"/>
      <c r="N626" s="77"/>
      <c r="O626" s="77"/>
      <c r="P626" s="77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102">
        <f t="shared" si="1"/>
        <v>622</v>
      </c>
      <c r="B627" s="94" t="s">
        <v>126</v>
      </c>
      <c r="C627" s="95" t="s">
        <v>49</v>
      </c>
      <c r="D627" s="96"/>
      <c r="E627" s="112"/>
      <c r="F627" s="98" t="s">
        <v>43</v>
      </c>
      <c r="G627" s="99" t="s">
        <v>53</v>
      </c>
      <c r="H627" s="93" t="s">
        <v>2622</v>
      </c>
      <c r="I627" s="95"/>
      <c r="J627" s="93" t="s">
        <v>47</v>
      </c>
      <c r="K627" s="93">
        <v>7.0</v>
      </c>
      <c r="L627" s="101"/>
      <c r="M627" s="102"/>
      <c r="N627" s="112"/>
      <c r="O627" s="102"/>
      <c r="P627" s="102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77">
        <f t="shared" si="1"/>
        <v>623</v>
      </c>
      <c r="B628" s="78" t="s">
        <v>1999</v>
      </c>
      <c r="C628" s="82" t="s">
        <v>76</v>
      </c>
      <c r="D628" s="83"/>
      <c r="E628" s="84"/>
      <c r="F628" s="85" t="s">
        <v>43</v>
      </c>
      <c r="G628" s="86" t="s">
        <v>53</v>
      </c>
      <c r="H628" s="77"/>
      <c r="I628" s="82"/>
      <c r="J628" s="87" t="s">
        <v>51</v>
      </c>
      <c r="K628" s="87" t="s">
        <v>616</v>
      </c>
      <c r="L628" s="89"/>
      <c r="M628" s="77"/>
      <c r="N628" s="77"/>
      <c r="O628" s="77"/>
      <c r="P628" s="77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102">
        <f t="shared" si="1"/>
        <v>624</v>
      </c>
      <c r="B629" s="94" t="s">
        <v>2625</v>
      </c>
      <c r="C629" s="95" t="s">
        <v>49</v>
      </c>
      <c r="D629" s="96"/>
      <c r="E629" s="97"/>
      <c r="F629" s="109" t="s">
        <v>43</v>
      </c>
      <c r="G629" s="99" t="s">
        <v>53</v>
      </c>
      <c r="H629" s="102"/>
      <c r="I629" s="95"/>
      <c r="J629" s="93" t="s">
        <v>89</v>
      </c>
      <c r="K629" s="102"/>
      <c r="L629" s="101"/>
      <c r="M629" s="102"/>
      <c r="N629" s="102"/>
      <c r="O629" s="102"/>
      <c r="P629" s="102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77">
        <f t="shared" si="1"/>
        <v>625</v>
      </c>
      <c r="B630" s="78" t="s">
        <v>2628</v>
      </c>
      <c r="C630" s="82" t="s">
        <v>9</v>
      </c>
      <c r="D630" s="83"/>
      <c r="E630" s="84"/>
      <c r="F630" s="114" t="s">
        <v>43</v>
      </c>
      <c r="G630" s="86" t="s">
        <v>87</v>
      </c>
      <c r="H630" s="77"/>
      <c r="I630" s="82"/>
      <c r="J630" s="87" t="s">
        <v>68</v>
      </c>
      <c r="K630" s="77"/>
      <c r="L630" s="89"/>
      <c r="M630" s="77"/>
      <c r="N630" s="77"/>
      <c r="O630" s="77"/>
      <c r="P630" s="77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102">
        <f t="shared" si="1"/>
        <v>626</v>
      </c>
      <c r="B631" s="140" t="s">
        <v>2630</v>
      </c>
      <c r="C631" s="95" t="s">
        <v>49</v>
      </c>
      <c r="D631" s="96"/>
      <c r="E631" s="112"/>
      <c r="F631" s="98" t="s">
        <v>60</v>
      </c>
      <c r="G631" s="99" t="s">
        <v>53</v>
      </c>
      <c r="H631" s="93" t="s">
        <v>2631</v>
      </c>
      <c r="I631" s="95" t="s">
        <v>88</v>
      </c>
      <c r="J631" s="93" t="s">
        <v>174</v>
      </c>
      <c r="K631" s="93">
        <v>27.0</v>
      </c>
      <c r="L631" s="101"/>
      <c r="M631" s="102"/>
      <c r="N631" s="103" t="s">
        <v>43</v>
      </c>
      <c r="O631" s="102"/>
      <c r="P631" s="102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77">
        <f t="shared" si="1"/>
        <v>627</v>
      </c>
      <c r="B632" s="78" t="s">
        <v>2634</v>
      </c>
      <c r="C632" s="82" t="s">
        <v>49</v>
      </c>
      <c r="D632" s="83"/>
      <c r="E632" s="84"/>
      <c r="F632" s="114" t="s">
        <v>43</v>
      </c>
      <c r="G632" s="86" t="s">
        <v>53</v>
      </c>
      <c r="H632" s="77"/>
      <c r="I632" s="82"/>
      <c r="J632" s="87" t="s">
        <v>89</v>
      </c>
      <c r="K632" s="77"/>
      <c r="L632" s="89"/>
      <c r="M632" s="77"/>
      <c r="N632" s="77"/>
      <c r="O632" s="77"/>
      <c r="P632" s="77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102">
        <f t="shared" si="1"/>
        <v>628</v>
      </c>
      <c r="B633" s="94" t="s">
        <v>2636</v>
      </c>
      <c r="C633" s="95" t="s">
        <v>9</v>
      </c>
      <c r="D633" s="96"/>
      <c r="E633" s="97"/>
      <c r="F633" s="109" t="s">
        <v>43</v>
      </c>
      <c r="G633" s="99" t="s">
        <v>87</v>
      </c>
      <c r="H633" s="102"/>
      <c r="I633" s="95"/>
      <c r="J633" s="93" t="s">
        <v>68</v>
      </c>
      <c r="K633" s="102"/>
      <c r="L633" s="101"/>
      <c r="M633" s="102"/>
      <c r="N633" s="102"/>
      <c r="O633" s="102"/>
      <c r="P633" s="102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77">
        <f t="shared" si="1"/>
        <v>629</v>
      </c>
      <c r="B634" s="78" t="s">
        <v>2638</v>
      </c>
      <c r="C634" s="82" t="s">
        <v>202</v>
      </c>
      <c r="D634" s="83"/>
      <c r="E634" s="84"/>
      <c r="F634" s="114" t="s">
        <v>43</v>
      </c>
      <c r="G634" s="86" t="s">
        <v>87</v>
      </c>
      <c r="H634" s="77"/>
      <c r="I634" s="82"/>
      <c r="J634" s="87" t="s">
        <v>96</v>
      </c>
      <c r="K634" s="77"/>
      <c r="L634" s="89"/>
      <c r="M634" s="77"/>
      <c r="N634" s="77"/>
      <c r="O634" s="77"/>
      <c r="P634" s="77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102">
        <f t="shared" si="1"/>
        <v>630</v>
      </c>
      <c r="B635" s="94" t="s">
        <v>2641</v>
      </c>
      <c r="C635" s="95" t="s">
        <v>49</v>
      </c>
      <c r="D635" s="96"/>
      <c r="E635" s="97"/>
      <c r="F635" s="109" t="s">
        <v>43</v>
      </c>
      <c r="G635" s="99" t="s">
        <v>53</v>
      </c>
      <c r="H635" s="102"/>
      <c r="I635" s="95"/>
      <c r="J635" s="93" t="s">
        <v>68</v>
      </c>
      <c r="K635" s="102"/>
      <c r="L635" s="101"/>
      <c r="M635" s="102"/>
      <c r="N635" s="102"/>
      <c r="O635" s="102"/>
      <c r="P635" s="102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77">
        <f t="shared" si="1"/>
        <v>631</v>
      </c>
      <c r="B636" s="78" t="s">
        <v>1913</v>
      </c>
      <c r="C636" s="82" t="s">
        <v>49</v>
      </c>
      <c r="D636" s="83"/>
      <c r="E636" s="84"/>
      <c r="F636" s="85" t="s">
        <v>43</v>
      </c>
      <c r="G636" s="86" t="s">
        <v>53</v>
      </c>
      <c r="H636" s="87" t="s">
        <v>2643</v>
      </c>
      <c r="I636" s="82"/>
      <c r="J636" s="87" t="s">
        <v>51</v>
      </c>
      <c r="K636" s="87">
        <v>6.0</v>
      </c>
      <c r="L636" s="89"/>
      <c r="M636" s="77"/>
      <c r="N636" s="91" t="s">
        <v>60</v>
      </c>
      <c r="O636" s="77"/>
      <c r="P636" s="77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102">
        <f t="shared" si="1"/>
        <v>632</v>
      </c>
      <c r="B637" s="94" t="s">
        <v>2646</v>
      </c>
      <c r="C637" s="95" t="s">
        <v>49</v>
      </c>
      <c r="D637" s="96"/>
      <c r="E637" s="97"/>
      <c r="F637" s="98" t="s">
        <v>43</v>
      </c>
      <c r="G637" s="99" t="s">
        <v>53</v>
      </c>
      <c r="H637" s="102"/>
      <c r="I637" s="95"/>
      <c r="J637" s="93" t="s">
        <v>99</v>
      </c>
      <c r="K637" s="93">
        <v>17.0</v>
      </c>
      <c r="L637" s="101"/>
      <c r="M637" s="102"/>
      <c r="N637" s="102"/>
      <c r="O637" s="102"/>
      <c r="P637" s="102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77">
        <f t="shared" si="1"/>
        <v>633</v>
      </c>
      <c r="B638" s="78" t="s">
        <v>2289</v>
      </c>
      <c r="C638" s="82" t="s">
        <v>9</v>
      </c>
      <c r="D638" s="83"/>
      <c r="E638" s="84"/>
      <c r="F638" s="85" t="s">
        <v>43</v>
      </c>
      <c r="G638" s="86" t="s">
        <v>87</v>
      </c>
      <c r="H638" s="87" t="s">
        <v>2649</v>
      </c>
      <c r="I638" s="82"/>
      <c r="J638" s="87" t="s">
        <v>89</v>
      </c>
      <c r="K638" s="87">
        <v>24.0</v>
      </c>
      <c r="L638" s="89"/>
      <c r="M638" s="77"/>
      <c r="N638" s="91" t="s">
        <v>203</v>
      </c>
      <c r="O638" s="77"/>
      <c r="P638" s="77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102">
        <f t="shared" si="1"/>
        <v>634</v>
      </c>
      <c r="B639" s="94" t="s">
        <v>2653</v>
      </c>
      <c r="C639" s="95" t="s">
        <v>49</v>
      </c>
      <c r="D639" s="96"/>
      <c r="E639" s="97"/>
      <c r="F639" s="98" t="s">
        <v>43</v>
      </c>
      <c r="G639" s="99" t="s">
        <v>87</v>
      </c>
      <c r="H639" s="93" t="s">
        <v>2654</v>
      </c>
      <c r="I639" s="95"/>
      <c r="J639" s="93" t="s">
        <v>96</v>
      </c>
      <c r="K639" s="93">
        <v>23.0</v>
      </c>
      <c r="L639" s="101"/>
      <c r="M639" s="102"/>
      <c r="N639" s="103" t="s">
        <v>43</v>
      </c>
      <c r="O639" s="102"/>
      <c r="P639" s="102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77">
        <f t="shared" si="1"/>
        <v>635</v>
      </c>
      <c r="B640" s="78" t="s">
        <v>2658</v>
      </c>
      <c r="C640" s="82" t="s">
        <v>49</v>
      </c>
      <c r="D640" s="83"/>
      <c r="E640" s="84"/>
      <c r="F640" s="85" t="s">
        <v>43</v>
      </c>
      <c r="G640" s="86" t="s">
        <v>87</v>
      </c>
      <c r="H640" s="87" t="s">
        <v>2659</v>
      </c>
      <c r="I640" s="82"/>
      <c r="J640" s="87" t="s">
        <v>89</v>
      </c>
      <c r="K640" s="87">
        <v>35.0</v>
      </c>
      <c r="L640" s="89"/>
      <c r="M640" s="77"/>
      <c r="N640" s="91" t="s">
        <v>43</v>
      </c>
      <c r="O640" s="77"/>
      <c r="P640" s="77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102">
        <f t="shared" si="1"/>
        <v>636</v>
      </c>
      <c r="B641" s="94" t="s">
        <v>2249</v>
      </c>
      <c r="C641" s="107" t="s">
        <v>9</v>
      </c>
      <c r="D641" s="96"/>
      <c r="E641" s="97"/>
      <c r="F641" s="98" t="s">
        <v>43</v>
      </c>
      <c r="G641" s="99" t="s">
        <v>87</v>
      </c>
      <c r="H641" s="93" t="s">
        <v>2662</v>
      </c>
      <c r="I641" s="95"/>
      <c r="J641" s="93" t="s">
        <v>89</v>
      </c>
      <c r="K641" s="93">
        <v>22.0</v>
      </c>
      <c r="L641" s="101"/>
      <c r="M641" s="102"/>
      <c r="N641" s="103" t="s">
        <v>43</v>
      </c>
      <c r="O641" s="102"/>
      <c r="P641" s="102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77">
        <f t="shared" si="1"/>
        <v>637</v>
      </c>
      <c r="B642" s="78" t="s">
        <v>1464</v>
      </c>
      <c r="C642" s="82" t="s">
        <v>49</v>
      </c>
      <c r="D642" s="83"/>
      <c r="E642" s="84"/>
      <c r="F642" s="85" t="s">
        <v>43</v>
      </c>
      <c r="G642" s="86" t="s">
        <v>53</v>
      </c>
      <c r="H642" s="87" t="s">
        <v>2664</v>
      </c>
      <c r="I642" s="82"/>
      <c r="J642" s="87" t="s">
        <v>55</v>
      </c>
      <c r="K642" s="87">
        <v>11.0</v>
      </c>
      <c r="L642" s="89"/>
      <c r="M642" s="77"/>
      <c r="N642" s="91" t="s">
        <v>43</v>
      </c>
      <c r="O642" s="77"/>
      <c r="P642" s="77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102">
        <f t="shared" si="1"/>
        <v>638</v>
      </c>
      <c r="B643" s="94" t="s">
        <v>2123</v>
      </c>
      <c r="C643" s="95" t="s">
        <v>76</v>
      </c>
      <c r="D643" s="96"/>
      <c r="E643" s="97"/>
      <c r="F643" s="98" t="s">
        <v>60</v>
      </c>
      <c r="G643" s="99" t="s">
        <v>53</v>
      </c>
      <c r="H643" s="93" t="s">
        <v>2666</v>
      </c>
      <c r="I643" s="95" t="s">
        <v>76</v>
      </c>
      <c r="J643" s="93" t="s">
        <v>89</v>
      </c>
      <c r="K643" s="93">
        <v>9.0</v>
      </c>
      <c r="L643" s="101"/>
      <c r="M643" s="102"/>
      <c r="N643" s="103" t="s">
        <v>43</v>
      </c>
      <c r="O643" s="93"/>
      <c r="P643" s="102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77">
        <f t="shared" si="1"/>
        <v>639</v>
      </c>
      <c r="B644" s="78" t="s">
        <v>2156</v>
      </c>
      <c r="C644" s="82" t="s">
        <v>9</v>
      </c>
      <c r="D644" s="83"/>
      <c r="E644" s="84"/>
      <c r="F644" s="85" t="s">
        <v>43</v>
      </c>
      <c r="G644" s="86" t="s">
        <v>87</v>
      </c>
      <c r="H644" s="87" t="s">
        <v>2669</v>
      </c>
      <c r="I644" s="82"/>
      <c r="J644" s="87" t="s">
        <v>89</v>
      </c>
      <c r="K644" s="87">
        <v>12.0</v>
      </c>
      <c r="L644" s="89"/>
      <c r="M644" s="77"/>
      <c r="N644" s="91" t="s">
        <v>60</v>
      </c>
      <c r="O644" s="77"/>
      <c r="P644" s="77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102">
        <f t="shared" si="1"/>
        <v>640</v>
      </c>
      <c r="B645" s="94" t="s">
        <v>1050</v>
      </c>
      <c r="C645" s="95" t="s">
        <v>49</v>
      </c>
      <c r="D645" s="96"/>
      <c r="E645" s="97"/>
      <c r="F645" s="98" t="s">
        <v>43</v>
      </c>
      <c r="G645" s="99" t="s">
        <v>53</v>
      </c>
      <c r="H645" s="93" t="s">
        <v>2672</v>
      </c>
      <c r="I645" s="95"/>
      <c r="J645" s="93" t="s">
        <v>68</v>
      </c>
      <c r="K645" s="93">
        <v>23.0</v>
      </c>
      <c r="L645" s="101"/>
      <c r="M645" s="102"/>
      <c r="N645" s="103" t="s">
        <v>60</v>
      </c>
      <c r="O645" s="102"/>
      <c r="P645" s="102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77">
        <f t="shared" si="1"/>
        <v>641</v>
      </c>
      <c r="B646" s="78" t="s">
        <v>1926</v>
      </c>
      <c r="C646" s="82" t="s">
        <v>5</v>
      </c>
      <c r="D646" s="83"/>
      <c r="E646" s="84"/>
      <c r="F646" s="85" t="s">
        <v>43</v>
      </c>
      <c r="G646" s="86" t="s">
        <v>87</v>
      </c>
      <c r="H646" s="77"/>
      <c r="I646" s="82"/>
      <c r="J646" s="87" t="s">
        <v>51</v>
      </c>
      <c r="K646" s="87">
        <v>3.0</v>
      </c>
      <c r="L646" s="89"/>
      <c r="M646" s="77"/>
      <c r="N646" s="77"/>
      <c r="O646" s="77"/>
      <c r="P646" s="77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102">
        <f t="shared" si="1"/>
        <v>642</v>
      </c>
      <c r="B647" s="94" t="s">
        <v>1509</v>
      </c>
      <c r="C647" s="95" t="s">
        <v>88</v>
      </c>
      <c r="D647" s="96"/>
      <c r="E647" s="97"/>
      <c r="F647" s="98" t="s">
        <v>43</v>
      </c>
      <c r="G647" s="99" t="s">
        <v>53</v>
      </c>
      <c r="H647" s="102"/>
      <c r="I647" s="95"/>
      <c r="J647" s="93" t="s">
        <v>55</v>
      </c>
      <c r="K647" s="93">
        <v>12.0</v>
      </c>
      <c r="L647" s="101"/>
      <c r="M647" s="102"/>
      <c r="N647" s="102"/>
      <c r="O647" s="102"/>
      <c r="P647" s="102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77">
        <f t="shared" si="1"/>
        <v>643</v>
      </c>
      <c r="B648" s="78" t="s">
        <v>2679</v>
      </c>
      <c r="C648" s="82" t="s">
        <v>72</v>
      </c>
      <c r="D648" s="83"/>
      <c r="E648" s="84"/>
      <c r="F648" s="85" t="s">
        <v>43</v>
      </c>
      <c r="G648" s="86" t="s">
        <v>87</v>
      </c>
      <c r="H648" s="77"/>
      <c r="I648" s="82"/>
      <c r="J648" s="87" t="s">
        <v>99</v>
      </c>
      <c r="K648" s="87">
        <v>17.0</v>
      </c>
      <c r="L648" s="89"/>
      <c r="M648" s="77"/>
      <c r="N648" s="77"/>
      <c r="O648" s="77"/>
      <c r="P648" s="77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102">
        <f t="shared" si="1"/>
        <v>644</v>
      </c>
      <c r="B649" s="94" t="s">
        <v>1651</v>
      </c>
      <c r="C649" s="95" t="s">
        <v>49</v>
      </c>
      <c r="D649" s="96"/>
      <c r="E649" s="97"/>
      <c r="F649" s="98" t="s">
        <v>43</v>
      </c>
      <c r="G649" s="99" t="s">
        <v>53</v>
      </c>
      <c r="H649" s="93" t="s">
        <v>2683</v>
      </c>
      <c r="I649" s="95"/>
      <c r="J649" s="93" t="s">
        <v>55</v>
      </c>
      <c r="K649" s="93">
        <v>23.0</v>
      </c>
      <c r="L649" s="101"/>
      <c r="M649" s="102"/>
      <c r="N649" s="103" t="s">
        <v>43</v>
      </c>
      <c r="O649" s="102"/>
      <c r="P649" s="102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77">
        <f t="shared" si="1"/>
        <v>645</v>
      </c>
      <c r="B650" s="78" t="s">
        <v>2684</v>
      </c>
      <c r="C650" s="82" t="s">
        <v>49</v>
      </c>
      <c r="D650" s="83"/>
      <c r="E650" s="84"/>
      <c r="F650" s="85" t="s">
        <v>43</v>
      </c>
      <c r="G650" s="86" t="s">
        <v>53</v>
      </c>
      <c r="H650" s="87" t="s">
        <v>2685</v>
      </c>
      <c r="I650" s="82"/>
      <c r="J650" s="87" t="s">
        <v>99</v>
      </c>
      <c r="K650" s="87" t="s">
        <v>1648</v>
      </c>
      <c r="L650" s="89"/>
      <c r="M650" s="77"/>
      <c r="N650" s="91" t="s">
        <v>60</v>
      </c>
      <c r="O650" s="77"/>
      <c r="P650" s="77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102">
        <f t="shared" si="1"/>
        <v>646</v>
      </c>
      <c r="B651" s="94" t="s">
        <v>418</v>
      </c>
      <c r="C651" s="95" t="s">
        <v>5</v>
      </c>
      <c r="D651" s="96"/>
      <c r="E651" s="97"/>
      <c r="F651" s="98" t="s">
        <v>43</v>
      </c>
      <c r="G651" s="99" t="s">
        <v>87</v>
      </c>
      <c r="H651" s="93" t="s">
        <v>2688</v>
      </c>
      <c r="I651" s="95"/>
      <c r="J651" s="93" t="s">
        <v>174</v>
      </c>
      <c r="K651" s="93">
        <v>1.0</v>
      </c>
      <c r="L651" s="101"/>
      <c r="M651" s="102"/>
      <c r="N651" s="102"/>
      <c r="O651" s="102"/>
      <c r="P651" s="102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77">
        <f t="shared" si="1"/>
        <v>647</v>
      </c>
      <c r="B652" s="78" t="s">
        <v>2371</v>
      </c>
      <c r="C652" s="82" t="s">
        <v>49</v>
      </c>
      <c r="D652" s="83"/>
      <c r="E652" s="84"/>
      <c r="F652" s="85" t="s">
        <v>43</v>
      </c>
      <c r="G652" s="86" t="s">
        <v>53</v>
      </c>
      <c r="H652" s="77"/>
      <c r="I652" s="82"/>
      <c r="J652" s="87" t="s">
        <v>96</v>
      </c>
      <c r="K652" s="87" t="s">
        <v>2402</v>
      </c>
      <c r="L652" s="89"/>
      <c r="M652" s="77"/>
      <c r="N652" s="77"/>
      <c r="O652" s="77"/>
      <c r="P652" s="77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102">
        <f t="shared" si="1"/>
        <v>648</v>
      </c>
      <c r="B653" s="94" t="s">
        <v>2692</v>
      </c>
      <c r="C653" s="95" t="s">
        <v>9</v>
      </c>
      <c r="D653" s="96"/>
      <c r="E653" s="97"/>
      <c r="F653" s="98" t="s">
        <v>43</v>
      </c>
      <c r="G653" s="99" t="s">
        <v>87</v>
      </c>
      <c r="H653" s="102"/>
      <c r="I653" s="95"/>
      <c r="J653" s="93" t="s">
        <v>68</v>
      </c>
      <c r="K653" s="93">
        <v>16.0</v>
      </c>
      <c r="L653" s="101"/>
      <c r="M653" s="102"/>
      <c r="N653" s="102"/>
      <c r="O653" s="102"/>
      <c r="P653" s="102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77">
        <f t="shared" si="1"/>
        <v>649</v>
      </c>
      <c r="B654" s="78" t="s">
        <v>2619</v>
      </c>
      <c r="C654" s="82" t="s">
        <v>49</v>
      </c>
      <c r="D654" s="83"/>
      <c r="E654" s="84"/>
      <c r="F654" s="85" t="s">
        <v>43</v>
      </c>
      <c r="G654" s="86" t="s">
        <v>87</v>
      </c>
      <c r="H654" s="87" t="s">
        <v>2695</v>
      </c>
      <c r="I654" s="82"/>
      <c r="J654" s="87" t="s">
        <v>96</v>
      </c>
      <c r="K654" s="87">
        <v>30.0</v>
      </c>
      <c r="L654" s="89"/>
      <c r="M654" s="77"/>
      <c r="N654" s="91" t="s">
        <v>43</v>
      </c>
      <c r="O654" s="77"/>
      <c r="P654" s="77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102">
        <f t="shared" si="1"/>
        <v>650</v>
      </c>
      <c r="B655" s="94" t="s">
        <v>1477</v>
      </c>
      <c r="C655" s="95" t="s">
        <v>49</v>
      </c>
      <c r="D655" s="96"/>
      <c r="E655" s="97"/>
      <c r="F655" s="98" t="s">
        <v>43</v>
      </c>
      <c r="G655" s="99" t="s">
        <v>53</v>
      </c>
      <c r="H655" s="93" t="s">
        <v>2698</v>
      </c>
      <c r="I655" s="95"/>
      <c r="J655" s="93" t="s">
        <v>55</v>
      </c>
      <c r="K655" s="93">
        <v>11.0</v>
      </c>
      <c r="L655" s="101"/>
      <c r="M655" s="102"/>
      <c r="N655" s="102"/>
      <c r="O655" s="102"/>
      <c r="P655" s="102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77">
        <f t="shared" si="1"/>
        <v>651</v>
      </c>
      <c r="B656" s="78" t="s">
        <v>1058</v>
      </c>
      <c r="C656" s="82" t="s">
        <v>49</v>
      </c>
      <c r="D656" s="83"/>
      <c r="E656" s="84"/>
      <c r="F656" s="85" t="s">
        <v>43</v>
      </c>
      <c r="G656" s="86" t="s">
        <v>53</v>
      </c>
      <c r="H656" s="87" t="s">
        <v>2703</v>
      </c>
      <c r="I656" s="82"/>
      <c r="J656" s="87" t="s">
        <v>68</v>
      </c>
      <c r="K656" s="87">
        <v>23.0</v>
      </c>
      <c r="L656" s="89"/>
      <c r="M656" s="77"/>
      <c r="N656" s="91" t="s">
        <v>43</v>
      </c>
      <c r="O656" s="77"/>
      <c r="P656" s="77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102">
        <f t="shared" si="1"/>
        <v>652</v>
      </c>
      <c r="B657" s="94" t="s">
        <v>2705</v>
      </c>
      <c r="C657" s="95" t="s">
        <v>5</v>
      </c>
      <c r="D657" s="96"/>
      <c r="E657" s="97"/>
      <c r="F657" s="98" t="s">
        <v>43</v>
      </c>
      <c r="G657" s="99" t="s">
        <v>87</v>
      </c>
      <c r="H657" s="102"/>
      <c r="I657" s="95"/>
      <c r="J657" s="93" t="s">
        <v>89</v>
      </c>
      <c r="K657" s="93">
        <v>32.0</v>
      </c>
      <c r="L657" s="101"/>
      <c r="M657" s="102"/>
      <c r="N657" s="102"/>
      <c r="O657" s="102"/>
      <c r="P657" s="102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77">
        <f t="shared" si="1"/>
        <v>653</v>
      </c>
      <c r="B658" s="78" t="s">
        <v>2527</v>
      </c>
      <c r="C658" s="82" t="s">
        <v>5</v>
      </c>
      <c r="D658" s="83"/>
      <c r="E658" s="84"/>
      <c r="F658" s="85" t="s">
        <v>43</v>
      </c>
      <c r="G658" s="86" t="s">
        <v>87</v>
      </c>
      <c r="H658" s="77"/>
      <c r="I658" s="82"/>
      <c r="J658" s="87" t="s">
        <v>96</v>
      </c>
      <c r="K658" s="87">
        <v>22.0</v>
      </c>
      <c r="L658" s="89"/>
      <c r="M658" s="77"/>
      <c r="N658" s="77"/>
      <c r="O658" s="77"/>
      <c r="P658" s="77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102">
        <f t="shared" si="1"/>
        <v>654</v>
      </c>
      <c r="B659" s="94" t="s">
        <v>458</v>
      </c>
      <c r="C659" s="107" t="s">
        <v>5</v>
      </c>
      <c r="D659" s="96"/>
      <c r="E659" s="97"/>
      <c r="F659" s="98" t="s">
        <v>43</v>
      </c>
      <c r="G659" s="99" t="s">
        <v>87</v>
      </c>
      <c r="H659" s="102"/>
      <c r="I659" s="95"/>
      <c r="J659" s="93" t="s">
        <v>99</v>
      </c>
      <c r="K659" s="93">
        <v>19.0</v>
      </c>
      <c r="L659" s="101"/>
      <c r="M659" s="102"/>
      <c r="N659" s="102"/>
      <c r="O659" s="102"/>
      <c r="P659" s="102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77">
        <f t="shared" si="1"/>
        <v>655</v>
      </c>
      <c r="B660" s="78" t="s">
        <v>2712</v>
      </c>
      <c r="C660" s="111" t="s">
        <v>5</v>
      </c>
      <c r="D660" s="83"/>
      <c r="E660" s="84"/>
      <c r="F660" s="85" t="s">
        <v>43</v>
      </c>
      <c r="G660" s="86" t="s">
        <v>87</v>
      </c>
      <c r="H660" s="87" t="s">
        <v>2714</v>
      </c>
      <c r="I660" s="111" t="s">
        <v>5</v>
      </c>
      <c r="J660" s="87" t="s">
        <v>99</v>
      </c>
      <c r="K660" s="87" t="s">
        <v>1267</v>
      </c>
      <c r="L660" s="89"/>
      <c r="M660" s="77"/>
      <c r="N660" s="91" t="s">
        <v>43</v>
      </c>
      <c r="O660" s="77"/>
      <c r="P660" s="77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102">
        <f t="shared" si="1"/>
        <v>656</v>
      </c>
      <c r="B661" s="94" t="s">
        <v>97</v>
      </c>
      <c r="C661" s="95" t="s">
        <v>49</v>
      </c>
      <c r="D661" s="96"/>
      <c r="E661" s="112"/>
      <c r="F661" s="98" t="s">
        <v>60</v>
      </c>
      <c r="G661" s="99" t="s">
        <v>53</v>
      </c>
      <c r="H661" s="93" t="s">
        <v>2717</v>
      </c>
      <c r="I661" s="95"/>
      <c r="J661" s="93" t="s">
        <v>47</v>
      </c>
      <c r="K661" s="93">
        <v>2.0</v>
      </c>
      <c r="L661" s="101"/>
      <c r="M661" s="102"/>
      <c r="N661" s="98" t="s">
        <v>43</v>
      </c>
      <c r="O661" s="102"/>
      <c r="P661" s="102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77">
        <f t="shared" si="1"/>
        <v>657</v>
      </c>
      <c r="B662" s="78" t="s">
        <v>2720</v>
      </c>
      <c r="C662" s="82" t="s">
        <v>49</v>
      </c>
      <c r="D662" s="83"/>
      <c r="E662" s="84"/>
      <c r="F662" s="114" t="s">
        <v>43</v>
      </c>
      <c r="G662" s="86" t="s">
        <v>53</v>
      </c>
      <c r="H662" s="77"/>
      <c r="I662" s="82"/>
      <c r="J662" s="87" t="s">
        <v>55</v>
      </c>
      <c r="K662" s="77"/>
      <c r="L662" s="89"/>
      <c r="M662" s="77"/>
      <c r="N662" s="77"/>
      <c r="O662" s="77"/>
      <c r="P662" s="77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102">
        <f t="shared" si="1"/>
        <v>658</v>
      </c>
      <c r="B663" s="94" t="s">
        <v>2364</v>
      </c>
      <c r="C663" s="95" t="s">
        <v>5</v>
      </c>
      <c r="D663" s="96"/>
      <c r="E663" s="97"/>
      <c r="F663" s="98" t="s">
        <v>43</v>
      </c>
      <c r="G663" s="99" t="s">
        <v>87</v>
      </c>
      <c r="H663" s="93" t="s">
        <v>2724</v>
      </c>
      <c r="I663" s="107" t="s">
        <v>5</v>
      </c>
      <c r="J663" s="93" t="s">
        <v>96</v>
      </c>
      <c r="K663" s="93" t="s">
        <v>2402</v>
      </c>
      <c r="L663" s="101"/>
      <c r="M663" s="102"/>
      <c r="N663" s="103" t="s">
        <v>43</v>
      </c>
      <c r="O663" s="102"/>
      <c r="P663" s="102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77">
        <f t="shared" si="1"/>
        <v>659</v>
      </c>
      <c r="B664" s="116" t="s">
        <v>2726</v>
      </c>
      <c r="C664" s="111" t="s">
        <v>5</v>
      </c>
      <c r="D664" s="83"/>
      <c r="E664" s="84"/>
      <c r="F664" s="85" t="s">
        <v>43</v>
      </c>
      <c r="G664" s="86" t="s">
        <v>87</v>
      </c>
      <c r="H664" s="87" t="s">
        <v>2727</v>
      </c>
      <c r="I664" s="82"/>
      <c r="J664" s="87" t="s">
        <v>55</v>
      </c>
      <c r="K664" s="87">
        <v>11.0</v>
      </c>
      <c r="L664" s="89"/>
      <c r="M664" s="77"/>
      <c r="N664" s="91" t="s">
        <v>43</v>
      </c>
      <c r="O664" s="77"/>
      <c r="P664" s="77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102">
        <f t="shared" si="1"/>
        <v>660</v>
      </c>
      <c r="B665" s="94" t="s">
        <v>2729</v>
      </c>
      <c r="C665" s="95" t="s">
        <v>9</v>
      </c>
      <c r="D665" s="96"/>
      <c r="E665" s="97"/>
      <c r="F665" s="109" t="s">
        <v>43</v>
      </c>
      <c r="G665" s="99" t="s">
        <v>87</v>
      </c>
      <c r="H665" s="102"/>
      <c r="I665" s="95"/>
      <c r="J665" s="93" t="s">
        <v>51</v>
      </c>
      <c r="K665" s="102"/>
      <c r="L665" s="101"/>
      <c r="M665" s="102"/>
      <c r="N665" s="102"/>
      <c r="O665" s="102"/>
      <c r="P665" s="102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77">
        <f t="shared" si="1"/>
        <v>661</v>
      </c>
      <c r="B666" s="78" t="s">
        <v>2734</v>
      </c>
      <c r="C666" s="82" t="s">
        <v>9</v>
      </c>
      <c r="D666" s="83"/>
      <c r="E666" s="84"/>
      <c r="F666" s="114" t="s">
        <v>43</v>
      </c>
      <c r="G666" s="86" t="s">
        <v>87</v>
      </c>
      <c r="H666" s="77"/>
      <c r="I666" s="82"/>
      <c r="J666" s="87" t="s">
        <v>96</v>
      </c>
      <c r="K666" s="77"/>
      <c r="L666" s="89"/>
      <c r="M666" s="77"/>
      <c r="N666" s="77"/>
      <c r="O666" s="77"/>
      <c r="P666" s="77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102">
        <f t="shared" si="1"/>
        <v>662</v>
      </c>
      <c r="B667" s="94" t="s">
        <v>381</v>
      </c>
      <c r="C667" s="95" t="s">
        <v>49</v>
      </c>
      <c r="D667" s="96"/>
      <c r="E667" s="112"/>
      <c r="F667" s="98" t="s">
        <v>43</v>
      </c>
      <c r="G667" s="99" t="s">
        <v>53</v>
      </c>
      <c r="H667" s="93" t="s">
        <v>2739</v>
      </c>
      <c r="I667" s="95"/>
      <c r="J667" s="93" t="s">
        <v>174</v>
      </c>
      <c r="K667" s="93" t="s">
        <v>616</v>
      </c>
      <c r="L667" s="101"/>
      <c r="M667" s="102"/>
      <c r="N667" s="103" t="s">
        <v>43</v>
      </c>
      <c r="O667" s="102"/>
      <c r="P667" s="102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77">
        <f t="shared" si="1"/>
        <v>663</v>
      </c>
      <c r="B668" s="78" t="s">
        <v>1282</v>
      </c>
      <c r="C668" s="111" t="s">
        <v>5</v>
      </c>
      <c r="D668" s="83"/>
      <c r="E668" s="84"/>
      <c r="F668" s="85" t="s">
        <v>43</v>
      </c>
      <c r="G668" s="86" t="s">
        <v>87</v>
      </c>
      <c r="H668" s="87" t="s">
        <v>2742</v>
      </c>
      <c r="I668" s="111" t="s">
        <v>5</v>
      </c>
      <c r="J668" s="87" t="s">
        <v>68</v>
      </c>
      <c r="K668" s="87">
        <v>32.0</v>
      </c>
      <c r="L668" s="89"/>
      <c r="M668" s="77"/>
      <c r="N668" s="91" t="s">
        <v>43</v>
      </c>
      <c r="O668" s="77"/>
      <c r="P668" s="77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102">
        <f t="shared" si="1"/>
        <v>664</v>
      </c>
      <c r="B669" s="94" t="s">
        <v>2590</v>
      </c>
      <c r="C669" s="95" t="s">
        <v>49</v>
      </c>
      <c r="D669" s="96"/>
      <c r="E669" s="97"/>
      <c r="F669" s="98" t="s">
        <v>43</v>
      </c>
      <c r="G669" s="99" t="s">
        <v>53</v>
      </c>
      <c r="H669" s="93" t="s">
        <v>2746</v>
      </c>
      <c r="I669" s="95"/>
      <c r="J669" s="93" t="s">
        <v>96</v>
      </c>
      <c r="K669" s="93">
        <v>27.0</v>
      </c>
      <c r="L669" s="101"/>
      <c r="M669" s="102"/>
      <c r="N669" s="103" t="s">
        <v>43</v>
      </c>
      <c r="O669" s="102"/>
      <c r="P669" s="102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77">
        <f t="shared" si="1"/>
        <v>665</v>
      </c>
      <c r="B670" s="78" t="s">
        <v>271</v>
      </c>
      <c r="C670" s="82" t="s">
        <v>49</v>
      </c>
      <c r="D670" s="83"/>
      <c r="E670" s="84"/>
      <c r="F670" s="85" t="s">
        <v>43</v>
      </c>
      <c r="G670" s="86" t="s">
        <v>53</v>
      </c>
      <c r="H670" s="77"/>
      <c r="I670" s="82"/>
      <c r="J670" s="87" t="s">
        <v>47</v>
      </c>
      <c r="K670" s="87">
        <v>23.0</v>
      </c>
      <c r="L670" s="89"/>
      <c r="M670" s="77"/>
      <c r="N670" s="77"/>
      <c r="O670" s="77"/>
      <c r="P670" s="77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102">
        <f t="shared" si="1"/>
        <v>666</v>
      </c>
      <c r="B671" s="94" t="s">
        <v>1804</v>
      </c>
      <c r="C671" s="95" t="s">
        <v>5</v>
      </c>
      <c r="D671" s="96"/>
      <c r="E671" s="97"/>
      <c r="F671" s="98" t="s">
        <v>43</v>
      </c>
      <c r="G671" s="99" t="s">
        <v>87</v>
      </c>
      <c r="H671" s="102"/>
      <c r="I671" s="95"/>
      <c r="J671" s="93" t="s">
        <v>51</v>
      </c>
      <c r="K671" s="93">
        <v>25.0</v>
      </c>
      <c r="L671" s="101"/>
      <c r="M671" s="102"/>
      <c r="N671" s="102"/>
      <c r="O671" s="102"/>
      <c r="P671" s="102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77">
        <f t="shared" si="1"/>
        <v>667</v>
      </c>
      <c r="B672" s="78" t="s">
        <v>2065</v>
      </c>
      <c r="C672" s="82" t="s">
        <v>49</v>
      </c>
      <c r="D672" s="83"/>
      <c r="E672" s="84"/>
      <c r="F672" s="85" t="s">
        <v>60</v>
      </c>
      <c r="G672" s="86" t="s">
        <v>53</v>
      </c>
      <c r="H672" s="87" t="s">
        <v>2754</v>
      </c>
      <c r="I672" s="82" t="s">
        <v>88</v>
      </c>
      <c r="J672" s="87" t="s">
        <v>89</v>
      </c>
      <c r="K672" s="87">
        <v>5.0</v>
      </c>
      <c r="L672" s="89"/>
      <c r="M672" s="77"/>
      <c r="N672" s="91" t="s">
        <v>43</v>
      </c>
      <c r="O672" s="77"/>
      <c r="P672" s="77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102">
        <f t="shared" si="1"/>
        <v>668</v>
      </c>
      <c r="B673" s="94" t="s">
        <v>2756</v>
      </c>
      <c r="C673" s="95" t="s">
        <v>49</v>
      </c>
      <c r="D673" s="96"/>
      <c r="E673" s="97"/>
      <c r="F673" s="98" t="s">
        <v>60</v>
      </c>
      <c r="G673" s="99" t="s">
        <v>87</v>
      </c>
      <c r="H673" s="93" t="s">
        <v>2759</v>
      </c>
      <c r="I673" s="95" t="s">
        <v>9</v>
      </c>
      <c r="J673" s="93" t="s">
        <v>99</v>
      </c>
      <c r="K673" s="93" t="s">
        <v>2760</v>
      </c>
      <c r="L673" s="101"/>
      <c r="M673" s="102"/>
      <c r="N673" s="103" t="s">
        <v>43</v>
      </c>
      <c r="O673" s="102"/>
      <c r="P673" s="102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77">
        <f t="shared" si="1"/>
        <v>669</v>
      </c>
      <c r="B674" s="78" t="s">
        <v>2762</v>
      </c>
      <c r="C674" s="82" t="s">
        <v>49</v>
      </c>
      <c r="D674" s="83"/>
      <c r="E674" s="84"/>
      <c r="F674" s="85" t="s">
        <v>43</v>
      </c>
      <c r="G674" s="86" t="s">
        <v>53</v>
      </c>
      <c r="H674" s="87" t="s">
        <v>2763</v>
      </c>
      <c r="I674" s="82"/>
      <c r="J674" s="87" t="s">
        <v>99</v>
      </c>
      <c r="K674" s="87">
        <v>17.0</v>
      </c>
      <c r="L674" s="89"/>
      <c r="M674" s="77"/>
      <c r="N674" s="91" t="s">
        <v>43</v>
      </c>
      <c r="O674" s="77"/>
      <c r="P674" s="77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102">
        <f t="shared" si="1"/>
        <v>670</v>
      </c>
      <c r="B675" s="94" t="s">
        <v>2768</v>
      </c>
      <c r="C675" s="95" t="s">
        <v>69</v>
      </c>
      <c r="D675" s="96"/>
      <c r="E675" s="97"/>
      <c r="F675" s="109" t="s">
        <v>43</v>
      </c>
      <c r="G675" s="99" t="s">
        <v>87</v>
      </c>
      <c r="H675" s="102"/>
      <c r="I675" s="95"/>
      <c r="J675" s="93" t="s">
        <v>51</v>
      </c>
      <c r="K675" s="102"/>
      <c r="L675" s="101"/>
      <c r="M675" s="102"/>
      <c r="N675" s="102"/>
      <c r="O675" s="102"/>
      <c r="P675" s="102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77">
        <f t="shared" si="1"/>
        <v>671</v>
      </c>
      <c r="B676" s="78" t="s">
        <v>1483</v>
      </c>
      <c r="C676" s="82" t="s">
        <v>9</v>
      </c>
      <c r="D676" s="83"/>
      <c r="E676" s="84"/>
      <c r="F676" s="85" t="s">
        <v>43</v>
      </c>
      <c r="G676" s="86" t="s">
        <v>87</v>
      </c>
      <c r="H676" s="77"/>
      <c r="I676" s="82"/>
      <c r="J676" s="87" t="s">
        <v>55</v>
      </c>
      <c r="K676" s="87">
        <v>11.0</v>
      </c>
      <c r="L676" s="89"/>
      <c r="M676" s="77"/>
      <c r="N676" s="77"/>
      <c r="O676" s="77"/>
      <c r="P676" s="77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102">
        <f t="shared" si="1"/>
        <v>672</v>
      </c>
      <c r="B677" s="94" t="s">
        <v>2771</v>
      </c>
      <c r="C677" s="95" t="s">
        <v>5</v>
      </c>
      <c r="D677" s="96"/>
      <c r="E677" s="97"/>
      <c r="F677" s="109" t="s">
        <v>43</v>
      </c>
      <c r="G677" s="99" t="s">
        <v>87</v>
      </c>
      <c r="H677" s="102"/>
      <c r="I677" s="95"/>
      <c r="J677" s="93" t="s">
        <v>96</v>
      </c>
      <c r="K677" s="102"/>
      <c r="L677" s="101"/>
      <c r="M677" s="102"/>
      <c r="N677" s="102"/>
      <c r="O677" s="102"/>
      <c r="P677" s="102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77">
        <f t="shared" si="1"/>
        <v>673</v>
      </c>
      <c r="B678" s="78" t="s">
        <v>2773</v>
      </c>
      <c r="C678" s="111" t="s">
        <v>9</v>
      </c>
      <c r="D678" s="83"/>
      <c r="E678" s="84"/>
      <c r="F678" s="85" t="s">
        <v>43</v>
      </c>
      <c r="G678" s="86" t="s">
        <v>87</v>
      </c>
      <c r="H678" s="87" t="s">
        <v>2775</v>
      </c>
      <c r="I678" s="82"/>
      <c r="J678" s="87" t="s">
        <v>89</v>
      </c>
      <c r="K678" s="87">
        <v>36.0</v>
      </c>
      <c r="L678" s="89"/>
      <c r="M678" s="77"/>
      <c r="N678" s="91" t="s">
        <v>43</v>
      </c>
      <c r="O678" s="77"/>
      <c r="P678" s="77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102">
        <f t="shared" si="1"/>
        <v>674</v>
      </c>
      <c r="B679" s="94" t="s">
        <v>2778</v>
      </c>
      <c r="C679" s="141"/>
      <c r="D679" s="96"/>
      <c r="E679" s="97"/>
      <c r="F679" s="109" t="s">
        <v>43</v>
      </c>
      <c r="G679" s="99" t="s">
        <v>53</v>
      </c>
      <c r="H679" s="102"/>
      <c r="I679" s="95"/>
      <c r="J679" s="93" t="s">
        <v>68</v>
      </c>
      <c r="K679" s="102"/>
      <c r="L679" s="101"/>
      <c r="M679" s="102"/>
      <c r="N679" s="102"/>
      <c r="O679" s="102"/>
      <c r="P679" s="102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77">
        <f t="shared" si="1"/>
        <v>675</v>
      </c>
      <c r="B680" s="78" t="s">
        <v>982</v>
      </c>
      <c r="C680" s="82" t="s">
        <v>49</v>
      </c>
      <c r="D680" s="83"/>
      <c r="E680" s="84"/>
      <c r="F680" s="85" t="s">
        <v>43</v>
      </c>
      <c r="G680" s="86" t="s">
        <v>87</v>
      </c>
      <c r="H680" s="87" t="s">
        <v>2780</v>
      </c>
      <c r="I680" s="111" t="s">
        <v>72</v>
      </c>
      <c r="J680" s="87" t="s">
        <v>68</v>
      </c>
      <c r="K680" s="87">
        <v>16.0</v>
      </c>
      <c r="L680" s="89"/>
      <c r="M680" s="77"/>
      <c r="N680" s="91" t="s">
        <v>43</v>
      </c>
      <c r="O680" s="77"/>
      <c r="P680" s="77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102">
        <f t="shared" si="1"/>
        <v>676</v>
      </c>
      <c r="B681" s="94" t="s">
        <v>2277</v>
      </c>
      <c r="C681" s="95" t="s">
        <v>49</v>
      </c>
      <c r="D681" s="96"/>
      <c r="E681" s="97"/>
      <c r="F681" s="98" t="s">
        <v>43</v>
      </c>
      <c r="G681" s="99" t="s">
        <v>53</v>
      </c>
      <c r="H681" s="93" t="s">
        <v>2784</v>
      </c>
      <c r="I681" s="95"/>
      <c r="J681" s="93" t="s">
        <v>89</v>
      </c>
      <c r="K681" s="93">
        <v>4.0</v>
      </c>
      <c r="L681" s="101"/>
      <c r="M681" s="102"/>
      <c r="N681" s="103" t="s">
        <v>43</v>
      </c>
      <c r="O681" s="102"/>
      <c r="P681" s="102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77">
        <f t="shared" si="1"/>
        <v>677</v>
      </c>
      <c r="B682" s="78" t="s">
        <v>1061</v>
      </c>
      <c r="C682" s="82" t="s">
        <v>49</v>
      </c>
      <c r="D682" s="83"/>
      <c r="E682" s="84"/>
      <c r="F682" s="85" t="s">
        <v>43</v>
      </c>
      <c r="G682" s="86" t="s">
        <v>87</v>
      </c>
      <c r="H682" s="77"/>
      <c r="I682" s="82"/>
      <c r="J682" s="87" t="s">
        <v>68</v>
      </c>
      <c r="K682" s="87">
        <v>23.0</v>
      </c>
      <c r="L682" s="89"/>
      <c r="M682" s="77"/>
      <c r="N682" s="77"/>
      <c r="O682" s="77"/>
      <c r="P682" s="77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102">
        <f t="shared" si="1"/>
        <v>678</v>
      </c>
      <c r="B683" s="94" t="s">
        <v>1185</v>
      </c>
      <c r="C683" s="95" t="s">
        <v>5</v>
      </c>
      <c r="D683" s="96"/>
      <c r="E683" s="97"/>
      <c r="F683" s="98" t="s">
        <v>43</v>
      </c>
      <c r="G683" s="99" t="s">
        <v>87</v>
      </c>
      <c r="H683" s="102"/>
      <c r="I683" s="95"/>
      <c r="J683" s="93" t="s">
        <v>68</v>
      </c>
      <c r="K683" s="93">
        <v>30.0</v>
      </c>
      <c r="L683" s="101"/>
      <c r="M683" s="102"/>
      <c r="N683" s="102"/>
      <c r="O683" s="102"/>
      <c r="P683" s="102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77">
        <f t="shared" si="1"/>
        <v>679</v>
      </c>
      <c r="B684" s="78" t="s">
        <v>2533</v>
      </c>
      <c r="C684" s="82" t="s">
        <v>49</v>
      </c>
      <c r="D684" s="83"/>
      <c r="E684" s="84"/>
      <c r="F684" s="85" t="s">
        <v>43</v>
      </c>
      <c r="G684" s="86" t="s">
        <v>53</v>
      </c>
      <c r="H684" s="87" t="s">
        <v>2793</v>
      </c>
      <c r="I684" s="82"/>
      <c r="J684" s="87" t="s">
        <v>96</v>
      </c>
      <c r="K684" s="87">
        <v>23.0</v>
      </c>
      <c r="L684" s="89"/>
      <c r="M684" s="77"/>
      <c r="N684" s="91" t="s">
        <v>43</v>
      </c>
      <c r="O684" s="77"/>
      <c r="P684" s="77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102">
        <f t="shared" si="1"/>
        <v>680</v>
      </c>
      <c r="B685" s="94" t="s">
        <v>2603</v>
      </c>
      <c r="C685" s="95" t="s">
        <v>49</v>
      </c>
      <c r="D685" s="96"/>
      <c r="E685" s="97"/>
      <c r="F685" s="98" t="s">
        <v>43</v>
      </c>
      <c r="G685" s="99" t="s">
        <v>53</v>
      </c>
      <c r="H685" s="93" t="s">
        <v>2796</v>
      </c>
      <c r="I685" s="95"/>
      <c r="J685" s="93" t="s">
        <v>96</v>
      </c>
      <c r="K685" s="93">
        <v>29.0</v>
      </c>
      <c r="L685" s="101"/>
      <c r="M685" s="102"/>
      <c r="N685" s="103" t="s">
        <v>43</v>
      </c>
      <c r="O685" s="102"/>
      <c r="P685" s="102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77">
        <f t="shared" si="1"/>
        <v>681</v>
      </c>
      <c r="B686" s="78" t="s">
        <v>2799</v>
      </c>
      <c r="C686" s="82" t="s">
        <v>49</v>
      </c>
      <c r="D686" s="83"/>
      <c r="E686" s="84"/>
      <c r="F686" s="85" t="s">
        <v>60</v>
      </c>
      <c r="G686" s="86" t="s">
        <v>53</v>
      </c>
      <c r="H686" s="87" t="s">
        <v>2801</v>
      </c>
      <c r="I686" s="82"/>
      <c r="J686" s="87" t="s">
        <v>99</v>
      </c>
      <c r="K686" s="87">
        <v>17.0</v>
      </c>
      <c r="L686" s="89"/>
      <c r="M686" s="77"/>
      <c r="N686" s="91" t="s">
        <v>43</v>
      </c>
      <c r="O686" s="77"/>
      <c r="P686" s="77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102">
        <f t="shared" si="1"/>
        <v>682</v>
      </c>
      <c r="B687" s="94" t="s">
        <v>879</v>
      </c>
      <c r="C687" s="95" t="s">
        <v>49</v>
      </c>
      <c r="D687" s="96"/>
      <c r="E687" s="97"/>
      <c r="F687" s="98" t="s">
        <v>43</v>
      </c>
      <c r="G687" s="99" t="s">
        <v>53</v>
      </c>
      <c r="H687" s="93" t="s">
        <v>2804</v>
      </c>
      <c r="I687" s="95"/>
      <c r="J687" s="93" t="s">
        <v>68</v>
      </c>
      <c r="K687" s="93">
        <v>10.0</v>
      </c>
      <c r="L687" s="101"/>
      <c r="M687" s="102"/>
      <c r="N687" s="103" t="s">
        <v>43</v>
      </c>
      <c r="O687" s="102"/>
      <c r="P687" s="102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77">
        <f t="shared" si="1"/>
        <v>683</v>
      </c>
      <c r="B688" s="78" t="s">
        <v>2381</v>
      </c>
      <c r="C688" s="82" t="s">
        <v>49</v>
      </c>
      <c r="D688" s="83"/>
      <c r="E688" s="84"/>
      <c r="F688" s="85" t="s">
        <v>43</v>
      </c>
      <c r="G688" s="86" t="s">
        <v>87</v>
      </c>
      <c r="H688" s="87" t="s">
        <v>2807</v>
      </c>
      <c r="I688" s="111" t="s">
        <v>69</v>
      </c>
      <c r="J688" s="87" t="s">
        <v>96</v>
      </c>
      <c r="K688" s="87">
        <v>6.0</v>
      </c>
      <c r="L688" s="89"/>
      <c r="M688" s="77"/>
      <c r="N688" s="91" t="s">
        <v>43</v>
      </c>
      <c r="O688" s="77"/>
      <c r="P688" s="77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102">
        <f t="shared" si="1"/>
        <v>684</v>
      </c>
      <c r="B689" s="94" t="s">
        <v>1135</v>
      </c>
      <c r="C689" s="95" t="s">
        <v>49</v>
      </c>
      <c r="D689" s="96"/>
      <c r="E689" s="97"/>
      <c r="F689" s="98" t="s">
        <v>43</v>
      </c>
      <c r="G689" s="99" t="s">
        <v>53</v>
      </c>
      <c r="H689" s="93" t="s">
        <v>2811</v>
      </c>
      <c r="I689" s="95"/>
      <c r="J689" s="93" t="s">
        <v>68</v>
      </c>
      <c r="K689" s="93">
        <v>27.0</v>
      </c>
      <c r="L689" s="101"/>
      <c r="M689" s="102"/>
      <c r="N689" s="103" t="s">
        <v>60</v>
      </c>
      <c r="O689" s="102"/>
      <c r="P689" s="102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77">
        <f t="shared" si="1"/>
        <v>685</v>
      </c>
      <c r="B690" s="78" t="s">
        <v>2813</v>
      </c>
      <c r="C690" s="82" t="s">
        <v>49</v>
      </c>
      <c r="D690" s="83"/>
      <c r="E690" s="84"/>
      <c r="F690" s="85" t="s">
        <v>43</v>
      </c>
      <c r="G690" s="86" t="s">
        <v>53</v>
      </c>
      <c r="H690" s="87" t="s">
        <v>2815</v>
      </c>
      <c r="I690" s="82"/>
      <c r="J690" s="87" t="s">
        <v>99</v>
      </c>
      <c r="K690" s="87" t="s">
        <v>263</v>
      </c>
      <c r="L690" s="89"/>
      <c r="M690" s="77"/>
      <c r="N690" s="91" t="s">
        <v>43</v>
      </c>
      <c r="O690" s="77"/>
      <c r="P690" s="77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102">
        <f t="shared" si="1"/>
        <v>686</v>
      </c>
      <c r="B691" s="94" t="s">
        <v>495</v>
      </c>
      <c r="C691" s="95" t="s">
        <v>49</v>
      </c>
      <c r="D691" s="96"/>
      <c r="E691" s="112"/>
      <c r="F691" s="98" t="s">
        <v>43</v>
      </c>
      <c r="G691" s="99" t="s">
        <v>53</v>
      </c>
      <c r="H691" s="93" t="s">
        <v>2817</v>
      </c>
      <c r="I691" s="95"/>
      <c r="J691" s="93" t="s">
        <v>174</v>
      </c>
      <c r="K691" s="93">
        <v>3.0</v>
      </c>
      <c r="L691" s="101"/>
      <c r="M691" s="102"/>
      <c r="N691" s="103" t="s">
        <v>60</v>
      </c>
      <c r="O691" s="102"/>
      <c r="P691" s="102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77">
        <f t="shared" si="1"/>
        <v>687</v>
      </c>
      <c r="B692" s="78" t="s">
        <v>2004</v>
      </c>
      <c r="C692" s="82" t="s">
        <v>49</v>
      </c>
      <c r="D692" s="83"/>
      <c r="E692" s="84"/>
      <c r="F692" s="85" t="s">
        <v>43</v>
      </c>
      <c r="G692" s="86" t="s">
        <v>53</v>
      </c>
      <c r="H692" s="87" t="s">
        <v>2820</v>
      </c>
      <c r="I692" s="82"/>
      <c r="J692" s="87" t="s">
        <v>51</v>
      </c>
      <c r="K692" s="87" t="s">
        <v>616</v>
      </c>
      <c r="L692" s="89"/>
      <c r="M692" s="77"/>
      <c r="N692" s="91" t="s">
        <v>43</v>
      </c>
      <c r="O692" s="77"/>
      <c r="P692" s="77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102">
        <f t="shared" si="1"/>
        <v>688</v>
      </c>
      <c r="B693" s="94" t="s">
        <v>1382</v>
      </c>
      <c r="C693" s="95" t="s">
        <v>49</v>
      </c>
      <c r="D693" s="96"/>
      <c r="E693" s="97"/>
      <c r="F693" s="98" t="s">
        <v>60</v>
      </c>
      <c r="G693" s="99" t="s">
        <v>53</v>
      </c>
      <c r="H693" s="93" t="s">
        <v>2822</v>
      </c>
      <c r="I693" s="95"/>
      <c r="J693" s="93" t="s">
        <v>55</v>
      </c>
      <c r="K693" s="93">
        <v>4.0</v>
      </c>
      <c r="L693" s="101"/>
      <c r="M693" s="102"/>
      <c r="N693" s="103" t="s">
        <v>43</v>
      </c>
      <c r="O693" s="102"/>
      <c r="P693" s="102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77">
        <f t="shared" si="1"/>
        <v>689</v>
      </c>
      <c r="B694" s="78" t="s">
        <v>2824</v>
      </c>
      <c r="C694" s="82" t="s">
        <v>49</v>
      </c>
      <c r="D694" s="83"/>
      <c r="E694" s="84"/>
      <c r="F694" s="114" t="s">
        <v>43</v>
      </c>
      <c r="G694" s="86" t="s">
        <v>87</v>
      </c>
      <c r="H694" s="77"/>
      <c r="I694" s="82"/>
      <c r="J694" s="87" t="s">
        <v>99</v>
      </c>
      <c r="K694" s="77"/>
      <c r="L694" s="89"/>
      <c r="M694" s="77"/>
      <c r="N694" s="77"/>
      <c r="O694" s="77"/>
      <c r="P694" s="77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102">
        <f t="shared" si="1"/>
        <v>690</v>
      </c>
      <c r="B695" s="94" t="s">
        <v>1747</v>
      </c>
      <c r="C695" s="95" t="s">
        <v>49</v>
      </c>
      <c r="D695" s="96"/>
      <c r="E695" s="97"/>
      <c r="F695" s="98" t="s">
        <v>60</v>
      </c>
      <c r="G695" s="99" t="s">
        <v>49</v>
      </c>
      <c r="H695" s="93" t="s">
        <v>2828</v>
      </c>
      <c r="I695" s="95"/>
      <c r="J695" s="93" t="s">
        <v>51</v>
      </c>
      <c r="K695" s="93">
        <v>27.0</v>
      </c>
      <c r="L695" s="101"/>
      <c r="M695" s="102"/>
      <c r="N695" s="103" t="s">
        <v>60</v>
      </c>
      <c r="O695" s="102"/>
      <c r="P695" s="102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77">
        <f t="shared" si="1"/>
        <v>691</v>
      </c>
      <c r="B696" s="78" t="s">
        <v>2682</v>
      </c>
      <c r="C696" s="82" t="s">
        <v>49</v>
      </c>
      <c r="D696" s="83"/>
      <c r="E696" s="84"/>
      <c r="F696" s="85" t="s">
        <v>43</v>
      </c>
      <c r="G696" s="86" t="s">
        <v>53</v>
      </c>
      <c r="H696" s="77"/>
      <c r="I696" s="82"/>
      <c r="J696" s="87" t="s">
        <v>96</v>
      </c>
      <c r="K696" s="87">
        <v>34.0</v>
      </c>
      <c r="L696" s="89"/>
      <c r="M696" s="77"/>
      <c r="N696" s="77"/>
      <c r="O696" s="77"/>
      <c r="P696" s="77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102">
        <f t="shared" si="1"/>
        <v>692</v>
      </c>
      <c r="B697" s="94" t="s">
        <v>2832</v>
      </c>
      <c r="C697" s="95" t="s">
        <v>49</v>
      </c>
      <c r="D697" s="96"/>
      <c r="E697" s="97"/>
      <c r="F697" s="109" t="s">
        <v>43</v>
      </c>
      <c r="G697" s="99" t="s">
        <v>53</v>
      </c>
      <c r="H697" s="102"/>
      <c r="I697" s="95"/>
      <c r="J697" s="93" t="s">
        <v>99</v>
      </c>
      <c r="K697" s="102"/>
      <c r="L697" s="101"/>
      <c r="M697" s="102"/>
      <c r="N697" s="102"/>
      <c r="O697" s="102"/>
      <c r="P697" s="102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77">
        <f t="shared" si="1"/>
        <v>693</v>
      </c>
      <c r="B698" s="78" t="s">
        <v>2836</v>
      </c>
      <c r="C698" s="82" t="s">
        <v>9</v>
      </c>
      <c r="D698" s="83"/>
      <c r="E698" s="84"/>
      <c r="F698" s="114" t="s">
        <v>43</v>
      </c>
      <c r="G698" s="86" t="s">
        <v>87</v>
      </c>
      <c r="H698" s="77"/>
      <c r="I698" s="82"/>
      <c r="J698" s="87" t="s">
        <v>89</v>
      </c>
      <c r="K698" s="77"/>
      <c r="L698" s="89"/>
      <c r="M698" s="77"/>
      <c r="N698" s="77"/>
      <c r="O698" s="77"/>
      <c r="P698" s="77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102">
        <f t="shared" si="1"/>
        <v>694</v>
      </c>
      <c r="B699" s="94" t="s">
        <v>1443</v>
      </c>
      <c r="C699" s="95" t="s">
        <v>49</v>
      </c>
      <c r="D699" s="96"/>
      <c r="E699" s="97"/>
      <c r="F699" s="98" t="s">
        <v>43</v>
      </c>
      <c r="G699" s="99" t="s">
        <v>53</v>
      </c>
      <c r="H699" s="93" t="s">
        <v>2839</v>
      </c>
      <c r="I699" s="95"/>
      <c r="J699" s="93" t="s">
        <v>55</v>
      </c>
      <c r="K699" s="93">
        <v>10.0</v>
      </c>
      <c r="L699" s="101"/>
      <c r="M699" s="102"/>
      <c r="N699" s="103" t="s">
        <v>43</v>
      </c>
      <c r="O699" s="102"/>
      <c r="P699" s="102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77">
        <f t="shared" si="1"/>
        <v>695</v>
      </c>
      <c r="B700" s="78" t="s">
        <v>319</v>
      </c>
      <c r="C700" s="82" t="s">
        <v>5</v>
      </c>
      <c r="D700" s="83"/>
      <c r="E700" s="84"/>
      <c r="F700" s="85" t="s">
        <v>43</v>
      </c>
      <c r="G700" s="86" t="s">
        <v>87</v>
      </c>
      <c r="H700" s="77"/>
      <c r="I700" s="82"/>
      <c r="J700" s="87" t="s">
        <v>47</v>
      </c>
      <c r="K700" s="87">
        <v>26.0</v>
      </c>
      <c r="L700" s="89"/>
      <c r="M700" s="77"/>
      <c r="N700" s="77"/>
      <c r="O700" s="77"/>
      <c r="P700" s="77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102">
        <f t="shared" si="1"/>
        <v>696</v>
      </c>
      <c r="B701" s="94" t="s">
        <v>1397</v>
      </c>
      <c r="C701" s="95" t="s">
        <v>49</v>
      </c>
      <c r="D701" s="96"/>
      <c r="E701" s="97"/>
      <c r="F701" s="98" t="s">
        <v>43</v>
      </c>
      <c r="G701" s="99" t="s">
        <v>87</v>
      </c>
      <c r="H701" s="93" t="s">
        <v>2843</v>
      </c>
      <c r="I701" s="107" t="s">
        <v>72</v>
      </c>
      <c r="J701" s="93" t="s">
        <v>55</v>
      </c>
      <c r="K701" s="93">
        <v>5.0</v>
      </c>
      <c r="L701" s="101"/>
      <c r="M701" s="102"/>
      <c r="N701" s="103" t="s">
        <v>43</v>
      </c>
      <c r="O701" s="102"/>
      <c r="P701" s="102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77">
        <f t="shared" si="1"/>
        <v>697</v>
      </c>
      <c r="B702" s="78" t="s">
        <v>2745</v>
      </c>
      <c r="C702" s="82" t="s">
        <v>5</v>
      </c>
      <c r="D702" s="83"/>
      <c r="E702" s="84"/>
      <c r="F702" s="85" t="s">
        <v>43</v>
      </c>
      <c r="G702" s="86" t="s">
        <v>87</v>
      </c>
      <c r="H702" s="77"/>
      <c r="I702" s="82"/>
      <c r="J702" s="87" t="s">
        <v>99</v>
      </c>
      <c r="K702" s="87" t="s">
        <v>455</v>
      </c>
      <c r="L702" s="89"/>
      <c r="M702" s="77"/>
      <c r="N702" s="77"/>
      <c r="O702" s="77"/>
      <c r="P702" s="77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102">
        <f t="shared" si="1"/>
        <v>698</v>
      </c>
      <c r="B703" s="94" t="s">
        <v>1289</v>
      </c>
      <c r="C703" s="95" t="s">
        <v>5</v>
      </c>
      <c r="D703" s="96"/>
      <c r="E703" s="97"/>
      <c r="F703" s="98" t="s">
        <v>43</v>
      </c>
      <c r="G703" s="99" t="s">
        <v>87</v>
      </c>
      <c r="H703" s="93" t="s">
        <v>2850</v>
      </c>
      <c r="I703" s="95" t="s">
        <v>5</v>
      </c>
      <c r="J703" s="93" t="s">
        <v>68</v>
      </c>
      <c r="K703" s="93">
        <v>38.0</v>
      </c>
      <c r="L703" s="101"/>
      <c r="M703" s="102"/>
      <c r="N703" s="103" t="s">
        <v>43</v>
      </c>
      <c r="O703" s="102"/>
      <c r="P703" s="102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77">
        <f t="shared" si="1"/>
        <v>699</v>
      </c>
      <c r="B704" s="78" t="s">
        <v>588</v>
      </c>
      <c r="C704" s="82" t="s">
        <v>49</v>
      </c>
      <c r="D704" s="83"/>
      <c r="E704" s="113"/>
      <c r="F704" s="85" t="s">
        <v>43</v>
      </c>
      <c r="G704" s="86" t="s">
        <v>53</v>
      </c>
      <c r="H704" s="87" t="s">
        <v>2856</v>
      </c>
      <c r="I704" s="82"/>
      <c r="J704" s="87" t="s">
        <v>174</v>
      </c>
      <c r="K704" s="87">
        <v>27.0</v>
      </c>
      <c r="L704" s="89"/>
      <c r="M704" s="77"/>
      <c r="N704" s="91" t="s">
        <v>43</v>
      </c>
      <c r="O704" s="77"/>
      <c r="P704" s="77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102">
        <f t="shared" si="1"/>
        <v>700</v>
      </c>
      <c r="B705" s="94" t="s">
        <v>2858</v>
      </c>
      <c r="C705" s="95" t="s">
        <v>49</v>
      </c>
      <c r="D705" s="96"/>
      <c r="E705" s="97"/>
      <c r="F705" s="98" t="s">
        <v>43</v>
      </c>
      <c r="G705" s="99" t="s">
        <v>53</v>
      </c>
      <c r="H705" s="102"/>
      <c r="I705" s="95"/>
      <c r="J705" s="93" t="s">
        <v>99</v>
      </c>
      <c r="K705" s="93">
        <v>17.0</v>
      </c>
      <c r="L705" s="101"/>
      <c r="M705" s="102"/>
      <c r="N705" s="102"/>
      <c r="O705" s="102"/>
      <c r="P705" s="102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77">
        <f t="shared" si="1"/>
        <v>701</v>
      </c>
      <c r="B706" s="78" t="s">
        <v>2224</v>
      </c>
      <c r="C706" s="82" t="s">
        <v>49</v>
      </c>
      <c r="D706" s="83"/>
      <c r="E706" s="84"/>
      <c r="F706" s="85" t="s">
        <v>43</v>
      </c>
      <c r="G706" s="86" t="s">
        <v>53</v>
      </c>
      <c r="H706" s="87" t="s">
        <v>2863</v>
      </c>
      <c r="I706" s="82"/>
      <c r="J706" s="87" t="s">
        <v>89</v>
      </c>
      <c r="K706" s="87">
        <v>21.0</v>
      </c>
      <c r="L706" s="89"/>
      <c r="M706" s="77"/>
      <c r="N706" s="91" t="s">
        <v>43</v>
      </c>
      <c r="O706" s="77"/>
      <c r="P706" s="77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102">
        <f t="shared" si="1"/>
        <v>702</v>
      </c>
      <c r="B707" s="94" t="s">
        <v>2865</v>
      </c>
      <c r="C707" s="95" t="s">
        <v>5</v>
      </c>
      <c r="D707" s="96"/>
      <c r="E707" s="97"/>
      <c r="F707" s="109" t="s">
        <v>43</v>
      </c>
      <c r="G707" s="99" t="s">
        <v>87</v>
      </c>
      <c r="H707" s="93" t="s">
        <v>2868</v>
      </c>
      <c r="I707" s="95" t="s">
        <v>5</v>
      </c>
      <c r="J707" s="93" t="s">
        <v>89</v>
      </c>
      <c r="K707" s="102"/>
      <c r="L707" s="101"/>
      <c r="M707" s="102"/>
      <c r="N707" s="102"/>
      <c r="O707" s="102"/>
      <c r="P707" s="102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77">
        <f t="shared" si="1"/>
        <v>703</v>
      </c>
      <c r="B708" s="78" t="s">
        <v>1206</v>
      </c>
      <c r="C708" s="82" t="s">
        <v>9</v>
      </c>
      <c r="D708" s="83"/>
      <c r="E708" s="84"/>
      <c r="F708" s="85" t="s">
        <v>43</v>
      </c>
      <c r="G708" s="86" t="s">
        <v>87</v>
      </c>
      <c r="H708" s="87" t="s">
        <v>2871</v>
      </c>
      <c r="I708" s="82"/>
      <c r="J708" s="87" t="s">
        <v>68</v>
      </c>
      <c r="K708" s="87">
        <v>30.0</v>
      </c>
      <c r="L708" s="89"/>
      <c r="M708" s="77"/>
      <c r="N708" s="91" t="s">
        <v>834</v>
      </c>
      <c r="O708" s="77"/>
      <c r="P708" s="77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102">
        <f t="shared" si="1"/>
        <v>704</v>
      </c>
      <c r="B709" s="94" t="s">
        <v>2873</v>
      </c>
      <c r="C709" s="95" t="s">
        <v>5</v>
      </c>
      <c r="D709" s="96"/>
      <c r="E709" s="97"/>
      <c r="F709" s="98" t="s">
        <v>43</v>
      </c>
      <c r="G709" s="99" t="s">
        <v>87</v>
      </c>
      <c r="H709" s="102"/>
      <c r="I709" s="95"/>
      <c r="J709" s="93" t="s">
        <v>174</v>
      </c>
      <c r="K709" s="93">
        <v>27.0</v>
      </c>
      <c r="L709" s="101"/>
      <c r="M709" s="102"/>
      <c r="N709" s="102"/>
      <c r="O709" s="102"/>
      <c r="P709" s="102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77">
        <f t="shared" si="1"/>
        <v>705</v>
      </c>
      <c r="B710" s="78" t="s">
        <v>1422</v>
      </c>
      <c r="C710" s="82" t="s">
        <v>49</v>
      </c>
      <c r="D710" s="83"/>
      <c r="E710" s="84"/>
      <c r="F710" s="85" t="s">
        <v>43</v>
      </c>
      <c r="G710" s="86" t="s">
        <v>87</v>
      </c>
      <c r="H710" s="87" t="s">
        <v>2876</v>
      </c>
      <c r="I710" s="82"/>
      <c r="J710" s="87" t="s">
        <v>55</v>
      </c>
      <c r="K710" s="87">
        <v>7.0</v>
      </c>
      <c r="L710" s="89"/>
      <c r="M710" s="77"/>
      <c r="N710" s="91" t="s">
        <v>43</v>
      </c>
      <c r="O710" s="77"/>
      <c r="P710" s="77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102">
        <f t="shared" si="1"/>
        <v>706</v>
      </c>
      <c r="B711" s="94" t="s">
        <v>2878</v>
      </c>
      <c r="C711" s="107" t="s">
        <v>5</v>
      </c>
      <c r="D711" s="96"/>
      <c r="E711" s="97"/>
      <c r="F711" s="98" t="s">
        <v>43</v>
      </c>
      <c r="G711" s="99" t="s">
        <v>87</v>
      </c>
      <c r="H711" s="93" t="s">
        <v>2879</v>
      </c>
      <c r="I711" s="107" t="s">
        <v>5</v>
      </c>
      <c r="J711" s="93" t="s">
        <v>99</v>
      </c>
      <c r="K711" s="93">
        <v>17.0</v>
      </c>
      <c r="L711" s="101"/>
      <c r="M711" s="102"/>
      <c r="N711" s="103" t="s">
        <v>43</v>
      </c>
      <c r="O711" s="102"/>
      <c r="P711" s="102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77">
        <f t="shared" si="1"/>
        <v>707</v>
      </c>
      <c r="B712" s="78" t="s">
        <v>2711</v>
      </c>
      <c r="C712" s="82" t="s">
        <v>49</v>
      </c>
      <c r="D712" s="83"/>
      <c r="E712" s="84"/>
      <c r="F712" s="85" t="s">
        <v>43</v>
      </c>
      <c r="G712" s="86" t="s">
        <v>53</v>
      </c>
      <c r="H712" s="87" t="s">
        <v>2883</v>
      </c>
      <c r="I712" s="82"/>
      <c r="J712" s="87" t="s">
        <v>96</v>
      </c>
      <c r="K712" s="87">
        <v>37.0</v>
      </c>
      <c r="L712" s="89"/>
      <c r="M712" s="77"/>
      <c r="N712" s="91" t="s">
        <v>43</v>
      </c>
      <c r="O712" s="77"/>
      <c r="P712" s="77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102">
        <f t="shared" si="1"/>
        <v>708</v>
      </c>
      <c r="B713" s="94" t="s">
        <v>86</v>
      </c>
      <c r="C713" s="95" t="s">
        <v>49</v>
      </c>
      <c r="D713" s="96"/>
      <c r="E713" s="112"/>
      <c r="F713" s="109" t="s">
        <v>43</v>
      </c>
      <c r="G713" s="99" t="s">
        <v>53</v>
      </c>
      <c r="H713" s="93" t="s">
        <v>2885</v>
      </c>
      <c r="I713" s="95"/>
      <c r="J713" s="93" t="s">
        <v>47</v>
      </c>
      <c r="K713" s="93">
        <v>1.0</v>
      </c>
      <c r="L713" s="101"/>
      <c r="M713" s="110" t="s">
        <v>115</v>
      </c>
      <c r="N713" s="109" t="s">
        <v>43</v>
      </c>
      <c r="O713" s="102"/>
      <c r="P713" s="102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77">
        <f t="shared" si="1"/>
        <v>709</v>
      </c>
      <c r="B714" s="78" t="s">
        <v>2886</v>
      </c>
      <c r="C714" s="82" t="s">
        <v>49</v>
      </c>
      <c r="D714" s="83"/>
      <c r="E714" s="84"/>
      <c r="F714" s="85" t="s">
        <v>834</v>
      </c>
      <c r="G714" s="86" t="s">
        <v>87</v>
      </c>
      <c r="H714" s="87" t="s">
        <v>2888</v>
      </c>
      <c r="I714" s="82" t="s">
        <v>81</v>
      </c>
      <c r="J714" s="87" t="s">
        <v>89</v>
      </c>
      <c r="K714" s="87">
        <v>24.0</v>
      </c>
      <c r="L714" s="89"/>
      <c r="M714" s="77"/>
      <c r="N714" s="91" t="s">
        <v>43</v>
      </c>
      <c r="O714" s="77"/>
      <c r="P714" s="77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102">
        <f t="shared" si="1"/>
        <v>710</v>
      </c>
      <c r="B715" s="94" t="s">
        <v>2889</v>
      </c>
      <c r="C715" s="95" t="s">
        <v>49</v>
      </c>
      <c r="D715" s="96"/>
      <c r="E715" s="97"/>
      <c r="F715" s="98" t="s">
        <v>43</v>
      </c>
      <c r="G715" s="99" t="s">
        <v>53</v>
      </c>
      <c r="H715" s="102"/>
      <c r="I715" s="95"/>
      <c r="J715" s="93" t="s">
        <v>51</v>
      </c>
      <c r="K715" s="93">
        <v>13.0</v>
      </c>
      <c r="L715" s="101"/>
      <c r="M715" s="102"/>
      <c r="N715" s="102"/>
      <c r="O715" s="102"/>
      <c r="P715" s="102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77">
        <f t="shared" si="1"/>
        <v>711</v>
      </c>
      <c r="B716" s="78" t="s">
        <v>2894</v>
      </c>
      <c r="C716" s="82" t="s">
        <v>9</v>
      </c>
      <c r="D716" s="83"/>
      <c r="E716" s="84"/>
      <c r="F716" s="114" t="s">
        <v>43</v>
      </c>
      <c r="G716" s="86" t="s">
        <v>87</v>
      </c>
      <c r="H716" s="77"/>
      <c r="I716" s="82"/>
      <c r="J716" s="87" t="s">
        <v>68</v>
      </c>
      <c r="K716" s="77"/>
      <c r="L716" s="89"/>
      <c r="M716" s="77"/>
      <c r="N716" s="77"/>
      <c r="O716" s="77"/>
      <c r="P716" s="77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102">
        <f t="shared" si="1"/>
        <v>712</v>
      </c>
      <c r="B717" s="94" t="s">
        <v>2896</v>
      </c>
      <c r="C717" s="95" t="s">
        <v>49</v>
      </c>
      <c r="D717" s="96"/>
      <c r="E717" s="97"/>
      <c r="F717" s="98" t="s">
        <v>203</v>
      </c>
      <c r="G717" s="99" t="s">
        <v>53</v>
      </c>
      <c r="H717" s="93" t="s">
        <v>2898</v>
      </c>
      <c r="I717" s="95"/>
      <c r="J717" s="93" t="s">
        <v>96</v>
      </c>
      <c r="K717" s="93" t="s">
        <v>2899</v>
      </c>
      <c r="L717" s="101"/>
      <c r="M717" s="102"/>
      <c r="N717" s="103" t="s">
        <v>43</v>
      </c>
      <c r="O717" s="93"/>
      <c r="P717" s="102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77">
        <f t="shared" si="1"/>
        <v>713</v>
      </c>
      <c r="B718" s="78" t="s">
        <v>62</v>
      </c>
      <c r="C718" s="82" t="s">
        <v>49</v>
      </c>
      <c r="D718" s="142"/>
      <c r="E718" s="113"/>
      <c r="F718" s="85" t="s">
        <v>43</v>
      </c>
      <c r="G718" s="86" t="s">
        <v>53</v>
      </c>
      <c r="H718" s="87" t="s">
        <v>2902</v>
      </c>
      <c r="I718" s="82"/>
      <c r="J718" s="87" t="s">
        <v>47</v>
      </c>
      <c r="K718" s="87">
        <v>1.0</v>
      </c>
      <c r="L718" s="143"/>
      <c r="M718" s="87"/>
      <c r="N718" s="85" t="s">
        <v>43</v>
      </c>
      <c r="O718" s="144"/>
      <c r="P718" s="77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102">
        <f t="shared" si="1"/>
        <v>714</v>
      </c>
      <c r="B719" s="94" t="s">
        <v>2483</v>
      </c>
      <c r="C719" s="95" t="s">
        <v>49</v>
      </c>
      <c r="D719" s="96"/>
      <c r="E719" s="97"/>
      <c r="F719" s="98" t="s">
        <v>43</v>
      </c>
      <c r="G719" s="99" t="s">
        <v>53</v>
      </c>
      <c r="H719" s="93" t="s">
        <v>2905</v>
      </c>
      <c r="I719" s="95"/>
      <c r="J719" s="93" t="s">
        <v>96</v>
      </c>
      <c r="K719" s="93">
        <v>15.0</v>
      </c>
      <c r="L719" s="101"/>
      <c r="M719" s="102"/>
      <c r="N719" s="103" t="s">
        <v>43</v>
      </c>
      <c r="O719" s="102"/>
      <c r="P719" s="102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77">
        <f t="shared" si="1"/>
        <v>715</v>
      </c>
      <c r="B720" s="78" t="s">
        <v>1540</v>
      </c>
      <c r="C720" s="82" t="s">
        <v>5</v>
      </c>
      <c r="D720" s="83"/>
      <c r="E720" s="84"/>
      <c r="F720" s="85" t="s">
        <v>43</v>
      </c>
      <c r="G720" s="86" t="s">
        <v>87</v>
      </c>
      <c r="H720" s="87" t="s">
        <v>2908</v>
      </c>
      <c r="I720" s="82"/>
      <c r="J720" s="87" t="s">
        <v>55</v>
      </c>
      <c r="K720" s="87">
        <v>13.0</v>
      </c>
      <c r="L720" s="89"/>
      <c r="M720" s="77"/>
      <c r="N720" s="91" t="s">
        <v>60</v>
      </c>
      <c r="O720" s="77"/>
      <c r="P720" s="77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102">
        <f t="shared" si="1"/>
        <v>716</v>
      </c>
      <c r="B721" s="94" t="s">
        <v>2910</v>
      </c>
      <c r="C721" s="95" t="s">
        <v>5</v>
      </c>
      <c r="D721" s="96"/>
      <c r="E721" s="97"/>
      <c r="F721" s="109" t="s">
        <v>43</v>
      </c>
      <c r="G721" s="99" t="s">
        <v>87</v>
      </c>
      <c r="H721" s="93" t="s">
        <v>2911</v>
      </c>
      <c r="I721" s="95" t="s">
        <v>5</v>
      </c>
      <c r="J721" s="93" t="s">
        <v>55</v>
      </c>
      <c r="K721" s="102"/>
      <c r="L721" s="101"/>
      <c r="M721" s="102"/>
      <c r="N721" s="102"/>
      <c r="O721" s="102"/>
      <c r="P721" s="102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77">
        <f t="shared" si="1"/>
        <v>717</v>
      </c>
      <c r="B722" s="78" t="s">
        <v>2913</v>
      </c>
      <c r="C722" s="82" t="s">
        <v>49</v>
      </c>
      <c r="D722" s="83"/>
      <c r="E722" s="84"/>
      <c r="F722" s="85" t="s">
        <v>43</v>
      </c>
      <c r="G722" s="86" t="s">
        <v>53</v>
      </c>
      <c r="H722" s="87" t="s">
        <v>2915</v>
      </c>
      <c r="I722" s="82"/>
      <c r="J722" s="87" t="s">
        <v>55</v>
      </c>
      <c r="K722" s="87">
        <v>26.0</v>
      </c>
      <c r="L722" s="89"/>
      <c r="M722" s="77"/>
      <c r="N722" s="91" t="s">
        <v>43</v>
      </c>
      <c r="O722" s="77"/>
      <c r="P722" s="77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102">
        <f t="shared" si="1"/>
        <v>718</v>
      </c>
      <c r="B723" s="94" t="s">
        <v>1171</v>
      </c>
      <c r="C723" s="95" t="s">
        <v>172</v>
      </c>
      <c r="D723" s="96"/>
      <c r="E723" s="97"/>
      <c r="F723" s="98" t="s">
        <v>43</v>
      </c>
      <c r="G723" s="99" t="s">
        <v>53</v>
      </c>
      <c r="H723" s="93" t="s">
        <v>2917</v>
      </c>
      <c r="I723" s="95"/>
      <c r="J723" s="93" t="s">
        <v>68</v>
      </c>
      <c r="K723" s="93">
        <v>28.0</v>
      </c>
      <c r="L723" s="101"/>
      <c r="M723" s="102"/>
      <c r="N723" s="102"/>
      <c r="O723" s="102"/>
      <c r="P723" s="102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77">
        <f t="shared" si="1"/>
        <v>719</v>
      </c>
      <c r="B724" s="78" t="s">
        <v>2919</v>
      </c>
      <c r="C724" s="82" t="s">
        <v>9</v>
      </c>
      <c r="D724" s="83"/>
      <c r="E724" s="84"/>
      <c r="F724" s="114" t="s">
        <v>43</v>
      </c>
      <c r="G724" s="86" t="s">
        <v>87</v>
      </c>
      <c r="H724" s="77"/>
      <c r="I724" s="82"/>
      <c r="J724" s="87" t="s">
        <v>68</v>
      </c>
      <c r="K724" s="77"/>
      <c r="L724" s="89"/>
      <c r="M724" s="77"/>
      <c r="N724" s="77"/>
      <c r="O724" s="77"/>
      <c r="P724" s="77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102">
        <f t="shared" si="1"/>
        <v>720</v>
      </c>
      <c r="B725" s="94" t="s">
        <v>2862</v>
      </c>
      <c r="C725" s="95" t="s">
        <v>5</v>
      </c>
      <c r="D725" s="96"/>
      <c r="E725" s="97"/>
      <c r="F725" s="98" t="s">
        <v>43</v>
      </c>
      <c r="G725" s="99" t="s">
        <v>87</v>
      </c>
      <c r="H725" s="102"/>
      <c r="I725" s="95"/>
      <c r="J725" s="93" t="s">
        <v>99</v>
      </c>
      <c r="K725" s="93">
        <v>15.0</v>
      </c>
      <c r="L725" s="101"/>
      <c r="M725" s="102"/>
      <c r="N725" s="102"/>
      <c r="O725" s="102"/>
      <c r="P725" s="102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77">
        <f t="shared" si="1"/>
        <v>721</v>
      </c>
      <c r="B726" s="78" t="s">
        <v>2928</v>
      </c>
      <c r="C726" s="82" t="s">
        <v>49</v>
      </c>
      <c r="D726" s="83"/>
      <c r="E726" s="84"/>
      <c r="F726" s="85" t="s">
        <v>43</v>
      </c>
      <c r="G726" s="86" t="s">
        <v>53</v>
      </c>
      <c r="H726" s="77"/>
      <c r="I726" s="82"/>
      <c r="J726" s="87" t="s">
        <v>96</v>
      </c>
      <c r="K726" s="87">
        <v>31.0</v>
      </c>
      <c r="L726" s="89"/>
      <c r="M726" s="77"/>
      <c r="N726" s="77"/>
      <c r="O726" s="77"/>
      <c r="P726" s="77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102">
        <f t="shared" si="1"/>
        <v>722</v>
      </c>
      <c r="B727" s="94" t="s">
        <v>2450</v>
      </c>
      <c r="C727" s="95" t="s">
        <v>49</v>
      </c>
      <c r="D727" s="96"/>
      <c r="E727" s="97"/>
      <c r="F727" s="98" t="s">
        <v>43</v>
      </c>
      <c r="G727" s="99" t="s">
        <v>53</v>
      </c>
      <c r="H727" s="93" t="s">
        <v>2933</v>
      </c>
      <c r="I727" s="95"/>
      <c r="J727" s="93" t="s">
        <v>96</v>
      </c>
      <c r="K727" s="93" t="s">
        <v>196</v>
      </c>
      <c r="L727" s="101"/>
      <c r="M727" s="102"/>
      <c r="N727" s="103" t="s">
        <v>43</v>
      </c>
      <c r="O727" s="102"/>
      <c r="P727" s="102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77">
        <f t="shared" si="1"/>
        <v>723</v>
      </c>
      <c r="B728" s="78" t="s">
        <v>649</v>
      </c>
      <c r="C728" s="82" t="s">
        <v>5</v>
      </c>
      <c r="D728" s="83"/>
      <c r="E728" s="113"/>
      <c r="F728" s="85" t="s">
        <v>43</v>
      </c>
      <c r="G728" s="86" t="s">
        <v>87</v>
      </c>
      <c r="H728" s="87" t="s">
        <v>2935</v>
      </c>
      <c r="I728" s="111" t="s">
        <v>5</v>
      </c>
      <c r="J728" s="87" t="s">
        <v>174</v>
      </c>
      <c r="K728" s="87">
        <v>27.0</v>
      </c>
      <c r="L728" s="89"/>
      <c r="M728" s="77"/>
      <c r="N728" s="91" t="s">
        <v>43</v>
      </c>
      <c r="O728" s="77"/>
      <c r="P728" s="77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102">
        <f t="shared" si="1"/>
        <v>724</v>
      </c>
      <c r="B729" s="94" t="s">
        <v>1920</v>
      </c>
      <c r="C729" s="95" t="s">
        <v>49</v>
      </c>
      <c r="D729" s="96"/>
      <c r="E729" s="97"/>
      <c r="F729" s="98" t="s">
        <v>43</v>
      </c>
      <c r="G729" s="99" t="s">
        <v>53</v>
      </c>
      <c r="H729" s="93" t="s">
        <v>2939</v>
      </c>
      <c r="I729" s="95"/>
      <c r="J729" s="93" t="s">
        <v>51</v>
      </c>
      <c r="K729" s="93">
        <v>6.0</v>
      </c>
      <c r="L729" s="101"/>
      <c r="M729" s="102"/>
      <c r="N729" s="103" t="s">
        <v>60</v>
      </c>
      <c r="O729" s="102"/>
      <c r="P729" s="102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77">
        <f t="shared" si="1"/>
        <v>725</v>
      </c>
      <c r="B730" s="78" t="s">
        <v>995</v>
      </c>
      <c r="C730" s="82" t="s">
        <v>49</v>
      </c>
      <c r="D730" s="83"/>
      <c r="E730" s="84"/>
      <c r="F730" s="85" t="s">
        <v>43</v>
      </c>
      <c r="G730" s="86" t="s">
        <v>87</v>
      </c>
      <c r="H730" s="87" t="s">
        <v>2941</v>
      </c>
      <c r="I730" s="111" t="s">
        <v>72</v>
      </c>
      <c r="J730" s="87" t="s">
        <v>68</v>
      </c>
      <c r="K730" s="87">
        <v>16.0</v>
      </c>
      <c r="L730" s="89"/>
      <c r="M730" s="77"/>
      <c r="N730" s="77"/>
      <c r="O730" s="77"/>
      <c r="P730" s="77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102">
        <f t="shared" si="1"/>
        <v>726</v>
      </c>
      <c r="B731" s="94" t="s">
        <v>2657</v>
      </c>
      <c r="C731" s="95" t="s">
        <v>49</v>
      </c>
      <c r="D731" s="96"/>
      <c r="E731" s="97"/>
      <c r="F731" s="98" t="s">
        <v>43</v>
      </c>
      <c r="G731" s="99" t="s">
        <v>53</v>
      </c>
      <c r="H731" s="102"/>
      <c r="I731" s="95"/>
      <c r="J731" s="93" t="s">
        <v>96</v>
      </c>
      <c r="K731" s="93">
        <v>34.0</v>
      </c>
      <c r="L731" s="101"/>
      <c r="M731" s="102"/>
      <c r="N731" s="102"/>
      <c r="O731" s="102"/>
      <c r="P731" s="102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77">
        <f t="shared" si="1"/>
        <v>727</v>
      </c>
      <c r="B732" s="78" t="s">
        <v>2430</v>
      </c>
      <c r="C732" s="82" t="s">
        <v>5</v>
      </c>
      <c r="D732" s="83"/>
      <c r="E732" s="84"/>
      <c r="F732" s="85" t="s">
        <v>43</v>
      </c>
      <c r="G732" s="86" t="s">
        <v>87</v>
      </c>
      <c r="H732" s="87" t="s">
        <v>2946</v>
      </c>
      <c r="I732" s="82" t="s">
        <v>69</v>
      </c>
      <c r="J732" s="87" t="s">
        <v>96</v>
      </c>
      <c r="K732" s="87" t="s">
        <v>1648</v>
      </c>
      <c r="L732" s="89"/>
      <c r="M732" s="77"/>
      <c r="N732" s="91" t="s">
        <v>43</v>
      </c>
      <c r="O732" s="77"/>
      <c r="P732" s="77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102">
        <f t="shared" si="1"/>
        <v>728</v>
      </c>
      <c r="B733" s="94" t="s">
        <v>1922</v>
      </c>
      <c r="C733" s="95" t="s">
        <v>5</v>
      </c>
      <c r="D733" s="96"/>
      <c r="E733" s="97"/>
      <c r="F733" s="98" t="s">
        <v>43</v>
      </c>
      <c r="G733" s="99" t="s">
        <v>87</v>
      </c>
      <c r="H733" s="93" t="s">
        <v>2950</v>
      </c>
      <c r="I733" s="95"/>
      <c r="J733" s="93" t="s">
        <v>51</v>
      </c>
      <c r="K733" s="93">
        <v>5.0</v>
      </c>
      <c r="L733" s="101"/>
      <c r="M733" s="102"/>
      <c r="N733" s="103" t="s">
        <v>43</v>
      </c>
      <c r="O733" s="102"/>
      <c r="P733" s="102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77">
        <f t="shared" si="1"/>
        <v>729</v>
      </c>
      <c r="B734" s="78" t="s">
        <v>550</v>
      </c>
      <c r="C734" s="82" t="s">
        <v>5</v>
      </c>
      <c r="D734" s="83"/>
      <c r="E734" s="113"/>
      <c r="F734" s="85" t="s">
        <v>60</v>
      </c>
      <c r="G734" s="86" t="s">
        <v>87</v>
      </c>
      <c r="H734" s="87" t="s">
        <v>2954</v>
      </c>
      <c r="I734" s="111" t="s">
        <v>5</v>
      </c>
      <c r="J734" s="87" t="s">
        <v>174</v>
      </c>
      <c r="K734" s="87">
        <v>12.0</v>
      </c>
      <c r="L734" s="89"/>
      <c r="M734" s="77"/>
      <c r="N734" s="77"/>
      <c r="O734" s="77"/>
      <c r="P734" s="77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102">
        <f t="shared" si="1"/>
        <v>730</v>
      </c>
      <c r="B735" s="94" t="s">
        <v>2335</v>
      </c>
      <c r="C735" s="95" t="s">
        <v>49</v>
      </c>
      <c r="D735" s="96"/>
      <c r="E735" s="97"/>
      <c r="F735" s="98" t="s">
        <v>43</v>
      </c>
      <c r="G735" s="99" t="s">
        <v>53</v>
      </c>
      <c r="H735" s="93" t="s">
        <v>2956</v>
      </c>
      <c r="I735" s="95"/>
      <c r="J735" s="93" t="s">
        <v>96</v>
      </c>
      <c r="K735" s="93" t="s">
        <v>2957</v>
      </c>
      <c r="L735" s="101"/>
      <c r="M735" s="102"/>
      <c r="N735" s="103" t="s">
        <v>43</v>
      </c>
      <c r="O735" s="102"/>
      <c r="P735" s="102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77">
        <f t="shared" si="1"/>
        <v>731</v>
      </c>
      <c r="B736" s="78" t="s">
        <v>1327</v>
      </c>
      <c r="C736" s="82" t="s">
        <v>49</v>
      </c>
      <c r="D736" s="83"/>
      <c r="E736" s="84"/>
      <c r="F736" s="85" t="s">
        <v>203</v>
      </c>
      <c r="G736" s="86" t="s">
        <v>53</v>
      </c>
      <c r="H736" s="87" t="s">
        <v>2960</v>
      </c>
      <c r="I736" s="82"/>
      <c r="J736" s="87" t="s">
        <v>55</v>
      </c>
      <c r="K736" s="87">
        <v>26.0</v>
      </c>
      <c r="L736" s="89"/>
      <c r="M736" s="77"/>
      <c r="N736" s="91" t="s">
        <v>43</v>
      </c>
      <c r="O736" s="77"/>
      <c r="P736" s="77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102">
        <f t="shared" si="1"/>
        <v>732</v>
      </c>
      <c r="B737" s="94" t="s">
        <v>2962</v>
      </c>
      <c r="C737" s="95" t="s">
        <v>49</v>
      </c>
      <c r="D737" s="96"/>
      <c r="E737" s="112"/>
      <c r="F737" s="98" t="s">
        <v>60</v>
      </c>
      <c r="G737" s="99" t="s">
        <v>49</v>
      </c>
      <c r="H737" s="93" t="s">
        <v>2963</v>
      </c>
      <c r="I737" s="95"/>
      <c r="J737" s="93" t="s">
        <v>174</v>
      </c>
      <c r="K737" s="93">
        <v>2.0</v>
      </c>
      <c r="L737" s="101"/>
      <c r="M737" s="102"/>
      <c r="N737" s="103" t="s">
        <v>60</v>
      </c>
      <c r="O737" s="102"/>
      <c r="P737" s="102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77">
        <f t="shared" si="1"/>
        <v>733</v>
      </c>
      <c r="B738" s="78" t="s">
        <v>1685</v>
      </c>
      <c r="C738" s="82" t="s">
        <v>49</v>
      </c>
      <c r="D738" s="83"/>
      <c r="E738" s="84"/>
      <c r="F738" s="85" t="s">
        <v>43</v>
      </c>
      <c r="G738" s="86" t="s">
        <v>53</v>
      </c>
      <c r="H738" s="87" t="s">
        <v>2966</v>
      </c>
      <c r="I738" s="82"/>
      <c r="J738" s="87" t="s">
        <v>51</v>
      </c>
      <c r="K738" s="87">
        <v>34.0</v>
      </c>
      <c r="L738" s="89"/>
      <c r="M738" s="77"/>
      <c r="N738" s="91" t="s">
        <v>43</v>
      </c>
      <c r="O738" s="77"/>
      <c r="P738" s="77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102">
        <f t="shared" si="1"/>
        <v>734</v>
      </c>
      <c r="B739" s="94" t="s">
        <v>1687</v>
      </c>
      <c r="C739" s="95" t="s">
        <v>49</v>
      </c>
      <c r="D739" s="96"/>
      <c r="E739" s="97"/>
      <c r="F739" s="98" t="s">
        <v>43</v>
      </c>
      <c r="G739" s="99" t="s">
        <v>53</v>
      </c>
      <c r="H739" s="93" t="s">
        <v>2969</v>
      </c>
      <c r="I739" s="95"/>
      <c r="J739" s="93" t="s">
        <v>51</v>
      </c>
      <c r="K739" s="93">
        <v>34.0</v>
      </c>
      <c r="L739" s="101"/>
      <c r="M739" s="102"/>
      <c r="N739" s="103" t="s">
        <v>60</v>
      </c>
      <c r="O739" s="102"/>
      <c r="P739" s="102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77">
        <f t="shared" si="1"/>
        <v>735</v>
      </c>
      <c r="B740" s="78" t="s">
        <v>2971</v>
      </c>
      <c r="C740" s="82" t="s">
        <v>49</v>
      </c>
      <c r="D740" s="83"/>
      <c r="E740" s="84"/>
      <c r="F740" s="85" t="s">
        <v>43</v>
      </c>
      <c r="G740" s="86" t="s">
        <v>53</v>
      </c>
      <c r="H740" s="87" t="s">
        <v>2972</v>
      </c>
      <c r="I740" s="82"/>
      <c r="J740" s="87" t="s">
        <v>99</v>
      </c>
      <c r="K740" s="87" t="s">
        <v>2974</v>
      </c>
      <c r="L740" s="89"/>
      <c r="M740" s="77"/>
      <c r="N740" s="77"/>
      <c r="O740" s="77"/>
      <c r="P740" s="77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102">
        <f t="shared" si="1"/>
        <v>736</v>
      </c>
      <c r="B741" s="94" t="s">
        <v>803</v>
      </c>
      <c r="C741" s="95" t="s">
        <v>49</v>
      </c>
      <c r="D741" s="96"/>
      <c r="E741" s="97"/>
      <c r="F741" s="98" t="s">
        <v>43</v>
      </c>
      <c r="G741" s="99" t="s">
        <v>87</v>
      </c>
      <c r="H741" s="93" t="s">
        <v>2976</v>
      </c>
      <c r="I741" s="95"/>
      <c r="J741" s="93" t="s">
        <v>55</v>
      </c>
      <c r="K741" s="93">
        <v>7.0</v>
      </c>
      <c r="L741" s="101"/>
      <c r="M741" s="102"/>
      <c r="N741" s="103" t="s">
        <v>43</v>
      </c>
      <c r="O741" s="102"/>
      <c r="P741" s="102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77">
        <f t="shared" si="1"/>
        <v>737</v>
      </c>
      <c r="B742" s="78" t="s">
        <v>2853</v>
      </c>
      <c r="C742" s="82" t="s">
        <v>49</v>
      </c>
      <c r="D742" s="83"/>
      <c r="E742" s="84"/>
      <c r="F742" s="85" t="s">
        <v>43</v>
      </c>
      <c r="G742" s="86" t="s">
        <v>53</v>
      </c>
      <c r="H742" s="87" t="s">
        <v>2978</v>
      </c>
      <c r="I742" s="82"/>
      <c r="J742" s="87" t="s">
        <v>99</v>
      </c>
      <c r="K742" s="87">
        <v>13.0</v>
      </c>
      <c r="L742" s="89"/>
      <c r="M742" s="77"/>
      <c r="N742" s="91" t="s">
        <v>43</v>
      </c>
      <c r="O742" s="77"/>
      <c r="P742" s="77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102">
        <f t="shared" si="1"/>
        <v>738</v>
      </c>
      <c r="B743" s="94" t="s">
        <v>1985</v>
      </c>
      <c r="C743" s="95" t="s">
        <v>49</v>
      </c>
      <c r="D743" s="96"/>
      <c r="E743" s="97"/>
      <c r="F743" s="98" t="s">
        <v>43</v>
      </c>
      <c r="G743" s="99" t="s">
        <v>53</v>
      </c>
      <c r="H743" s="93" t="s">
        <v>2981</v>
      </c>
      <c r="I743" s="95"/>
      <c r="J743" s="93" t="s">
        <v>51</v>
      </c>
      <c r="K743" s="93">
        <v>1.0</v>
      </c>
      <c r="L743" s="101"/>
      <c r="M743" s="102"/>
      <c r="N743" s="103" t="s">
        <v>43</v>
      </c>
      <c r="O743" s="102"/>
      <c r="P743" s="102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77">
        <f t="shared" si="1"/>
        <v>739</v>
      </c>
      <c r="B744" s="78" t="s">
        <v>2893</v>
      </c>
      <c r="C744" s="82" t="s">
        <v>49</v>
      </c>
      <c r="D744" s="83"/>
      <c r="E744" s="84"/>
      <c r="F744" s="85" t="s">
        <v>43</v>
      </c>
      <c r="G744" s="86" t="s">
        <v>53</v>
      </c>
      <c r="H744" s="87" t="s">
        <v>2984</v>
      </c>
      <c r="I744" s="82"/>
      <c r="J744" s="87" t="s">
        <v>99</v>
      </c>
      <c r="K744" s="87">
        <v>17.0</v>
      </c>
      <c r="L744" s="89"/>
      <c r="M744" s="77"/>
      <c r="N744" s="91" t="s">
        <v>43</v>
      </c>
      <c r="O744" s="77"/>
      <c r="P744" s="77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102">
        <f t="shared" si="1"/>
        <v>740</v>
      </c>
      <c r="B745" s="94" t="s">
        <v>2986</v>
      </c>
      <c r="C745" s="95" t="s">
        <v>49</v>
      </c>
      <c r="D745" s="96"/>
      <c r="E745" s="97"/>
      <c r="F745" s="98" t="s">
        <v>203</v>
      </c>
      <c r="G745" s="99" t="s">
        <v>49</v>
      </c>
      <c r="H745" s="102"/>
      <c r="I745" s="95"/>
      <c r="J745" s="93" t="s">
        <v>96</v>
      </c>
      <c r="K745" s="93">
        <v>10.0</v>
      </c>
      <c r="L745" s="101"/>
      <c r="M745" s="102"/>
      <c r="N745" s="102"/>
      <c r="O745" s="102"/>
      <c r="P745" s="102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77">
        <f t="shared" si="1"/>
        <v>741</v>
      </c>
      <c r="B746" s="78" t="s">
        <v>735</v>
      </c>
      <c r="C746" s="111" t="s">
        <v>5</v>
      </c>
      <c r="D746" s="83"/>
      <c r="E746" s="84"/>
      <c r="F746" s="85" t="s">
        <v>43</v>
      </c>
      <c r="G746" s="86" t="s">
        <v>87</v>
      </c>
      <c r="H746" s="77"/>
      <c r="I746" s="82"/>
      <c r="J746" s="87" t="s">
        <v>68</v>
      </c>
      <c r="K746" s="87">
        <v>3.0</v>
      </c>
      <c r="L746" s="89"/>
      <c r="M746" s="77"/>
      <c r="N746" s="77"/>
      <c r="O746" s="77"/>
      <c r="P746" s="77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102">
        <f t="shared" si="1"/>
        <v>742</v>
      </c>
      <c r="B747" s="94" t="s">
        <v>2993</v>
      </c>
      <c r="C747" s="95" t="s">
        <v>81</v>
      </c>
      <c r="D747" s="96"/>
      <c r="E747" s="97"/>
      <c r="F747" s="109" t="s">
        <v>43</v>
      </c>
      <c r="G747" s="99" t="s">
        <v>87</v>
      </c>
      <c r="H747" s="102"/>
      <c r="I747" s="95"/>
      <c r="J747" s="93" t="s">
        <v>99</v>
      </c>
      <c r="K747" s="102"/>
      <c r="L747" s="101"/>
      <c r="M747" s="102"/>
      <c r="N747" s="102"/>
      <c r="O747" s="102"/>
      <c r="P747" s="102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77">
        <f t="shared" si="1"/>
        <v>743</v>
      </c>
      <c r="B748" s="78" t="s">
        <v>2997</v>
      </c>
      <c r="C748" s="111" t="s">
        <v>5</v>
      </c>
      <c r="D748" s="83"/>
      <c r="E748" s="84"/>
      <c r="F748" s="85" t="s">
        <v>43</v>
      </c>
      <c r="G748" s="86" t="s">
        <v>87</v>
      </c>
      <c r="H748" s="77"/>
      <c r="I748" s="82"/>
      <c r="J748" s="87" t="s">
        <v>55</v>
      </c>
      <c r="K748" s="87">
        <v>10.0</v>
      </c>
      <c r="L748" s="89"/>
      <c r="M748" s="77"/>
      <c r="N748" s="77"/>
      <c r="O748" s="77"/>
      <c r="P748" s="77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102">
        <f t="shared" si="1"/>
        <v>744</v>
      </c>
      <c r="B749" s="94" t="s">
        <v>2998</v>
      </c>
      <c r="C749" s="95" t="s">
        <v>49</v>
      </c>
      <c r="D749" s="96"/>
      <c r="E749" s="97"/>
      <c r="F749" s="98" t="s">
        <v>43</v>
      </c>
      <c r="G749" s="99" t="s">
        <v>53</v>
      </c>
      <c r="H749" s="102"/>
      <c r="I749" s="95"/>
      <c r="J749" s="93" t="s">
        <v>99</v>
      </c>
      <c r="K749" s="93">
        <v>35.0</v>
      </c>
      <c r="L749" s="101"/>
      <c r="M749" s="102"/>
      <c r="N749" s="102"/>
      <c r="O749" s="102"/>
      <c r="P749" s="102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77">
        <f t="shared" si="1"/>
        <v>745</v>
      </c>
      <c r="B750" s="78" t="s">
        <v>3002</v>
      </c>
      <c r="C750" s="82" t="s">
        <v>69</v>
      </c>
      <c r="D750" s="83"/>
      <c r="E750" s="84"/>
      <c r="F750" s="114" t="s">
        <v>43</v>
      </c>
      <c r="G750" s="86" t="s">
        <v>87</v>
      </c>
      <c r="H750" s="77"/>
      <c r="I750" s="82"/>
      <c r="J750" s="87" t="s">
        <v>55</v>
      </c>
      <c r="K750" s="77"/>
      <c r="L750" s="89"/>
      <c r="M750" s="77"/>
      <c r="N750" s="77"/>
      <c r="O750" s="77"/>
      <c r="P750" s="77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102">
        <f t="shared" si="1"/>
        <v>746</v>
      </c>
      <c r="B751" s="94" t="s">
        <v>860</v>
      </c>
      <c r="C751" s="95" t="s">
        <v>49</v>
      </c>
      <c r="D751" s="96"/>
      <c r="E751" s="97"/>
      <c r="F751" s="98" t="s">
        <v>43</v>
      </c>
      <c r="G751" s="99" t="s">
        <v>53</v>
      </c>
      <c r="H751" s="93" t="s">
        <v>3005</v>
      </c>
      <c r="I751" s="95"/>
      <c r="J751" s="93" t="s">
        <v>68</v>
      </c>
      <c r="K751" s="93">
        <v>9.0</v>
      </c>
      <c r="L751" s="101"/>
      <c r="M751" s="102"/>
      <c r="N751" s="103" t="s">
        <v>43</v>
      </c>
      <c r="O751" s="102"/>
      <c r="P751" s="102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77">
        <f t="shared" si="1"/>
        <v>747</v>
      </c>
      <c r="B752" s="116" t="s">
        <v>682</v>
      </c>
      <c r="C752" s="82" t="s">
        <v>5</v>
      </c>
      <c r="D752" s="83"/>
      <c r="E752" s="84"/>
      <c r="F752" s="85" t="s">
        <v>43</v>
      </c>
      <c r="G752" s="86" t="s">
        <v>87</v>
      </c>
      <c r="H752" s="77"/>
      <c r="I752" s="82"/>
      <c r="J752" s="87" t="s">
        <v>174</v>
      </c>
      <c r="K752" s="87">
        <v>27.0</v>
      </c>
      <c r="L752" s="89"/>
      <c r="M752" s="77"/>
      <c r="N752" s="77"/>
      <c r="O752" s="77"/>
      <c r="P752" s="77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102">
        <f t="shared" si="1"/>
        <v>748</v>
      </c>
      <c r="B753" s="94" t="s">
        <v>3009</v>
      </c>
      <c r="C753" s="95" t="s">
        <v>49</v>
      </c>
      <c r="D753" s="96"/>
      <c r="E753" s="97"/>
      <c r="F753" s="98" t="s">
        <v>43</v>
      </c>
      <c r="G753" s="99" t="s">
        <v>87</v>
      </c>
      <c r="H753" s="102"/>
      <c r="I753" s="95"/>
      <c r="J753" s="93" t="s">
        <v>99</v>
      </c>
      <c r="K753" s="93" t="s">
        <v>1267</v>
      </c>
      <c r="L753" s="101"/>
      <c r="M753" s="102"/>
      <c r="N753" s="102"/>
      <c r="O753" s="102"/>
      <c r="P753" s="102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77">
        <f t="shared" si="1"/>
        <v>749</v>
      </c>
      <c r="B754" s="78" t="s">
        <v>2751</v>
      </c>
      <c r="C754" s="82" t="s">
        <v>49</v>
      </c>
      <c r="D754" s="83"/>
      <c r="E754" s="84"/>
      <c r="F754" s="85" t="s">
        <v>43</v>
      </c>
      <c r="G754" s="86" t="s">
        <v>53</v>
      </c>
      <c r="H754" s="77"/>
      <c r="I754" s="82"/>
      <c r="J754" s="87" t="s">
        <v>99</v>
      </c>
      <c r="K754" s="87" t="s">
        <v>455</v>
      </c>
      <c r="L754" s="89"/>
      <c r="M754" s="77"/>
      <c r="N754" s="77"/>
      <c r="O754" s="77"/>
      <c r="P754" s="77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102">
        <f t="shared" si="1"/>
        <v>750</v>
      </c>
      <c r="B755" s="94" t="s">
        <v>3014</v>
      </c>
      <c r="C755" s="95" t="s">
        <v>49</v>
      </c>
      <c r="D755" s="96"/>
      <c r="E755" s="97"/>
      <c r="F755" s="109" t="s">
        <v>43</v>
      </c>
      <c r="G755" s="99" t="s">
        <v>53</v>
      </c>
      <c r="H755" s="102"/>
      <c r="I755" s="95"/>
      <c r="J755" s="93" t="s">
        <v>99</v>
      </c>
      <c r="K755" s="102"/>
      <c r="L755" s="101"/>
      <c r="M755" s="102"/>
      <c r="N755" s="102"/>
      <c r="O755" s="102"/>
      <c r="P755" s="102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77">
        <f t="shared" si="1"/>
        <v>751</v>
      </c>
      <c r="B756" s="78" t="s">
        <v>2519</v>
      </c>
      <c r="C756" s="82" t="s">
        <v>49</v>
      </c>
      <c r="D756" s="83"/>
      <c r="E756" s="84"/>
      <c r="F756" s="85" t="s">
        <v>60</v>
      </c>
      <c r="G756" s="86" t="s">
        <v>53</v>
      </c>
      <c r="H756" s="87" t="s">
        <v>3017</v>
      </c>
      <c r="I756" s="82"/>
      <c r="J756" s="87" t="s">
        <v>96</v>
      </c>
      <c r="K756" s="87">
        <v>20.0</v>
      </c>
      <c r="L756" s="89"/>
      <c r="M756" s="77"/>
      <c r="N756" s="91" t="s">
        <v>43</v>
      </c>
      <c r="O756" s="77"/>
      <c r="P756" s="77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102">
        <f t="shared" si="1"/>
        <v>752</v>
      </c>
      <c r="B757" s="94" t="s">
        <v>2667</v>
      </c>
      <c r="C757" s="95" t="s">
        <v>49</v>
      </c>
      <c r="D757" s="96"/>
      <c r="E757" s="97"/>
      <c r="F757" s="98" t="s">
        <v>60</v>
      </c>
      <c r="G757" s="99" t="s">
        <v>49</v>
      </c>
      <c r="H757" s="102"/>
      <c r="I757" s="95"/>
      <c r="J757" s="93" t="s">
        <v>96</v>
      </c>
      <c r="K757" s="93">
        <v>34.0</v>
      </c>
      <c r="L757" s="101"/>
      <c r="M757" s="102"/>
      <c r="N757" s="102"/>
      <c r="O757" s="102"/>
      <c r="P757" s="102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77">
        <f t="shared" si="1"/>
        <v>753</v>
      </c>
      <c r="B758" s="78" t="s">
        <v>2166</v>
      </c>
      <c r="C758" s="111" t="s">
        <v>69</v>
      </c>
      <c r="D758" s="83"/>
      <c r="E758" s="84"/>
      <c r="F758" s="85" t="s">
        <v>43</v>
      </c>
      <c r="G758" s="86" t="s">
        <v>87</v>
      </c>
      <c r="H758" s="77"/>
      <c r="I758" s="82"/>
      <c r="J758" s="87" t="s">
        <v>89</v>
      </c>
      <c r="K758" s="87">
        <v>12.0</v>
      </c>
      <c r="L758" s="89"/>
      <c r="M758" s="77"/>
      <c r="N758" s="77"/>
      <c r="O758" s="77"/>
      <c r="P758" s="77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102">
        <f t="shared" si="1"/>
        <v>754</v>
      </c>
      <c r="B759" s="94" t="s">
        <v>2009</v>
      </c>
      <c r="C759" s="95" t="s">
        <v>49</v>
      </c>
      <c r="D759" s="96"/>
      <c r="E759" s="97"/>
      <c r="F759" s="98" t="s">
        <v>43</v>
      </c>
      <c r="G759" s="99" t="s">
        <v>53</v>
      </c>
      <c r="H759" s="93" t="s">
        <v>3025</v>
      </c>
      <c r="I759" s="95"/>
      <c r="J759" s="93" t="s">
        <v>51</v>
      </c>
      <c r="K759" s="93" t="s">
        <v>616</v>
      </c>
      <c r="L759" s="101"/>
      <c r="M759" s="102"/>
      <c r="N759" s="103" t="s">
        <v>43</v>
      </c>
      <c r="O759" s="102"/>
      <c r="P759" s="102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77">
        <f t="shared" si="1"/>
        <v>755</v>
      </c>
      <c r="B760" s="78" t="s">
        <v>3027</v>
      </c>
      <c r="C760" s="82" t="s">
        <v>49</v>
      </c>
      <c r="D760" s="83"/>
      <c r="E760" s="84"/>
      <c r="F760" s="85" t="s">
        <v>60</v>
      </c>
      <c r="G760" s="86" t="s">
        <v>53</v>
      </c>
      <c r="H760" s="87" t="s">
        <v>3029</v>
      </c>
      <c r="I760" s="82"/>
      <c r="J760" s="87" t="s">
        <v>99</v>
      </c>
      <c r="K760" s="87" t="s">
        <v>3030</v>
      </c>
      <c r="L760" s="89"/>
      <c r="M760" s="77"/>
      <c r="N760" s="91" t="s">
        <v>43</v>
      </c>
      <c r="O760" s="77"/>
      <c r="P760" s="77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102">
        <f t="shared" si="1"/>
        <v>756</v>
      </c>
      <c r="B761" s="94" t="s">
        <v>3033</v>
      </c>
      <c r="C761" s="95" t="s">
        <v>9</v>
      </c>
      <c r="D761" s="96"/>
      <c r="E761" s="97"/>
      <c r="F761" s="109" t="s">
        <v>43</v>
      </c>
      <c r="G761" s="99" t="s">
        <v>87</v>
      </c>
      <c r="H761" s="102"/>
      <c r="I761" s="95"/>
      <c r="J761" s="93" t="s">
        <v>99</v>
      </c>
      <c r="K761" s="102"/>
      <c r="L761" s="101"/>
      <c r="M761" s="102"/>
      <c r="N761" s="102"/>
      <c r="O761" s="102"/>
      <c r="P761" s="102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77">
        <f t="shared" si="1"/>
        <v>757</v>
      </c>
      <c r="B762" s="78" t="s">
        <v>1394</v>
      </c>
      <c r="C762" s="82" t="s">
        <v>49</v>
      </c>
      <c r="D762" s="83"/>
      <c r="E762" s="84"/>
      <c r="F762" s="85" t="s">
        <v>43</v>
      </c>
      <c r="G762" s="86" t="s">
        <v>53</v>
      </c>
      <c r="H762" s="87" t="s">
        <v>3036</v>
      </c>
      <c r="I762" s="82"/>
      <c r="J762" s="87" t="s">
        <v>55</v>
      </c>
      <c r="K762" s="87">
        <v>5.0</v>
      </c>
      <c r="L762" s="89"/>
      <c r="M762" s="77"/>
      <c r="N762" s="91" t="s">
        <v>43</v>
      </c>
      <c r="O762" s="77"/>
      <c r="P762" s="77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102">
        <f t="shared" si="1"/>
        <v>758</v>
      </c>
      <c r="B763" s="94" t="s">
        <v>3039</v>
      </c>
      <c r="C763" s="95" t="s">
        <v>172</v>
      </c>
      <c r="D763" s="96"/>
      <c r="E763" s="97"/>
      <c r="F763" s="98" t="s">
        <v>43</v>
      </c>
      <c r="G763" s="99" t="s">
        <v>87</v>
      </c>
      <c r="H763" s="93" t="s">
        <v>3041</v>
      </c>
      <c r="I763" s="95"/>
      <c r="J763" s="93" t="s">
        <v>89</v>
      </c>
      <c r="K763" s="93">
        <v>33.0</v>
      </c>
      <c r="L763" s="101"/>
      <c r="M763" s="102"/>
      <c r="N763" s="103" t="s">
        <v>43</v>
      </c>
      <c r="O763" s="102"/>
      <c r="P763" s="102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77">
        <f t="shared" si="1"/>
        <v>759</v>
      </c>
      <c r="B764" s="78" t="s">
        <v>2847</v>
      </c>
      <c r="C764" s="82" t="s">
        <v>49</v>
      </c>
      <c r="D764" s="83"/>
      <c r="E764" s="84"/>
      <c r="F764" s="85" t="s">
        <v>60</v>
      </c>
      <c r="G764" s="86" t="s">
        <v>53</v>
      </c>
      <c r="H764" s="87" t="s">
        <v>3044</v>
      </c>
      <c r="I764" s="82"/>
      <c r="J764" s="87" t="s">
        <v>99</v>
      </c>
      <c r="K764" s="87" t="s">
        <v>1267</v>
      </c>
      <c r="L764" s="89"/>
      <c r="M764" s="77"/>
      <c r="N764" s="91" t="s">
        <v>43</v>
      </c>
      <c r="O764" s="77"/>
      <c r="P764" s="77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102">
        <f t="shared" si="1"/>
        <v>760</v>
      </c>
      <c r="B765" s="94" t="s">
        <v>2996</v>
      </c>
      <c r="C765" s="95" t="s">
        <v>172</v>
      </c>
      <c r="D765" s="96"/>
      <c r="E765" s="97"/>
      <c r="F765" s="98" t="s">
        <v>43</v>
      </c>
      <c r="G765" s="99" t="s">
        <v>87</v>
      </c>
      <c r="H765" s="93" t="s">
        <v>3047</v>
      </c>
      <c r="I765" s="95" t="s">
        <v>172</v>
      </c>
      <c r="J765" s="93" t="s">
        <v>89</v>
      </c>
      <c r="K765" s="93">
        <v>28.0</v>
      </c>
      <c r="L765" s="101"/>
      <c r="M765" s="102"/>
      <c r="N765" s="103" t="s">
        <v>43</v>
      </c>
      <c r="O765" s="102"/>
      <c r="P765" s="102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77">
        <f t="shared" si="1"/>
        <v>761</v>
      </c>
      <c r="B766" s="78" t="s">
        <v>1560</v>
      </c>
      <c r="C766" s="82" t="s">
        <v>49</v>
      </c>
      <c r="D766" s="83"/>
      <c r="E766" s="84"/>
      <c r="F766" s="85" t="s">
        <v>43</v>
      </c>
      <c r="G766" s="86" t="s">
        <v>53</v>
      </c>
      <c r="H766" s="87" t="s">
        <v>3049</v>
      </c>
      <c r="I766" s="82"/>
      <c r="J766" s="87" t="s">
        <v>55</v>
      </c>
      <c r="K766" s="87">
        <v>15.0</v>
      </c>
      <c r="L766" s="89"/>
      <c r="M766" s="77"/>
      <c r="N766" s="91" t="s">
        <v>60</v>
      </c>
      <c r="O766" s="77"/>
      <c r="P766" s="77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102">
        <f t="shared" si="1"/>
        <v>762</v>
      </c>
      <c r="B767" s="94" t="s">
        <v>3051</v>
      </c>
      <c r="C767" s="95" t="s">
        <v>49</v>
      </c>
      <c r="D767" s="96"/>
      <c r="E767" s="97"/>
      <c r="F767" s="98" t="s">
        <v>60</v>
      </c>
      <c r="G767" s="99" t="s">
        <v>49</v>
      </c>
      <c r="H767" s="93" t="s">
        <v>3052</v>
      </c>
      <c r="I767" s="95"/>
      <c r="J767" s="93" t="s">
        <v>96</v>
      </c>
      <c r="K767" s="93">
        <v>22.0</v>
      </c>
      <c r="L767" s="101"/>
      <c r="M767" s="102"/>
      <c r="N767" s="103" t="s">
        <v>60</v>
      </c>
      <c r="O767" s="102"/>
      <c r="P767" s="102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77">
        <f t="shared" si="1"/>
        <v>763</v>
      </c>
      <c r="B768" s="78" t="s">
        <v>201</v>
      </c>
      <c r="C768" s="82" t="s">
        <v>5</v>
      </c>
      <c r="D768" s="83"/>
      <c r="E768" s="113"/>
      <c r="F768" s="85" t="s">
        <v>43</v>
      </c>
      <c r="G768" s="86" t="s">
        <v>87</v>
      </c>
      <c r="H768" s="87" t="s">
        <v>3054</v>
      </c>
      <c r="I768" s="82" t="s">
        <v>5</v>
      </c>
      <c r="J768" s="87" t="s">
        <v>47</v>
      </c>
      <c r="K768" s="87">
        <v>13.0</v>
      </c>
      <c r="L768" s="89"/>
      <c r="M768" s="77"/>
      <c r="N768" s="113"/>
      <c r="O768" s="77"/>
      <c r="P768" s="77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102">
        <f t="shared" si="1"/>
        <v>764</v>
      </c>
      <c r="B769" s="94" t="s">
        <v>2931</v>
      </c>
      <c r="C769" s="95" t="s">
        <v>49</v>
      </c>
      <c r="D769" s="96"/>
      <c r="E769" s="97"/>
      <c r="F769" s="98" t="s">
        <v>43</v>
      </c>
      <c r="G769" s="99" t="s">
        <v>53</v>
      </c>
      <c r="H769" s="93" t="s">
        <v>3057</v>
      </c>
      <c r="I769" s="95"/>
      <c r="J769" s="93" t="s">
        <v>55</v>
      </c>
      <c r="K769" s="93">
        <v>26.0</v>
      </c>
      <c r="L769" s="101"/>
      <c r="M769" s="102"/>
      <c r="N769" s="103" t="s">
        <v>60</v>
      </c>
      <c r="O769" s="102"/>
      <c r="P769" s="102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77">
        <f t="shared" si="1"/>
        <v>765</v>
      </c>
      <c r="B770" s="78" t="s">
        <v>1673</v>
      </c>
      <c r="C770" s="82" t="s">
        <v>49</v>
      </c>
      <c r="D770" s="83"/>
      <c r="E770" s="84"/>
      <c r="F770" s="85" t="s">
        <v>43</v>
      </c>
      <c r="G770" s="86" t="s">
        <v>87</v>
      </c>
      <c r="H770" s="87" t="s">
        <v>3060</v>
      </c>
      <c r="I770" s="82" t="s">
        <v>69</v>
      </c>
      <c r="J770" s="87" t="s">
        <v>51</v>
      </c>
      <c r="K770" s="87">
        <v>35.0</v>
      </c>
      <c r="L770" s="89"/>
      <c r="M770" s="77"/>
      <c r="N770" s="91" t="s">
        <v>43</v>
      </c>
      <c r="O770" s="77"/>
      <c r="P770" s="77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102">
        <f t="shared" si="1"/>
        <v>766</v>
      </c>
      <c r="B771" s="94" t="s">
        <v>3062</v>
      </c>
      <c r="C771" s="95" t="s">
        <v>9</v>
      </c>
      <c r="D771" s="96"/>
      <c r="E771" s="97"/>
      <c r="F771" s="109" t="s">
        <v>43</v>
      </c>
      <c r="G771" s="99" t="s">
        <v>87</v>
      </c>
      <c r="H771" s="102"/>
      <c r="I771" s="95"/>
      <c r="J771" s="93" t="s">
        <v>89</v>
      </c>
      <c r="K771" s="102"/>
      <c r="L771" s="101"/>
      <c r="M771" s="102"/>
      <c r="N771" s="102"/>
      <c r="O771" s="102"/>
      <c r="P771" s="102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77">
        <f t="shared" si="1"/>
        <v>767</v>
      </c>
      <c r="B772" s="78" t="s">
        <v>1556</v>
      </c>
      <c r="C772" s="82" t="s">
        <v>172</v>
      </c>
      <c r="D772" s="83"/>
      <c r="E772" s="84"/>
      <c r="F772" s="85" t="s">
        <v>43</v>
      </c>
      <c r="G772" s="86" t="s">
        <v>53</v>
      </c>
      <c r="H772" s="87" t="s">
        <v>3065</v>
      </c>
      <c r="I772" s="82"/>
      <c r="J772" s="87" t="s">
        <v>55</v>
      </c>
      <c r="K772" s="87">
        <v>15.0</v>
      </c>
      <c r="L772" s="89"/>
      <c r="M772" s="77"/>
      <c r="N772" s="91" t="s">
        <v>43</v>
      </c>
      <c r="O772" s="77"/>
      <c r="P772" s="77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102">
        <f t="shared" si="1"/>
        <v>768</v>
      </c>
      <c r="B773" s="94" t="s">
        <v>1047</v>
      </c>
      <c r="C773" s="95" t="s">
        <v>49</v>
      </c>
      <c r="D773" s="96"/>
      <c r="E773" s="97"/>
      <c r="F773" s="98" t="s">
        <v>43</v>
      </c>
      <c r="G773" s="99" t="s">
        <v>53</v>
      </c>
      <c r="H773" s="102"/>
      <c r="I773" s="95"/>
      <c r="J773" s="93" t="s">
        <v>68</v>
      </c>
      <c r="K773" s="93">
        <v>22.0</v>
      </c>
      <c r="L773" s="101"/>
      <c r="M773" s="102"/>
      <c r="N773" s="102"/>
      <c r="O773" s="102"/>
      <c r="P773" s="102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77">
        <f t="shared" si="1"/>
        <v>769</v>
      </c>
      <c r="B774" s="78" t="s">
        <v>2068</v>
      </c>
      <c r="C774" s="82" t="s">
        <v>88</v>
      </c>
      <c r="D774" s="83"/>
      <c r="E774" s="84"/>
      <c r="F774" s="85" t="s">
        <v>43</v>
      </c>
      <c r="G774" s="86" t="s">
        <v>53</v>
      </c>
      <c r="H774" s="77"/>
      <c r="I774" s="82"/>
      <c r="J774" s="87" t="s">
        <v>89</v>
      </c>
      <c r="K774" s="87">
        <v>5.0</v>
      </c>
      <c r="L774" s="89"/>
      <c r="M774" s="77"/>
      <c r="N774" s="77"/>
      <c r="O774" s="77"/>
      <c r="P774" s="77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102">
        <f t="shared" si="1"/>
        <v>770</v>
      </c>
      <c r="B775" s="94" t="s">
        <v>357</v>
      </c>
      <c r="C775" s="95" t="s">
        <v>76</v>
      </c>
      <c r="D775" s="96"/>
      <c r="E775" s="97"/>
      <c r="F775" s="98" t="s">
        <v>43</v>
      </c>
      <c r="G775" s="99" t="s">
        <v>87</v>
      </c>
      <c r="H775" s="102"/>
      <c r="I775" s="95"/>
      <c r="J775" s="93" t="s">
        <v>47</v>
      </c>
      <c r="K775" s="93">
        <v>29.0</v>
      </c>
      <c r="L775" s="101"/>
      <c r="M775" s="102"/>
      <c r="N775" s="102"/>
      <c r="O775" s="102"/>
      <c r="P775" s="102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77">
        <f t="shared" si="1"/>
        <v>771</v>
      </c>
      <c r="B776" s="78" t="s">
        <v>105</v>
      </c>
      <c r="C776" s="82" t="s">
        <v>49</v>
      </c>
      <c r="D776" s="83"/>
      <c r="E776" s="130" t="s">
        <v>2514</v>
      </c>
      <c r="F776" s="114" t="s">
        <v>43</v>
      </c>
      <c r="G776" s="86" t="s">
        <v>53</v>
      </c>
      <c r="H776" s="87" t="s">
        <v>3077</v>
      </c>
      <c r="I776" s="82"/>
      <c r="J776" s="87" t="s">
        <v>47</v>
      </c>
      <c r="K776" s="87">
        <v>3.0</v>
      </c>
      <c r="L776" s="89"/>
      <c r="M776" s="115" t="s">
        <v>1612</v>
      </c>
      <c r="N776" s="114" t="s">
        <v>43</v>
      </c>
      <c r="O776" s="77"/>
      <c r="P776" s="77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102">
        <f t="shared" si="1"/>
        <v>772</v>
      </c>
      <c r="B777" s="94" t="s">
        <v>2082</v>
      </c>
      <c r="C777" s="95" t="s">
        <v>76</v>
      </c>
      <c r="D777" s="96"/>
      <c r="E777" s="97"/>
      <c r="F777" s="98" t="s">
        <v>43</v>
      </c>
      <c r="G777" s="99" t="s">
        <v>87</v>
      </c>
      <c r="H777" s="102"/>
      <c r="I777" s="95"/>
      <c r="J777" s="93" t="s">
        <v>89</v>
      </c>
      <c r="K777" s="93">
        <v>6.0</v>
      </c>
      <c r="L777" s="101"/>
      <c r="M777" s="102"/>
      <c r="N777" s="102"/>
      <c r="O777" s="102"/>
      <c r="P777" s="102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77">
        <f t="shared" si="1"/>
        <v>773</v>
      </c>
      <c r="B778" s="78" t="s">
        <v>3083</v>
      </c>
      <c r="C778" s="82" t="s">
        <v>49</v>
      </c>
      <c r="D778" s="83"/>
      <c r="E778" s="113"/>
      <c r="F778" s="85" t="s">
        <v>60</v>
      </c>
      <c r="G778" s="86" t="s">
        <v>49</v>
      </c>
      <c r="H778" s="87" t="s">
        <v>3085</v>
      </c>
      <c r="I778" s="82"/>
      <c r="J778" s="87" t="s">
        <v>47</v>
      </c>
      <c r="K778" s="87">
        <v>3.0</v>
      </c>
      <c r="L778" s="89"/>
      <c r="M778" s="77"/>
      <c r="N778" s="85" t="s">
        <v>60</v>
      </c>
      <c r="O778" s="77"/>
      <c r="P778" s="77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102">
        <f t="shared" si="1"/>
        <v>774</v>
      </c>
      <c r="B779" s="94" t="s">
        <v>2046</v>
      </c>
      <c r="C779" s="107" t="s">
        <v>72</v>
      </c>
      <c r="D779" s="96"/>
      <c r="E779" s="97"/>
      <c r="F779" s="98" t="s">
        <v>43</v>
      </c>
      <c r="G779" s="99" t="s">
        <v>87</v>
      </c>
      <c r="H779" s="102"/>
      <c r="I779" s="95"/>
      <c r="J779" s="93" t="s">
        <v>89</v>
      </c>
      <c r="K779" s="93">
        <v>4.0</v>
      </c>
      <c r="L779" s="101"/>
      <c r="M779" s="102"/>
      <c r="N779" s="102"/>
      <c r="O779" s="102"/>
      <c r="P779" s="102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77">
        <f t="shared" si="1"/>
        <v>775</v>
      </c>
      <c r="B780" s="78" t="s">
        <v>1164</v>
      </c>
      <c r="C780" s="82" t="s">
        <v>49</v>
      </c>
      <c r="D780" s="83"/>
      <c r="E780" s="84"/>
      <c r="F780" s="85" t="s">
        <v>60</v>
      </c>
      <c r="G780" s="86" t="s">
        <v>49</v>
      </c>
      <c r="H780" s="87"/>
      <c r="I780" s="82"/>
      <c r="J780" s="87" t="s">
        <v>68</v>
      </c>
      <c r="K780" s="87">
        <v>28.0</v>
      </c>
      <c r="L780" s="89"/>
      <c r="M780" s="77"/>
      <c r="N780" s="77"/>
      <c r="O780" s="77"/>
      <c r="P780" s="77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102">
        <f t="shared" si="1"/>
        <v>776</v>
      </c>
      <c r="B781" s="94" t="s">
        <v>3094</v>
      </c>
      <c r="C781" s="95" t="s">
        <v>5</v>
      </c>
      <c r="D781" s="96"/>
      <c r="E781" s="97"/>
      <c r="F781" s="98" t="s">
        <v>43</v>
      </c>
      <c r="G781" s="99" t="s">
        <v>87</v>
      </c>
      <c r="H781" s="93" t="s">
        <v>3096</v>
      </c>
      <c r="I781" s="107" t="s">
        <v>5</v>
      </c>
      <c r="J781" s="93" t="s">
        <v>96</v>
      </c>
      <c r="K781" s="93">
        <v>3.0</v>
      </c>
      <c r="L781" s="101"/>
      <c r="M781" s="102"/>
      <c r="N781" s="103" t="s">
        <v>43</v>
      </c>
      <c r="O781" s="102"/>
      <c r="P781" s="102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77">
        <f t="shared" si="1"/>
        <v>777</v>
      </c>
      <c r="B782" s="78" t="s">
        <v>2716</v>
      </c>
      <c r="C782" s="111" t="s">
        <v>5</v>
      </c>
      <c r="D782" s="83"/>
      <c r="E782" s="84"/>
      <c r="F782" s="85" t="s">
        <v>43</v>
      </c>
      <c r="G782" s="86" t="s">
        <v>87</v>
      </c>
      <c r="H782" s="87" t="s">
        <v>3100</v>
      </c>
      <c r="I782" s="82"/>
      <c r="J782" s="87" t="s">
        <v>99</v>
      </c>
      <c r="K782" s="87">
        <v>1.0</v>
      </c>
      <c r="L782" s="89"/>
      <c r="M782" s="77"/>
      <c r="N782" s="91" t="s">
        <v>43</v>
      </c>
      <c r="O782" s="77"/>
      <c r="P782" s="77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102">
        <f t="shared" si="1"/>
        <v>778</v>
      </c>
      <c r="B783" s="94" t="s">
        <v>3101</v>
      </c>
      <c r="C783" s="95" t="s">
        <v>49</v>
      </c>
      <c r="D783" s="96"/>
      <c r="E783" s="97"/>
      <c r="F783" s="98" t="s">
        <v>60</v>
      </c>
      <c r="G783" s="99" t="s">
        <v>53</v>
      </c>
      <c r="H783" s="93" t="s">
        <v>3103</v>
      </c>
      <c r="I783" s="95"/>
      <c r="J783" s="93" t="s">
        <v>96</v>
      </c>
      <c r="K783" s="93">
        <v>36.0</v>
      </c>
      <c r="L783" s="101"/>
      <c r="M783" s="102"/>
      <c r="N783" s="102"/>
      <c r="O783" s="102"/>
      <c r="P783" s="102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77">
        <f t="shared" si="1"/>
        <v>779</v>
      </c>
      <c r="B784" s="78" t="s">
        <v>1893</v>
      </c>
      <c r="C784" s="82" t="s">
        <v>49</v>
      </c>
      <c r="D784" s="83"/>
      <c r="E784" s="84"/>
      <c r="F784" s="85" t="s">
        <v>60</v>
      </c>
      <c r="G784" s="86" t="s">
        <v>49</v>
      </c>
      <c r="H784" s="87" t="s">
        <v>3105</v>
      </c>
      <c r="I784" s="82"/>
      <c r="J784" s="87" t="s">
        <v>51</v>
      </c>
      <c r="K784" s="87">
        <v>8.0</v>
      </c>
      <c r="L784" s="89"/>
      <c r="M784" s="77"/>
      <c r="N784" s="91" t="s">
        <v>60</v>
      </c>
      <c r="O784" s="77"/>
      <c r="P784" s="77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102">
        <f t="shared" si="1"/>
        <v>780</v>
      </c>
      <c r="B785" s="94" t="s">
        <v>1337</v>
      </c>
      <c r="C785" s="95" t="s">
        <v>49</v>
      </c>
      <c r="D785" s="96"/>
      <c r="E785" s="97"/>
      <c r="F785" s="98" t="s">
        <v>43</v>
      </c>
      <c r="G785" s="99" t="s">
        <v>53</v>
      </c>
      <c r="H785" s="102"/>
      <c r="I785" s="95"/>
      <c r="J785" s="93" t="s">
        <v>55</v>
      </c>
      <c r="K785" s="93">
        <v>26.0</v>
      </c>
      <c r="L785" s="101"/>
      <c r="M785" s="102"/>
      <c r="N785" s="102"/>
      <c r="O785" s="102"/>
      <c r="P785" s="102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77">
        <f t="shared" si="1"/>
        <v>781</v>
      </c>
      <c r="B786" s="78" t="s">
        <v>3107</v>
      </c>
      <c r="C786" s="82" t="s">
        <v>49</v>
      </c>
      <c r="D786" s="83"/>
      <c r="E786" s="84"/>
      <c r="F786" s="85" t="s">
        <v>60</v>
      </c>
      <c r="G786" s="86" t="s">
        <v>49</v>
      </c>
      <c r="H786" s="87" t="s">
        <v>3109</v>
      </c>
      <c r="I786" s="82"/>
      <c r="J786" s="87" t="s">
        <v>55</v>
      </c>
      <c r="K786" s="87">
        <v>24.0</v>
      </c>
      <c r="L786" s="89"/>
      <c r="M786" s="77"/>
      <c r="N786" s="91" t="s">
        <v>60</v>
      </c>
      <c r="O786" s="77"/>
      <c r="P786" s="77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102">
        <f t="shared" si="1"/>
        <v>782</v>
      </c>
      <c r="B787" s="94" t="s">
        <v>509</v>
      </c>
      <c r="C787" s="95" t="s">
        <v>49</v>
      </c>
      <c r="D787" s="96"/>
      <c r="E787" s="112"/>
      <c r="F787" s="98" t="s">
        <v>43</v>
      </c>
      <c r="G787" s="99" t="s">
        <v>87</v>
      </c>
      <c r="H787" s="93" t="s">
        <v>3112</v>
      </c>
      <c r="I787" s="107" t="s">
        <v>9</v>
      </c>
      <c r="J787" s="93" t="s">
        <v>174</v>
      </c>
      <c r="K787" s="93">
        <v>3.0</v>
      </c>
      <c r="L787" s="101"/>
      <c r="M787" s="102"/>
      <c r="N787" s="103" t="s">
        <v>43</v>
      </c>
      <c r="O787" s="102"/>
      <c r="P787" s="102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77">
        <f t="shared" si="1"/>
        <v>783</v>
      </c>
      <c r="B788" s="78" t="s">
        <v>3114</v>
      </c>
      <c r="C788" s="82" t="s">
        <v>5</v>
      </c>
      <c r="D788" s="83"/>
      <c r="E788" s="84"/>
      <c r="F788" s="85" t="s">
        <v>43</v>
      </c>
      <c r="G788" s="86" t="s">
        <v>87</v>
      </c>
      <c r="H788" s="77"/>
      <c r="I788" s="82"/>
      <c r="J788" s="87" t="s">
        <v>47</v>
      </c>
      <c r="K788" s="87">
        <v>24.0</v>
      </c>
      <c r="L788" s="89"/>
      <c r="M788" s="77"/>
      <c r="N788" s="77"/>
      <c r="O788" s="77"/>
      <c r="P788" s="77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102">
        <f t="shared" si="1"/>
        <v>784</v>
      </c>
      <c r="B789" s="94" t="s">
        <v>687</v>
      </c>
      <c r="C789" s="95" t="s">
        <v>5</v>
      </c>
      <c r="D789" s="96"/>
      <c r="E789" s="97"/>
      <c r="F789" s="98" t="s">
        <v>43</v>
      </c>
      <c r="G789" s="99" t="s">
        <v>87</v>
      </c>
      <c r="H789" s="102"/>
      <c r="I789" s="95"/>
      <c r="J789" s="93" t="s">
        <v>174</v>
      </c>
      <c r="K789" s="93">
        <v>27.0</v>
      </c>
      <c r="L789" s="101"/>
      <c r="M789" s="102"/>
      <c r="N789" s="102"/>
      <c r="O789" s="102"/>
      <c r="P789" s="102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77">
        <f t="shared" si="1"/>
        <v>785</v>
      </c>
      <c r="B790" s="78" t="s">
        <v>1693</v>
      </c>
      <c r="C790" s="82" t="s">
        <v>5</v>
      </c>
      <c r="D790" s="83"/>
      <c r="E790" s="84"/>
      <c r="F790" s="85" t="s">
        <v>43</v>
      </c>
      <c r="G790" s="86" t="s">
        <v>87</v>
      </c>
      <c r="H790" s="77"/>
      <c r="I790" s="82"/>
      <c r="J790" s="87" t="s">
        <v>51</v>
      </c>
      <c r="K790" s="87">
        <v>34.0</v>
      </c>
      <c r="L790" s="89"/>
      <c r="M790" s="77"/>
      <c r="N790" s="77"/>
      <c r="O790" s="77"/>
      <c r="P790" s="77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102">
        <f t="shared" si="1"/>
        <v>786</v>
      </c>
      <c r="B791" s="94" t="s">
        <v>2652</v>
      </c>
      <c r="C791" s="95" t="s">
        <v>5</v>
      </c>
      <c r="D791" s="96"/>
      <c r="E791" s="97"/>
      <c r="F791" s="98" t="s">
        <v>43</v>
      </c>
      <c r="G791" s="99" t="s">
        <v>87</v>
      </c>
      <c r="H791" s="102"/>
      <c r="I791" s="95"/>
      <c r="J791" s="93" t="s">
        <v>96</v>
      </c>
      <c r="K791" s="93">
        <v>34.0</v>
      </c>
      <c r="L791" s="101"/>
      <c r="M791" s="102"/>
      <c r="N791" s="102"/>
      <c r="O791" s="102"/>
      <c r="P791" s="102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77">
        <f t="shared" si="1"/>
        <v>787</v>
      </c>
      <c r="B792" s="78" t="s">
        <v>2523</v>
      </c>
      <c r="C792" s="82" t="s">
        <v>49</v>
      </c>
      <c r="D792" s="83"/>
      <c r="E792" s="84"/>
      <c r="F792" s="85" t="s">
        <v>60</v>
      </c>
      <c r="G792" s="86" t="s">
        <v>49</v>
      </c>
      <c r="H792" s="77"/>
      <c r="I792" s="82"/>
      <c r="J792" s="87" t="s">
        <v>96</v>
      </c>
      <c r="K792" s="87">
        <v>21.0</v>
      </c>
      <c r="L792" s="89"/>
      <c r="M792" s="77"/>
      <c r="N792" s="77"/>
      <c r="O792" s="77"/>
      <c r="P792" s="77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102">
        <f t="shared" si="1"/>
        <v>788</v>
      </c>
      <c r="B793" s="94" t="s">
        <v>284</v>
      </c>
      <c r="C793" s="95" t="s">
        <v>5</v>
      </c>
      <c r="D793" s="96"/>
      <c r="E793" s="97"/>
      <c r="F793" s="98" t="s">
        <v>43</v>
      </c>
      <c r="G793" s="99" t="s">
        <v>87</v>
      </c>
      <c r="H793" s="102"/>
      <c r="I793" s="95"/>
      <c r="J793" s="93" t="s">
        <v>47</v>
      </c>
      <c r="K793" s="93">
        <v>23.0</v>
      </c>
      <c r="L793" s="101"/>
      <c r="M793" s="102"/>
      <c r="N793" s="102"/>
      <c r="O793" s="102"/>
      <c r="P793" s="102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77">
        <f t="shared" si="1"/>
        <v>789</v>
      </c>
      <c r="B794" s="78" t="s">
        <v>3128</v>
      </c>
      <c r="C794" s="82" t="s">
        <v>9</v>
      </c>
      <c r="D794" s="83"/>
      <c r="E794" s="84"/>
      <c r="F794" s="114" t="s">
        <v>43</v>
      </c>
      <c r="G794" s="86" t="s">
        <v>87</v>
      </c>
      <c r="H794" s="87" t="s">
        <v>3130</v>
      </c>
      <c r="I794" s="82"/>
      <c r="J794" s="87" t="s">
        <v>96</v>
      </c>
      <c r="K794" s="77"/>
      <c r="L794" s="89"/>
      <c r="M794" s="77"/>
      <c r="N794" s="77"/>
      <c r="O794" s="77"/>
      <c r="P794" s="77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102">
        <f t="shared" si="1"/>
        <v>790</v>
      </c>
      <c r="B795" s="94" t="s">
        <v>744</v>
      </c>
      <c r="C795" s="95" t="s">
        <v>5</v>
      </c>
      <c r="D795" s="96"/>
      <c r="E795" s="97"/>
      <c r="F795" s="98" t="s">
        <v>43</v>
      </c>
      <c r="G795" s="99" t="s">
        <v>87</v>
      </c>
      <c r="H795" s="102"/>
      <c r="I795" s="95"/>
      <c r="J795" s="93" t="s">
        <v>68</v>
      </c>
      <c r="K795" s="93">
        <v>3.0</v>
      </c>
      <c r="L795" s="101"/>
      <c r="M795" s="102"/>
      <c r="N795" s="102"/>
      <c r="O795" s="102"/>
      <c r="P795" s="102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77">
        <f t="shared" si="1"/>
        <v>791</v>
      </c>
      <c r="B796" s="78" t="s">
        <v>2674</v>
      </c>
      <c r="C796" s="82" t="s">
        <v>49</v>
      </c>
      <c r="D796" s="83"/>
      <c r="E796" s="84"/>
      <c r="F796" s="85" t="s">
        <v>43</v>
      </c>
      <c r="G796" s="86" t="s">
        <v>87</v>
      </c>
      <c r="H796" s="87" t="s">
        <v>3135</v>
      </c>
      <c r="I796" s="111" t="s">
        <v>72</v>
      </c>
      <c r="J796" s="87" t="s">
        <v>96</v>
      </c>
      <c r="K796" s="87">
        <v>34.0</v>
      </c>
      <c r="L796" s="89"/>
      <c r="M796" s="77"/>
      <c r="N796" s="91" t="s">
        <v>43</v>
      </c>
      <c r="O796" s="77"/>
      <c r="P796" s="77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102">
        <f t="shared" si="1"/>
        <v>792</v>
      </c>
      <c r="B797" s="94" t="s">
        <v>3136</v>
      </c>
      <c r="C797" s="95" t="s">
        <v>49</v>
      </c>
      <c r="D797" s="96"/>
      <c r="E797" s="97"/>
      <c r="F797" s="98" t="s">
        <v>60</v>
      </c>
      <c r="G797" s="99" t="s">
        <v>49</v>
      </c>
      <c r="H797" s="93" t="s">
        <v>3137</v>
      </c>
      <c r="I797" s="95"/>
      <c r="J797" s="93" t="s">
        <v>51</v>
      </c>
      <c r="K797" s="93">
        <v>5.0</v>
      </c>
      <c r="L797" s="101"/>
      <c r="M797" s="102"/>
      <c r="N797" s="103" t="s">
        <v>60</v>
      </c>
      <c r="O797" s="102"/>
      <c r="P797" s="102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77">
        <f t="shared" si="1"/>
        <v>793</v>
      </c>
      <c r="B798" s="78" t="s">
        <v>3138</v>
      </c>
      <c r="C798" s="82" t="s">
        <v>49</v>
      </c>
      <c r="D798" s="83"/>
      <c r="E798" s="84"/>
      <c r="F798" s="85" t="s">
        <v>203</v>
      </c>
      <c r="G798" s="86" t="s">
        <v>49</v>
      </c>
      <c r="H798" s="87" t="s">
        <v>3140</v>
      </c>
      <c r="I798" s="82"/>
      <c r="J798" s="87" t="s">
        <v>68</v>
      </c>
      <c r="K798" s="87">
        <v>9.0</v>
      </c>
      <c r="L798" s="89"/>
      <c r="M798" s="77"/>
      <c r="N798" s="91" t="s">
        <v>203</v>
      </c>
      <c r="O798" s="77"/>
      <c r="P798" s="77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102">
        <f t="shared" si="1"/>
        <v>794</v>
      </c>
      <c r="B799" s="94" t="s">
        <v>410</v>
      </c>
      <c r="C799" s="95" t="s">
        <v>49</v>
      </c>
      <c r="D799" s="96"/>
      <c r="E799" s="97"/>
      <c r="F799" s="98" t="s">
        <v>43</v>
      </c>
      <c r="G799" s="99" t="s">
        <v>53</v>
      </c>
      <c r="H799" s="102"/>
      <c r="I799" s="95"/>
      <c r="J799" s="93" t="s">
        <v>174</v>
      </c>
      <c r="K799" s="93">
        <v>1.0</v>
      </c>
      <c r="L799" s="101"/>
      <c r="M799" s="102"/>
      <c r="N799" s="102"/>
      <c r="O799" s="102"/>
      <c r="P799" s="102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77">
        <f t="shared" si="1"/>
        <v>795</v>
      </c>
      <c r="B800" s="78" t="s">
        <v>281</v>
      </c>
      <c r="C800" s="82" t="s">
        <v>49</v>
      </c>
      <c r="D800" s="83"/>
      <c r="E800" s="84"/>
      <c r="F800" s="85" t="s">
        <v>60</v>
      </c>
      <c r="G800" s="86" t="s">
        <v>49</v>
      </c>
      <c r="H800" s="77"/>
      <c r="I800" s="82"/>
      <c r="J800" s="87" t="s">
        <v>47</v>
      </c>
      <c r="K800" s="87">
        <v>23.0</v>
      </c>
      <c r="L800" s="89"/>
      <c r="M800" s="77"/>
      <c r="N800" s="77"/>
      <c r="O800" s="77"/>
      <c r="P800" s="77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102">
        <f t="shared" si="1"/>
        <v>796</v>
      </c>
      <c r="B801" s="94" t="s">
        <v>3146</v>
      </c>
      <c r="C801" s="95" t="s">
        <v>49</v>
      </c>
      <c r="D801" s="96"/>
      <c r="E801" s="97"/>
      <c r="F801" s="98" t="s">
        <v>43</v>
      </c>
      <c r="G801" s="99" t="s">
        <v>53</v>
      </c>
      <c r="H801" s="102"/>
      <c r="I801" s="95"/>
      <c r="J801" s="93" t="s">
        <v>99</v>
      </c>
      <c r="K801" s="93">
        <v>34.0</v>
      </c>
      <c r="L801" s="101"/>
      <c r="M801" s="102"/>
      <c r="N801" s="102"/>
      <c r="O801" s="102"/>
      <c r="P801" s="102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77">
        <f t="shared" si="1"/>
        <v>797</v>
      </c>
      <c r="B802" s="78" t="s">
        <v>545</v>
      </c>
      <c r="C802" s="82" t="s">
        <v>49</v>
      </c>
      <c r="D802" s="83"/>
      <c r="E802" s="84"/>
      <c r="F802" s="85" t="s">
        <v>43</v>
      </c>
      <c r="G802" s="86" t="s">
        <v>87</v>
      </c>
      <c r="H802" s="77"/>
      <c r="I802" s="82"/>
      <c r="J802" s="87" t="s">
        <v>174</v>
      </c>
      <c r="K802" s="87">
        <v>12.0</v>
      </c>
      <c r="L802" s="89"/>
      <c r="M802" s="77"/>
      <c r="N802" s="91" t="s">
        <v>43</v>
      </c>
      <c r="O802" s="77"/>
      <c r="P802" s="77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102">
        <f t="shared" si="1"/>
        <v>798</v>
      </c>
      <c r="B803" s="94" t="s">
        <v>1175</v>
      </c>
      <c r="C803" s="95" t="s">
        <v>49</v>
      </c>
      <c r="D803" s="96"/>
      <c r="E803" s="97"/>
      <c r="F803" s="98" t="s">
        <v>43</v>
      </c>
      <c r="G803" s="99" t="s">
        <v>53</v>
      </c>
      <c r="H803" s="102"/>
      <c r="I803" s="95"/>
      <c r="J803" s="93" t="s">
        <v>68</v>
      </c>
      <c r="K803" s="93">
        <v>28.0</v>
      </c>
      <c r="L803" s="101"/>
      <c r="M803" s="102"/>
      <c r="N803" s="102"/>
      <c r="O803" s="102"/>
      <c r="P803" s="102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77">
        <f t="shared" si="1"/>
        <v>799</v>
      </c>
      <c r="B804" s="78" t="s">
        <v>2354</v>
      </c>
      <c r="C804" s="82" t="s">
        <v>5</v>
      </c>
      <c r="D804" s="83"/>
      <c r="E804" s="84"/>
      <c r="F804" s="85" t="s">
        <v>43</v>
      </c>
      <c r="G804" s="86" t="s">
        <v>87</v>
      </c>
      <c r="H804" s="77"/>
      <c r="I804" s="82"/>
      <c r="J804" s="87" t="s">
        <v>96</v>
      </c>
      <c r="K804" s="87">
        <v>4.0</v>
      </c>
      <c r="L804" s="89"/>
      <c r="M804" s="77"/>
      <c r="N804" s="77"/>
      <c r="O804" s="77"/>
      <c r="P804" s="77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102">
        <f t="shared" si="1"/>
        <v>800</v>
      </c>
      <c r="B805" s="94" t="s">
        <v>1544</v>
      </c>
      <c r="C805" s="95" t="s">
        <v>49</v>
      </c>
      <c r="D805" s="96"/>
      <c r="E805" s="97"/>
      <c r="F805" s="98" t="s">
        <v>60</v>
      </c>
      <c r="G805" s="99" t="s">
        <v>49</v>
      </c>
      <c r="H805" s="93" t="s">
        <v>3151</v>
      </c>
      <c r="I805" s="95"/>
      <c r="J805" s="93" t="s">
        <v>55</v>
      </c>
      <c r="K805" s="93">
        <v>14.0</v>
      </c>
      <c r="L805" s="101"/>
      <c r="M805" s="102"/>
      <c r="N805" s="103" t="s">
        <v>60</v>
      </c>
      <c r="O805" s="102"/>
      <c r="P805" s="102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77">
        <f t="shared" si="1"/>
        <v>801</v>
      </c>
      <c r="B806" s="78" t="s">
        <v>2233</v>
      </c>
      <c r="C806" s="82" t="s">
        <v>49</v>
      </c>
      <c r="D806" s="83"/>
      <c r="E806" s="84"/>
      <c r="F806" s="85" t="s">
        <v>43</v>
      </c>
      <c r="G806" s="86" t="s">
        <v>53</v>
      </c>
      <c r="H806" s="77"/>
      <c r="I806" s="82"/>
      <c r="J806" s="87" t="s">
        <v>89</v>
      </c>
      <c r="K806" s="87">
        <v>21.0</v>
      </c>
      <c r="L806" s="89"/>
      <c r="M806" s="77"/>
      <c r="N806" s="77"/>
      <c r="O806" s="77"/>
      <c r="P806" s="77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102">
        <f t="shared" si="1"/>
        <v>802</v>
      </c>
      <c r="B807" s="94" t="s">
        <v>3155</v>
      </c>
      <c r="C807" s="95" t="s">
        <v>49</v>
      </c>
      <c r="D807" s="96"/>
      <c r="E807" s="97"/>
      <c r="F807" s="98" t="s">
        <v>203</v>
      </c>
      <c r="G807" s="99" t="s">
        <v>49</v>
      </c>
      <c r="H807" s="102"/>
      <c r="I807" s="95"/>
      <c r="J807" s="93" t="s">
        <v>96</v>
      </c>
      <c r="K807" s="93">
        <v>8.0</v>
      </c>
      <c r="L807" s="101"/>
      <c r="M807" s="102"/>
      <c r="N807" s="102"/>
      <c r="O807" s="102"/>
      <c r="P807" s="102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77">
        <f t="shared" si="1"/>
        <v>803</v>
      </c>
      <c r="B808" s="78" t="s">
        <v>1415</v>
      </c>
      <c r="C808" s="82" t="s">
        <v>49</v>
      </c>
      <c r="D808" s="83"/>
      <c r="E808" s="84"/>
      <c r="F808" s="85" t="s">
        <v>60</v>
      </c>
      <c r="G808" s="86" t="s">
        <v>49</v>
      </c>
      <c r="H808" s="87" t="s">
        <v>3159</v>
      </c>
      <c r="I808" s="82"/>
      <c r="J808" s="87" t="s">
        <v>55</v>
      </c>
      <c r="K808" s="87">
        <v>5.0</v>
      </c>
      <c r="L808" s="89"/>
      <c r="M808" s="77"/>
      <c r="N808" s="91" t="s">
        <v>60</v>
      </c>
      <c r="O808" s="77"/>
      <c r="P808" s="77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102">
        <f t="shared" si="1"/>
        <v>804</v>
      </c>
      <c r="B809" s="94" t="s">
        <v>3161</v>
      </c>
      <c r="C809" s="95" t="s">
        <v>5</v>
      </c>
      <c r="D809" s="96"/>
      <c r="E809" s="97"/>
      <c r="F809" s="109" t="s">
        <v>43</v>
      </c>
      <c r="G809" s="99" t="s">
        <v>87</v>
      </c>
      <c r="H809" s="102"/>
      <c r="I809" s="95"/>
      <c r="J809" s="93" t="s">
        <v>96</v>
      </c>
      <c r="K809" s="102"/>
      <c r="L809" s="101"/>
      <c r="M809" s="102"/>
      <c r="N809" s="102"/>
      <c r="O809" s="102"/>
      <c r="P809" s="102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77">
        <f t="shared" si="1"/>
        <v>805</v>
      </c>
      <c r="B810" s="78" t="s">
        <v>161</v>
      </c>
      <c r="C810" s="82" t="s">
        <v>49</v>
      </c>
      <c r="D810" s="83"/>
      <c r="E810" s="113"/>
      <c r="F810" s="85" t="s">
        <v>43</v>
      </c>
      <c r="G810" s="86" t="s">
        <v>53</v>
      </c>
      <c r="H810" s="87" t="s">
        <v>3165</v>
      </c>
      <c r="I810" s="82"/>
      <c r="J810" s="87" t="s">
        <v>47</v>
      </c>
      <c r="K810" s="87">
        <v>10.0</v>
      </c>
      <c r="L810" s="89"/>
      <c r="M810" s="77"/>
      <c r="N810" s="113"/>
      <c r="O810" s="77"/>
      <c r="P810" s="77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102">
        <f t="shared" si="1"/>
        <v>806</v>
      </c>
      <c r="B811" s="94" t="s">
        <v>3167</v>
      </c>
      <c r="C811" s="95" t="s">
        <v>81</v>
      </c>
      <c r="D811" s="96"/>
      <c r="E811" s="97"/>
      <c r="F811" s="109" t="s">
        <v>43</v>
      </c>
      <c r="G811" s="99" t="s">
        <v>87</v>
      </c>
      <c r="H811" s="102"/>
      <c r="I811" s="95"/>
      <c r="J811" s="93" t="s">
        <v>99</v>
      </c>
      <c r="K811" s="102"/>
      <c r="L811" s="101"/>
      <c r="M811" s="102"/>
      <c r="N811" s="102"/>
      <c r="O811" s="102"/>
      <c r="P811" s="102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77">
        <f t="shared" si="1"/>
        <v>807</v>
      </c>
      <c r="B812" s="78" t="s">
        <v>3169</v>
      </c>
      <c r="C812" s="111" t="s">
        <v>9</v>
      </c>
      <c r="D812" s="83"/>
      <c r="E812" s="84"/>
      <c r="F812" s="85" t="s">
        <v>43</v>
      </c>
      <c r="G812" s="86" t="s">
        <v>87</v>
      </c>
      <c r="H812" s="77"/>
      <c r="I812" s="82"/>
      <c r="J812" s="87" t="s">
        <v>55</v>
      </c>
      <c r="K812" s="87">
        <v>11.0</v>
      </c>
      <c r="L812" s="89"/>
      <c r="M812" s="77"/>
      <c r="N812" s="77"/>
      <c r="O812" s="77"/>
      <c r="P812" s="77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102">
        <f t="shared" si="1"/>
        <v>808</v>
      </c>
      <c r="B813" s="94" t="s">
        <v>2927</v>
      </c>
      <c r="C813" s="107" t="s">
        <v>5</v>
      </c>
      <c r="D813" s="96"/>
      <c r="E813" s="97"/>
      <c r="F813" s="98" t="s">
        <v>43</v>
      </c>
      <c r="G813" s="99" t="s">
        <v>87</v>
      </c>
      <c r="H813" s="102"/>
      <c r="I813" s="95"/>
      <c r="J813" s="93" t="s">
        <v>99</v>
      </c>
      <c r="K813" s="93">
        <v>21.0</v>
      </c>
      <c r="L813" s="101"/>
      <c r="M813" s="102"/>
      <c r="N813" s="102"/>
      <c r="O813" s="102"/>
      <c r="P813" s="102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77">
        <f t="shared" si="1"/>
        <v>809</v>
      </c>
      <c r="B814" s="78" t="s">
        <v>2487</v>
      </c>
      <c r="C814" s="82" t="s">
        <v>49</v>
      </c>
      <c r="D814" s="83"/>
      <c r="E814" s="84"/>
      <c r="F814" s="85" t="s">
        <v>60</v>
      </c>
      <c r="G814" s="86" t="s">
        <v>49</v>
      </c>
      <c r="H814" s="87" t="s">
        <v>3173</v>
      </c>
      <c r="I814" s="82"/>
      <c r="J814" s="87" t="s">
        <v>96</v>
      </c>
      <c r="K814" s="87">
        <v>15.0</v>
      </c>
      <c r="L814" s="89"/>
      <c r="M814" s="77"/>
      <c r="N814" s="91" t="s">
        <v>43</v>
      </c>
      <c r="O814" s="77"/>
      <c r="P814" s="77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102">
        <f t="shared" si="1"/>
        <v>810</v>
      </c>
      <c r="B815" s="94" t="s">
        <v>1182</v>
      </c>
      <c r="C815" s="95" t="s">
        <v>5</v>
      </c>
      <c r="D815" s="96"/>
      <c r="E815" s="97"/>
      <c r="F815" s="98" t="s">
        <v>43</v>
      </c>
      <c r="G815" s="99" t="s">
        <v>87</v>
      </c>
      <c r="H815" s="102"/>
      <c r="I815" s="95"/>
      <c r="J815" s="93" t="s">
        <v>68</v>
      </c>
      <c r="K815" s="93">
        <v>29.0</v>
      </c>
      <c r="L815" s="101"/>
      <c r="M815" s="102"/>
      <c r="N815" s="102"/>
      <c r="O815" s="102"/>
      <c r="P815" s="102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77">
        <f t="shared" si="1"/>
        <v>811</v>
      </c>
      <c r="B816" s="78" t="s">
        <v>2201</v>
      </c>
      <c r="C816" s="82" t="s">
        <v>9</v>
      </c>
      <c r="D816" s="83"/>
      <c r="E816" s="84"/>
      <c r="F816" s="85" t="s">
        <v>43</v>
      </c>
      <c r="G816" s="86" t="s">
        <v>87</v>
      </c>
      <c r="H816" s="77"/>
      <c r="I816" s="82"/>
      <c r="J816" s="87" t="s">
        <v>89</v>
      </c>
      <c r="K816" s="87">
        <v>21.0</v>
      </c>
      <c r="L816" s="89"/>
      <c r="M816" s="77"/>
      <c r="N816" s="77"/>
      <c r="O816" s="77"/>
      <c r="P816" s="77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102">
        <f t="shared" si="1"/>
        <v>812</v>
      </c>
      <c r="B817" s="94" t="s">
        <v>3178</v>
      </c>
      <c r="C817" s="95" t="s">
        <v>49</v>
      </c>
      <c r="D817" s="96"/>
      <c r="E817" s="97"/>
      <c r="F817" s="98" t="s">
        <v>43</v>
      </c>
      <c r="G817" s="99" t="s">
        <v>53</v>
      </c>
      <c r="H817" s="93" t="s">
        <v>3179</v>
      </c>
      <c r="I817" s="95"/>
      <c r="J817" s="93" t="s">
        <v>99</v>
      </c>
      <c r="K817" s="93" t="s">
        <v>1133</v>
      </c>
      <c r="L817" s="101"/>
      <c r="M817" s="102"/>
      <c r="N817" s="103" t="s">
        <v>43</v>
      </c>
      <c r="O817" s="102"/>
      <c r="P817" s="102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77">
        <f t="shared" si="1"/>
        <v>813</v>
      </c>
      <c r="B818" s="78" t="s">
        <v>951</v>
      </c>
      <c r="C818" s="82" t="s">
        <v>5</v>
      </c>
      <c r="D818" s="83"/>
      <c r="E818" s="84"/>
      <c r="F818" s="85" t="s">
        <v>43</v>
      </c>
      <c r="G818" s="86" t="s">
        <v>87</v>
      </c>
      <c r="H818" s="87"/>
      <c r="I818" s="82"/>
      <c r="J818" s="87" t="s">
        <v>68</v>
      </c>
      <c r="K818" s="87">
        <v>14.0</v>
      </c>
      <c r="L818" s="89"/>
      <c r="M818" s="77"/>
      <c r="N818" s="77"/>
      <c r="O818" s="77"/>
      <c r="P818" s="77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A819" s="102">
        <f t="shared" si="1"/>
        <v>814</v>
      </c>
      <c r="B819" s="94" t="s">
        <v>3183</v>
      </c>
      <c r="C819" s="95" t="s">
        <v>5</v>
      </c>
      <c r="D819" s="96"/>
      <c r="E819" s="97"/>
      <c r="F819" s="98" t="s">
        <v>43</v>
      </c>
      <c r="G819" s="99" t="s">
        <v>87</v>
      </c>
      <c r="H819" s="102"/>
      <c r="I819" s="95"/>
      <c r="J819" s="93" t="s">
        <v>47</v>
      </c>
      <c r="K819" s="93">
        <v>11.0</v>
      </c>
      <c r="L819" s="101"/>
      <c r="M819" s="102"/>
      <c r="N819" s="112"/>
      <c r="O819" s="102"/>
      <c r="P819" s="102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A820" s="77">
        <f t="shared" si="1"/>
        <v>815</v>
      </c>
      <c r="B820" s="78" t="s">
        <v>3186</v>
      </c>
      <c r="C820" s="82" t="s">
        <v>5</v>
      </c>
      <c r="D820" s="83"/>
      <c r="E820" s="84"/>
      <c r="F820" s="85" t="s">
        <v>43</v>
      </c>
      <c r="G820" s="86" t="s">
        <v>87</v>
      </c>
      <c r="H820" s="77"/>
      <c r="I820" s="82"/>
      <c r="J820" s="87" t="s">
        <v>51</v>
      </c>
      <c r="K820" s="87">
        <v>6.0</v>
      </c>
      <c r="L820" s="89"/>
      <c r="M820" s="77"/>
      <c r="N820" s="77"/>
      <c r="O820" s="77"/>
      <c r="P820" s="77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A821" s="102">
        <f t="shared" si="1"/>
        <v>816</v>
      </c>
      <c r="B821" s="94" t="s">
        <v>3188</v>
      </c>
      <c r="C821" s="95" t="s">
        <v>5</v>
      </c>
      <c r="D821" s="96"/>
      <c r="E821" s="97"/>
      <c r="F821" s="98" t="s">
        <v>43</v>
      </c>
      <c r="G821" s="99" t="s">
        <v>87</v>
      </c>
      <c r="H821" s="102"/>
      <c r="I821" s="95"/>
      <c r="J821" s="93" t="s">
        <v>89</v>
      </c>
      <c r="K821" s="93">
        <v>5.0</v>
      </c>
      <c r="L821" s="101"/>
      <c r="M821" s="102"/>
      <c r="N821" s="102"/>
      <c r="O821" s="102"/>
      <c r="P821" s="102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A822" s="77">
        <f t="shared" si="1"/>
        <v>817</v>
      </c>
      <c r="B822" s="78" t="s">
        <v>3191</v>
      </c>
      <c r="C822" s="82" t="s">
        <v>49</v>
      </c>
      <c r="D822" s="83"/>
      <c r="E822" s="84"/>
      <c r="F822" s="85" t="s">
        <v>60</v>
      </c>
      <c r="G822" s="86" t="s">
        <v>49</v>
      </c>
      <c r="H822" s="87" t="s">
        <v>3192</v>
      </c>
      <c r="I822" s="82"/>
      <c r="J822" s="87" t="s">
        <v>51</v>
      </c>
      <c r="K822" s="87">
        <v>22.0</v>
      </c>
      <c r="L822" s="89"/>
      <c r="M822" s="77"/>
      <c r="N822" s="91" t="s">
        <v>60</v>
      </c>
      <c r="O822" s="87"/>
      <c r="P822" s="77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A823" s="102">
        <f t="shared" si="1"/>
        <v>818</v>
      </c>
      <c r="B823" s="94" t="s">
        <v>3194</v>
      </c>
      <c r="C823" s="95" t="s">
        <v>5</v>
      </c>
      <c r="D823" s="96"/>
      <c r="E823" s="97"/>
      <c r="F823" s="109" t="s">
        <v>43</v>
      </c>
      <c r="G823" s="99" t="s">
        <v>87</v>
      </c>
      <c r="H823" s="102"/>
      <c r="I823" s="95"/>
      <c r="J823" s="93" t="s">
        <v>96</v>
      </c>
      <c r="K823" s="102"/>
      <c r="L823" s="101"/>
      <c r="M823" s="102"/>
      <c r="N823" s="102"/>
      <c r="O823" s="102"/>
      <c r="P823" s="102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A824" s="77">
        <f t="shared" si="1"/>
        <v>819</v>
      </c>
      <c r="B824" s="78" t="s">
        <v>3198</v>
      </c>
      <c r="C824" s="82" t="s">
        <v>5</v>
      </c>
      <c r="D824" s="83"/>
      <c r="E824" s="84"/>
      <c r="F824" s="114" t="s">
        <v>43</v>
      </c>
      <c r="G824" s="86" t="s">
        <v>87</v>
      </c>
      <c r="H824" s="77"/>
      <c r="I824" s="82"/>
      <c r="J824" s="87" t="s">
        <v>99</v>
      </c>
      <c r="K824" s="77"/>
      <c r="L824" s="89"/>
      <c r="M824" s="77"/>
      <c r="N824" s="77"/>
      <c r="O824" s="77"/>
      <c r="P824" s="77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A825" s="102" t="str">
        <f t="shared" si="1"/>
        <v/>
      </c>
      <c r="B825" s="94"/>
      <c r="C825" s="95"/>
      <c r="D825" s="96"/>
      <c r="E825" s="97"/>
      <c r="F825" s="109"/>
      <c r="G825" s="99"/>
      <c r="H825" s="102"/>
      <c r="I825" s="95"/>
      <c r="J825" s="93"/>
      <c r="K825" s="102"/>
      <c r="L825" s="101"/>
      <c r="M825" s="102"/>
      <c r="N825" s="102"/>
      <c r="O825" s="102"/>
      <c r="P825" s="102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A826" s="77" t="str">
        <f t="shared" si="1"/>
        <v/>
      </c>
      <c r="B826" s="78"/>
      <c r="C826" s="82"/>
      <c r="D826" s="83"/>
      <c r="E826" s="84"/>
      <c r="F826" s="114"/>
      <c r="G826" s="86"/>
      <c r="H826" s="77"/>
      <c r="I826" s="82"/>
      <c r="J826" s="87"/>
      <c r="K826" s="77"/>
      <c r="L826" s="89"/>
      <c r="M826" s="77"/>
      <c r="N826" s="77"/>
      <c r="O826" s="77"/>
      <c r="P826" s="77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>
      <c r="A827" s="102" t="str">
        <f t="shared" si="1"/>
        <v/>
      </c>
      <c r="B827" s="94"/>
      <c r="C827" s="95"/>
      <c r="D827" s="96"/>
      <c r="E827" s="97"/>
      <c r="F827" s="109"/>
      <c r="G827" s="99"/>
      <c r="H827" s="102"/>
      <c r="I827" s="95"/>
      <c r="J827" s="93"/>
      <c r="K827" s="102"/>
      <c r="L827" s="101"/>
      <c r="M827" s="102"/>
      <c r="N827" s="102"/>
      <c r="O827" s="102"/>
      <c r="P827" s="102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>
      <c r="A828" s="77" t="str">
        <f t="shared" si="1"/>
        <v/>
      </c>
      <c r="B828" s="78"/>
      <c r="C828" s="82"/>
      <c r="D828" s="83"/>
      <c r="E828" s="84"/>
      <c r="F828" s="114"/>
      <c r="G828" s="86"/>
      <c r="H828" s="77"/>
      <c r="I828" s="82"/>
      <c r="J828" s="87"/>
      <c r="K828" s="77"/>
      <c r="L828" s="89"/>
      <c r="M828" s="77"/>
      <c r="N828" s="77"/>
      <c r="O828" s="77"/>
      <c r="P828" s="77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>
      <c r="A829" s="102" t="str">
        <f t="shared" si="1"/>
        <v/>
      </c>
      <c r="B829" s="94"/>
      <c r="C829" s="95"/>
      <c r="D829" s="96"/>
      <c r="E829" s="97"/>
      <c r="F829" s="109"/>
      <c r="G829" s="99"/>
      <c r="H829" s="102"/>
      <c r="I829" s="95"/>
      <c r="J829" s="93"/>
      <c r="K829" s="102"/>
      <c r="L829" s="101"/>
      <c r="M829" s="102"/>
      <c r="N829" s="102"/>
      <c r="O829" s="102"/>
      <c r="P829" s="102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>
      <c r="A830" s="77" t="str">
        <f t="shared" si="1"/>
        <v/>
      </c>
      <c r="B830" s="78"/>
      <c r="C830" s="82"/>
      <c r="D830" s="83"/>
      <c r="E830" s="84"/>
      <c r="F830" s="114"/>
      <c r="G830" s="86"/>
      <c r="H830" s="77"/>
      <c r="I830" s="82"/>
      <c r="J830" s="87"/>
      <c r="K830" s="77"/>
      <c r="L830" s="89"/>
      <c r="M830" s="77"/>
      <c r="N830" s="77"/>
      <c r="O830" s="77"/>
      <c r="P830" s="77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>
      <c r="A831" s="102" t="str">
        <f t="shared" si="1"/>
        <v/>
      </c>
      <c r="B831" s="94"/>
      <c r="C831" s="95"/>
      <c r="D831" s="96"/>
      <c r="E831" s="97"/>
      <c r="F831" s="109"/>
      <c r="G831" s="99"/>
      <c r="H831" s="102"/>
      <c r="I831" s="95"/>
      <c r="J831" s="93"/>
      <c r="K831" s="102"/>
      <c r="L831" s="101"/>
      <c r="M831" s="102"/>
      <c r="N831" s="102"/>
      <c r="O831" s="102"/>
      <c r="P831" s="102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>
      <c r="A832" s="77" t="str">
        <f t="shared" si="1"/>
        <v/>
      </c>
      <c r="B832" s="78"/>
      <c r="C832" s="82"/>
      <c r="D832" s="83"/>
      <c r="E832" s="84"/>
      <c r="F832" s="114"/>
      <c r="G832" s="86"/>
      <c r="H832" s="77"/>
      <c r="I832" s="82"/>
      <c r="J832" s="87"/>
      <c r="K832" s="77"/>
      <c r="L832" s="89"/>
      <c r="M832" s="77"/>
      <c r="N832" s="77"/>
      <c r="O832" s="77"/>
      <c r="P832" s="77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>
      <c r="A833" s="102" t="str">
        <f t="shared" si="1"/>
        <v/>
      </c>
      <c r="B833" s="94"/>
      <c r="C833" s="95"/>
      <c r="D833" s="96"/>
      <c r="E833" s="97"/>
      <c r="F833" s="109"/>
      <c r="G833" s="99"/>
      <c r="H833" s="102"/>
      <c r="I833" s="95"/>
      <c r="J833" s="93"/>
      <c r="K833" s="102"/>
      <c r="L833" s="101"/>
      <c r="M833" s="102"/>
      <c r="N833" s="102"/>
      <c r="O833" s="102"/>
      <c r="P833" s="102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>
      <c r="A834" s="77" t="str">
        <f t="shared" si="1"/>
        <v/>
      </c>
      <c r="B834" s="78"/>
      <c r="C834" s="82"/>
      <c r="D834" s="83"/>
      <c r="E834" s="84"/>
      <c r="F834" s="114"/>
      <c r="G834" s="86"/>
      <c r="H834" s="77"/>
      <c r="I834" s="82"/>
      <c r="J834" s="87"/>
      <c r="K834" s="77"/>
      <c r="L834" s="89"/>
      <c r="M834" s="77"/>
      <c r="N834" s="77"/>
      <c r="O834" s="77"/>
      <c r="P834" s="77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>
      <c r="A835" s="102" t="str">
        <f t="shared" si="1"/>
        <v/>
      </c>
      <c r="B835" s="94"/>
      <c r="C835" s="95"/>
      <c r="D835" s="96"/>
      <c r="E835" s="97"/>
      <c r="F835" s="109"/>
      <c r="G835" s="99"/>
      <c r="H835" s="102"/>
      <c r="I835" s="95"/>
      <c r="J835" s="93"/>
      <c r="K835" s="102"/>
      <c r="L835" s="101"/>
      <c r="M835" s="102"/>
      <c r="N835" s="102"/>
      <c r="O835" s="102"/>
      <c r="P835" s="102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>
      <c r="A836" s="77" t="str">
        <f t="shared" si="1"/>
        <v/>
      </c>
      <c r="B836" s="78"/>
      <c r="C836" s="82"/>
      <c r="D836" s="83"/>
      <c r="E836" s="84"/>
      <c r="F836" s="114"/>
      <c r="G836" s="86"/>
      <c r="H836" s="77"/>
      <c r="I836" s="82"/>
      <c r="J836" s="87"/>
      <c r="K836" s="77"/>
      <c r="L836" s="89"/>
      <c r="M836" s="77"/>
      <c r="N836" s="77"/>
      <c r="O836" s="77"/>
      <c r="P836" s="77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>
      <c r="A837" s="102" t="str">
        <f t="shared" si="1"/>
        <v/>
      </c>
      <c r="B837" s="94"/>
      <c r="C837" s="95"/>
      <c r="D837" s="96"/>
      <c r="E837" s="97"/>
      <c r="F837" s="109"/>
      <c r="G837" s="99"/>
      <c r="H837" s="102"/>
      <c r="I837" s="95"/>
      <c r="J837" s="93"/>
      <c r="K837" s="102"/>
      <c r="L837" s="101"/>
      <c r="M837" s="102"/>
      <c r="N837" s="102"/>
      <c r="O837" s="102"/>
      <c r="P837" s="102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>
      <c r="A838" s="77" t="str">
        <f t="shared" si="1"/>
        <v/>
      </c>
      <c r="B838" s="78"/>
      <c r="C838" s="82"/>
      <c r="D838" s="83"/>
      <c r="E838" s="84"/>
      <c r="F838" s="114"/>
      <c r="G838" s="86"/>
      <c r="H838" s="77"/>
      <c r="I838" s="82"/>
      <c r="J838" s="87"/>
      <c r="K838" s="77"/>
      <c r="L838" s="89"/>
      <c r="M838" s="77"/>
      <c r="N838" s="77"/>
      <c r="O838" s="77"/>
      <c r="P838" s="77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>
      <c r="A839" s="102" t="str">
        <f t="shared" si="1"/>
        <v/>
      </c>
      <c r="B839" s="94"/>
      <c r="C839" s="95"/>
      <c r="D839" s="96"/>
      <c r="E839" s="97"/>
      <c r="F839" s="109"/>
      <c r="G839" s="99"/>
      <c r="H839" s="102"/>
      <c r="I839" s="95"/>
      <c r="J839" s="93"/>
      <c r="K839" s="102"/>
      <c r="L839" s="101"/>
      <c r="M839" s="102"/>
      <c r="N839" s="102"/>
      <c r="O839" s="102"/>
      <c r="P839" s="102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>
      <c r="A840" s="77" t="str">
        <f t="shared" si="1"/>
        <v/>
      </c>
      <c r="B840" s="78"/>
      <c r="C840" s="82"/>
      <c r="D840" s="83"/>
      <c r="E840" s="84"/>
      <c r="F840" s="114"/>
      <c r="G840" s="86"/>
      <c r="H840" s="77"/>
      <c r="I840" s="82"/>
      <c r="J840" s="87"/>
      <c r="K840" s="77"/>
      <c r="L840" s="89"/>
      <c r="M840" s="77"/>
      <c r="N840" s="77"/>
      <c r="O840" s="77"/>
      <c r="P840" s="77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>
      <c r="A841" s="102" t="str">
        <f t="shared" si="1"/>
        <v/>
      </c>
      <c r="B841" s="94"/>
      <c r="C841" s="95"/>
      <c r="D841" s="96"/>
      <c r="E841" s="97"/>
      <c r="F841" s="109"/>
      <c r="G841" s="99"/>
      <c r="H841" s="102"/>
      <c r="I841" s="95"/>
      <c r="J841" s="93"/>
      <c r="K841" s="102"/>
      <c r="L841" s="101"/>
      <c r="M841" s="102"/>
      <c r="N841" s="102"/>
      <c r="O841" s="102"/>
      <c r="P841" s="102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>
      <c r="A842" s="77" t="str">
        <f t="shared" si="1"/>
        <v/>
      </c>
      <c r="B842" s="78"/>
      <c r="C842" s="82"/>
      <c r="D842" s="83"/>
      <c r="E842" s="84"/>
      <c r="F842" s="114"/>
      <c r="G842" s="86"/>
      <c r="H842" s="77"/>
      <c r="I842" s="82"/>
      <c r="J842" s="87"/>
      <c r="K842" s="77"/>
      <c r="L842" s="89"/>
      <c r="M842" s="77"/>
      <c r="N842" s="77"/>
      <c r="O842" s="77"/>
      <c r="P842" s="77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>
      <c r="A843" s="102" t="str">
        <f t="shared" si="1"/>
        <v/>
      </c>
      <c r="B843" s="94"/>
      <c r="C843" s="95"/>
      <c r="D843" s="96"/>
      <c r="E843" s="97"/>
      <c r="F843" s="109"/>
      <c r="G843" s="99"/>
      <c r="H843" s="102"/>
      <c r="I843" s="95"/>
      <c r="J843" s="93"/>
      <c r="K843" s="102"/>
      <c r="L843" s="101"/>
      <c r="M843" s="102"/>
      <c r="N843" s="102"/>
      <c r="O843" s="102"/>
      <c r="P843" s="102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>
      <c r="A844" s="77" t="str">
        <f t="shared" si="1"/>
        <v/>
      </c>
      <c r="B844" s="78"/>
      <c r="C844" s="82"/>
      <c r="D844" s="83"/>
      <c r="E844" s="84"/>
      <c r="F844" s="114"/>
      <c r="G844" s="86"/>
      <c r="H844" s="77"/>
      <c r="I844" s="82"/>
      <c r="J844" s="87"/>
      <c r="K844" s="77"/>
      <c r="L844" s="89"/>
      <c r="M844" s="77"/>
      <c r="N844" s="77"/>
      <c r="O844" s="77"/>
      <c r="P844" s="77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>
      <c r="A845" s="102" t="str">
        <f t="shared" si="1"/>
        <v/>
      </c>
      <c r="B845" s="94"/>
      <c r="C845" s="95"/>
      <c r="D845" s="96"/>
      <c r="E845" s="97"/>
      <c r="F845" s="109"/>
      <c r="G845" s="99"/>
      <c r="H845" s="102"/>
      <c r="I845" s="95"/>
      <c r="J845" s="93"/>
      <c r="K845" s="102"/>
      <c r="L845" s="101"/>
      <c r="M845" s="102"/>
      <c r="N845" s="102"/>
      <c r="O845" s="102"/>
      <c r="P845" s="102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>
      <c r="A846" s="77" t="str">
        <f t="shared" si="1"/>
        <v/>
      </c>
      <c r="B846" s="78"/>
      <c r="C846" s="82"/>
      <c r="D846" s="83"/>
      <c r="E846" s="84"/>
      <c r="F846" s="114"/>
      <c r="G846" s="86"/>
      <c r="H846" s="77"/>
      <c r="I846" s="82"/>
      <c r="J846" s="87"/>
      <c r="K846" s="77"/>
      <c r="L846" s="89"/>
      <c r="M846" s="77"/>
      <c r="N846" s="77"/>
      <c r="O846" s="77"/>
      <c r="P846" s="77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>
      <c r="A847" s="102" t="str">
        <f t="shared" si="1"/>
        <v/>
      </c>
      <c r="B847" s="94"/>
      <c r="C847" s="95"/>
      <c r="D847" s="96"/>
      <c r="E847" s="97"/>
      <c r="F847" s="109"/>
      <c r="G847" s="99"/>
      <c r="H847" s="102"/>
      <c r="I847" s="95"/>
      <c r="J847" s="93"/>
      <c r="K847" s="102"/>
      <c r="L847" s="101"/>
      <c r="M847" s="102"/>
      <c r="N847" s="102"/>
      <c r="O847" s="102"/>
      <c r="P847" s="102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>
      <c r="A848" s="77" t="str">
        <f t="shared" si="1"/>
        <v/>
      </c>
      <c r="B848" s="78"/>
      <c r="C848" s="82"/>
      <c r="D848" s="83"/>
      <c r="E848" s="84"/>
      <c r="F848" s="114"/>
      <c r="G848" s="86"/>
      <c r="H848" s="77"/>
      <c r="I848" s="82"/>
      <c r="J848" s="87"/>
      <c r="K848" s="77"/>
      <c r="L848" s="89"/>
      <c r="M848" s="77"/>
      <c r="N848" s="77"/>
      <c r="O848" s="77"/>
      <c r="P848" s="77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>
      <c r="A849" s="102" t="str">
        <f t="shared" si="1"/>
        <v/>
      </c>
      <c r="B849" s="94"/>
      <c r="C849" s="95"/>
      <c r="D849" s="96"/>
      <c r="E849" s="97"/>
      <c r="F849" s="109"/>
      <c r="G849" s="99"/>
      <c r="H849" s="102"/>
      <c r="I849" s="95"/>
      <c r="J849" s="93"/>
      <c r="K849" s="102"/>
      <c r="L849" s="101"/>
      <c r="M849" s="102"/>
      <c r="N849" s="102"/>
      <c r="O849" s="102"/>
      <c r="P849" s="102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>
      <c r="A850" s="77" t="str">
        <f t="shared" si="1"/>
        <v/>
      </c>
      <c r="B850" s="78"/>
      <c r="C850" s="82"/>
      <c r="D850" s="83"/>
      <c r="E850" s="84"/>
      <c r="F850" s="114"/>
      <c r="G850" s="86"/>
      <c r="H850" s="77"/>
      <c r="I850" s="82"/>
      <c r="J850" s="87"/>
      <c r="K850" s="77"/>
      <c r="L850" s="89"/>
      <c r="M850" s="77"/>
      <c r="N850" s="77"/>
      <c r="O850" s="77"/>
      <c r="P850" s="77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>
      <c r="A851" s="102" t="str">
        <f t="shared" si="1"/>
        <v/>
      </c>
      <c r="B851" s="94"/>
      <c r="C851" s="95"/>
      <c r="D851" s="96"/>
      <c r="E851" s="97"/>
      <c r="F851" s="109"/>
      <c r="G851" s="99"/>
      <c r="H851" s="102"/>
      <c r="I851" s="95"/>
      <c r="J851" s="93"/>
      <c r="K851" s="102"/>
      <c r="L851" s="101"/>
      <c r="M851" s="102"/>
      <c r="N851" s="102"/>
      <c r="O851" s="102"/>
      <c r="P851" s="102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>
      <c r="A852" s="77" t="str">
        <f t="shared" si="1"/>
        <v/>
      </c>
      <c r="B852" s="78"/>
      <c r="C852" s="82"/>
      <c r="D852" s="83"/>
      <c r="E852" s="84"/>
      <c r="F852" s="114"/>
      <c r="G852" s="86"/>
      <c r="H852" s="77"/>
      <c r="I852" s="82"/>
      <c r="J852" s="87"/>
      <c r="K852" s="77"/>
      <c r="L852" s="89"/>
      <c r="M852" s="77"/>
      <c r="N852" s="77"/>
      <c r="O852" s="77"/>
      <c r="P852" s="77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>
      <c r="A853" s="102" t="str">
        <f t="shared" si="1"/>
        <v/>
      </c>
      <c r="B853" s="94"/>
      <c r="C853" s="95"/>
      <c r="D853" s="96"/>
      <c r="E853" s="97"/>
      <c r="F853" s="109"/>
      <c r="G853" s="99"/>
      <c r="H853" s="102"/>
      <c r="I853" s="95"/>
      <c r="J853" s="93"/>
      <c r="K853" s="102"/>
      <c r="L853" s="101"/>
      <c r="M853" s="102"/>
      <c r="N853" s="102"/>
      <c r="O853" s="102"/>
      <c r="P853" s="102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>
      <c r="A854" s="77" t="str">
        <f t="shared" si="1"/>
        <v/>
      </c>
      <c r="B854" s="78"/>
      <c r="C854" s="82"/>
      <c r="D854" s="83"/>
      <c r="E854" s="84"/>
      <c r="F854" s="114"/>
      <c r="G854" s="86"/>
      <c r="H854" s="77"/>
      <c r="I854" s="82"/>
      <c r="J854" s="87"/>
      <c r="K854" s="77"/>
      <c r="L854" s="89"/>
      <c r="M854" s="77"/>
      <c r="N854" s="77"/>
      <c r="O854" s="77"/>
      <c r="P854" s="77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>
      <c r="A855" s="102" t="str">
        <f t="shared" si="1"/>
        <v/>
      </c>
      <c r="B855" s="94"/>
      <c r="C855" s="95"/>
      <c r="D855" s="96"/>
      <c r="E855" s="97"/>
      <c r="F855" s="109"/>
      <c r="G855" s="99"/>
      <c r="H855" s="102"/>
      <c r="I855" s="95"/>
      <c r="J855" s="93"/>
      <c r="K855" s="102"/>
      <c r="L855" s="101"/>
      <c r="M855" s="102"/>
      <c r="N855" s="102"/>
      <c r="O855" s="102"/>
      <c r="P855" s="102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>
      <c r="A856" s="77" t="str">
        <f t="shared" si="1"/>
        <v/>
      </c>
      <c r="B856" s="78"/>
      <c r="C856" s="82"/>
      <c r="D856" s="83"/>
      <c r="E856" s="84"/>
      <c r="F856" s="114"/>
      <c r="G856" s="86"/>
      <c r="H856" s="77"/>
      <c r="I856" s="82"/>
      <c r="J856" s="87"/>
      <c r="K856" s="77"/>
      <c r="L856" s="89"/>
      <c r="M856" s="77"/>
      <c r="N856" s="77"/>
      <c r="O856" s="77"/>
      <c r="P856" s="77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>
      <c r="A857" s="102" t="str">
        <f t="shared" si="1"/>
        <v/>
      </c>
      <c r="B857" s="94"/>
      <c r="C857" s="95"/>
      <c r="D857" s="96"/>
      <c r="E857" s="97"/>
      <c r="F857" s="109"/>
      <c r="G857" s="99"/>
      <c r="H857" s="102"/>
      <c r="I857" s="95"/>
      <c r="J857" s="93"/>
      <c r="K857" s="102"/>
      <c r="L857" s="101"/>
      <c r="M857" s="102"/>
      <c r="N857" s="102"/>
      <c r="O857" s="102"/>
      <c r="P857" s="102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>
      <c r="A858" s="77" t="str">
        <f t="shared" si="1"/>
        <v/>
      </c>
      <c r="B858" s="78"/>
      <c r="C858" s="82"/>
      <c r="D858" s="83"/>
      <c r="E858" s="84"/>
      <c r="F858" s="114"/>
      <c r="G858" s="86"/>
      <c r="H858" s="77"/>
      <c r="I858" s="82"/>
      <c r="J858" s="87"/>
      <c r="K858" s="77"/>
      <c r="L858" s="89"/>
      <c r="M858" s="77"/>
      <c r="N858" s="77"/>
      <c r="O858" s="77"/>
      <c r="P858" s="77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>
      <c r="A859" s="102" t="str">
        <f t="shared" si="1"/>
        <v/>
      </c>
      <c r="B859" s="94"/>
      <c r="C859" s="95"/>
      <c r="D859" s="96"/>
      <c r="E859" s="97"/>
      <c r="F859" s="109"/>
      <c r="G859" s="99"/>
      <c r="H859" s="102"/>
      <c r="I859" s="95"/>
      <c r="J859" s="93"/>
      <c r="K859" s="102"/>
      <c r="L859" s="101"/>
      <c r="M859" s="102"/>
      <c r="N859" s="102"/>
      <c r="O859" s="102"/>
      <c r="P859" s="102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>
      <c r="A860" s="77" t="str">
        <f t="shared" si="1"/>
        <v/>
      </c>
      <c r="B860" s="78"/>
      <c r="C860" s="82"/>
      <c r="D860" s="83"/>
      <c r="E860" s="84"/>
      <c r="F860" s="114"/>
      <c r="G860" s="86"/>
      <c r="H860" s="77"/>
      <c r="I860" s="82"/>
      <c r="J860" s="87"/>
      <c r="K860" s="77"/>
      <c r="L860" s="89"/>
      <c r="M860" s="77"/>
      <c r="N860" s="77"/>
      <c r="O860" s="77"/>
      <c r="P860" s="77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>
      <c r="A861" s="102" t="str">
        <f t="shared" si="1"/>
        <v/>
      </c>
      <c r="B861" s="94"/>
      <c r="C861" s="95"/>
      <c r="D861" s="96"/>
      <c r="E861" s="97"/>
      <c r="F861" s="109"/>
      <c r="G861" s="99"/>
      <c r="H861" s="102"/>
      <c r="I861" s="95"/>
      <c r="J861" s="93"/>
      <c r="K861" s="102"/>
      <c r="L861" s="101"/>
      <c r="M861" s="102"/>
      <c r="N861" s="102"/>
      <c r="O861" s="102"/>
      <c r="P861" s="102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>
      <c r="A862" s="77" t="str">
        <f t="shared" si="1"/>
        <v/>
      </c>
      <c r="B862" s="78"/>
      <c r="C862" s="82"/>
      <c r="D862" s="83"/>
      <c r="E862" s="84"/>
      <c r="F862" s="114"/>
      <c r="G862" s="86"/>
      <c r="H862" s="77"/>
      <c r="I862" s="82"/>
      <c r="J862" s="87"/>
      <c r="K862" s="77"/>
      <c r="L862" s="89"/>
      <c r="M862" s="77"/>
      <c r="N862" s="77"/>
      <c r="O862" s="77"/>
      <c r="P862" s="77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>
      <c r="A863" s="102" t="str">
        <f t="shared" si="1"/>
        <v/>
      </c>
      <c r="B863" s="94"/>
      <c r="C863" s="95"/>
      <c r="D863" s="96"/>
      <c r="E863" s="97"/>
      <c r="F863" s="109"/>
      <c r="G863" s="99"/>
      <c r="H863" s="102"/>
      <c r="I863" s="95"/>
      <c r="J863" s="93"/>
      <c r="K863" s="102"/>
      <c r="L863" s="101"/>
      <c r="M863" s="102"/>
      <c r="N863" s="102"/>
      <c r="O863" s="102"/>
      <c r="P863" s="102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>
      <c r="A864" s="77" t="str">
        <f t="shared" si="1"/>
        <v/>
      </c>
      <c r="B864" s="78"/>
      <c r="C864" s="82"/>
      <c r="D864" s="83"/>
      <c r="E864" s="84"/>
      <c r="F864" s="114"/>
      <c r="G864" s="86"/>
      <c r="H864" s="77"/>
      <c r="I864" s="82"/>
      <c r="J864" s="87"/>
      <c r="K864" s="77"/>
      <c r="L864" s="89"/>
      <c r="M864" s="77"/>
      <c r="N864" s="77"/>
      <c r="O864" s="77"/>
      <c r="P864" s="77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>
      <c r="A865" s="102" t="str">
        <f t="shared" si="1"/>
        <v/>
      </c>
      <c r="B865" s="94"/>
      <c r="C865" s="95"/>
      <c r="D865" s="96"/>
      <c r="E865" s="97"/>
      <c r="F865" s="109"/>
      <c r="G865" s="99"/>
      <c r="H865" s="102"/>
      <c r="I865" s="95"/>
      <c r="J865" s="93"/>
      <c r="K865" s="102"/>
      <c r="L865" s="101"/>
      <c r="M865" s="102"/>
      <c r="N865" s="102"/>
      <c r="O865" s="102"/>
      <c r="P865" s="102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>
      <c r="A866" s="77" t="str">
        <f t="shared" si="1"/>
        <v/>
      </c>
      <c r="B866" s="78"/>
      <c r="C866" s="82"/>
      <c r="D866" s="83"/>
      <c r="E866" s="84"/>
      <c r="F866" s="114"/>
      <c r="G866" s="86"/>
      <c r="H866" s="77"/>
      <c r="I866" s="82"/>
      <c r="J866" s="87"/>
      <c r="K866" s="77"/>
      <c r="L866" s="89"/>
      <c r="M866" s="77"/>
      <c r="N866" s="77"/>
      <c r="O866" s="77"/>
      <c r="P866" s="77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>
      <c r="A867" s="102" t="str">
        <f t="shared" si="1"/>
        <v/>
      </c>
      <c r="B867" s="94"/>
      <c r="C867" s="95"/>
      <c r="D867" s="96"/>
      <c r="E867" s="97"/>
      <c r="F867" s="109"/>
      <c r="G867" s="99"/>
      <c r="H867" s="102"/>
      <c r="I867" s="95"/>
      <c r="J867" s="93"/>
      <c r="K867" s="102"/>
      <c r="L867" s="101"/>
      <c r="M867" s="102"/>
      <c r="N867" s="102"/>
      <c r="O867" s="102"/>
      <c r="P867" s="102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>
      <c r="A868" s="77" t="str">
        <f t="shared" si="1"/>
        <v/>
      </c>
      <c r="B868" s="78"/>
      <c r="C868" s="82"/>
      <c r="D868" s="83"/>
      <c r="E868" s="84"/>
      <c r="F868" s="114"/>
      <c r="G868" s="86"/>
      <c r="H868" s="77"/>
      <c r="I868" s="82"/>
      <c r="J868" s="87"/>
      <c r="K868" s="77"/>
      <c r="L868" s="89"/>
      <c r="M868" s="77"/>
      <c r="N868" s="77"/>
      <c r="O868" s="77"/>
      <c r="P868" s="77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>
      <c r="A869" s="102" t="str">
        <f t="shared" si="1"/>
        <v/>
      </c>
      <c r="B869" s="94"/>
      <c r="C869" s="95"/>
      <c r="D869" s="96"/>
      <c r="E869" s="97"/>
      <c r="F869" s="109"/>
      <c r="G869" s="99"/>
      <c r="H869" s="102"/>
      <c r="I869" s="95"/>
      <c r="J869" s="93"/>
      <c r="K869" s="102"/>
      <c r="L869" s="101"/>
      <c r="M869" s="102"/>
      <c r="N869" s="102"/>
      <c r="O869" s="102"/>
      <c r="P869" s="102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>
      <c r="A870" s="77" t="str">
        <f t="shared" si="1"/>
        <v/>
      </c>
      <c r="B870" s="78"/>
      <c r="C870" s="82"/>
      <c r="D870" s="83"/>
      <c r="E870" s="84"/>
      <c r="F870" s="114"/>
      <c r="G870" s="86"/>
      <c r="H870" s="77"/>
      <c r="I870" s="82"/>
      <c r="J870" s="87"/>
      <c r="K870" s="77"/>
      <c r="L870" s="89"/>
      <c r="M870" s="77"/>
      <c r="N870" s="77"/>
      <c r="O870" s="77"/>
      <c r="P870" s="77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>
      <c r="A871" s="102" t="str">
        <f t="shared" si="1"/>
        <v/>
      </c>
      <c r="B871" s="94"/>
      <c r="C871" s="95"/>
      <c r="D871" s="96"/>
      <c r="E871" s="97"/>
      <c r="F871" s="109"/>
      <c r="G871" s="99"/>
      <c r="H871" s="102"/>
      <c r="I871" s="95"/>
      <c r="J871" s="93"/>
      <c r="K871" s="102"/>
      <c r="L871" s="101"/>
      <c r="M871" s="102"/>
      <c r="N871" s="102"/>
      <c r="O871" s="102"/>
      <c r="P871" s="102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>
      <c r="A872" s="77" t="str">
        <f t="shared" si="1"/>
        <v/>
      </c>
      <c r="B872" s="78"/>
      <c r="C872" s="82"/>
      <c r="D872" s="83"/>
      <c r="E872" s="84"/>
      <c r="F872" s="114"/>
      <c r="G872" s="86"/>
      <c r="H872" s="77"/>
      <c r="I872" s="82"/>
      <c r="J872" s="87"/>
      <c r="K872" s="77"/>
      <c r="L872" s="89"/>
      <c r="M872" s="77"/>
      <c r="N872" s="77"/>
      <c r="O872" s="77"/>
      <c r="P872" s="77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>
      <c r="A873" s="102" t="str">
        <f t="shared" si="1"/>
        <v/>
      </c>
      <c r="B873" s="94"/>
      <c r="C873" s="95"/>
      <c r="D873" s="96"/>
      <c r="E873" s="97"/>
      <c r="F873" s="109"/>
      <c r="G873" s="99"/>
      <c r="H873" s="102"/>
      <c r="I873" s="95"/>
      <c r="J873" s="93"/>
      <c r="K873" s="102"/>
      <c r="L873" s="101"/>
      <c r="M873" s="102"/>
      <c r="N873" s="102"/>
      <c r="O873" s="102"/>
      <c r="P873" s="102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>
      <c r="A874" s="77" t="str">
        <f t="shared" si="1"/>
        <v/>
      </c>
      <c r="B874" s="78"/>
      <c r="C874" s="82"/>
      <c r="D874" s="83"/>
      <c r="E874" s="84"/>
      <c r="F874" s="114"/>
      <c r="G874" s="86"/>
      <c r="H874" s="77"/>
      <c r="I874" s="82"/>
      <c r="J874" s="87"/>
      <c r="K874" s="77"/>
      <c r="L874" s="89"/>
      <c r="M874" s="77"/>
      <c r="N874" s="77"/>
      <c r="O874" s="77"/>
      <c r="P874" s="77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>
      <c r="A875" s="102" t="str">
        <f t="shared" si="1"/>
        <v/>
      </c>
      <c r="B875" s="94"/>
      <c r="C875" s="95"/>
      <c r="D875" s="96"/>
      <c r="E875" s="97"/>
      <c r="F875" s="109"/>
      <c r="G875" s="99"/>
      <c r="H875" s="102"/>
      <c r="I875" s="95"/>
      <c r="J875" s="93"/>
      <c r="K875" s="102"/>
      <c r="L875" s="101"/>
      <c r="M875" s="102"/>
      <c r="N875" s="102"/>
      <c r="O875" s="102"/>
      <c r="P875" s="102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>
      <c r="A876" s="77" t="str">
        <f t="shared" si="1"/>
        <v/>
      </c>
      <c r="B876" s="78"/>
      <c r="C876" s="82"/>
      <c r="D876" s="83"/>
      <c r="E876" s="84"/>
      <c r="F876" s="114"/>
      <c r="G876" s="86"/>
      <c r="H876" s="77"/>
      <c r="I876" s="82"/>
      <c r="J876" s="87"/>
      <c r="K876" s="77"/>
      <c r="L876" s="89"/>
      <c r="M876" s="77"/>
      <c r="N876" s="77"/>
      <c r="O876" s="77"/>
      <c r="P876" s="77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>
      <c r="A877" s="102" t="str">
        <f t="shared" si="1"/>
        <v/>
      </c>
      <c r="B877" s="94"/>
      <c r="C877" s="95"/>
      <c r="D877" s="96"/>
      <c r="E877" s="97"/>
      <c r="F877" s="109"/>
      <c r="G877" s="99"/>
      <c r="H877" s="102"/>
      <c r="I877" s="95"/>
      <c r="J877" s="93"/>
      <c r="K877" s="102"/>
      <c r="L877" s="101"/>
      <c r="M877" s="102"/>
      <c r="N877" s="102"/>
      <c r="O877" s="102"/>
      <c r="P877" s="102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>
      <c r="A878" s="77" t="str">
        <f t="shared" si="1"/>
        <v/>
      </c>
      <c r="B878" s="78"/>
      <c r="C878" s="82"/>
      <c r="D878" s="83"/>
      <c r="E878" s="84"/>
      <c r="F878" s="114"/>
      <c r="G878" s="86"/>
      <c r="H878" s="77"/>
      <c r="I878" s="82"/>
      <c r="J878" s="87"/>
      <c r="K878" s="77"/>
      <c r="L878" s="89"/>
      <c r="M878" s="77"/>
      <c r="N878" s="77"/>
      <c r="O878" s="77"/>
      <c r="P878" s="77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>
      <c r="A879" s="102" t="str">
        <f t="shared" si="1"/>
        <v/>
      </c>
      <c r="B879" s="94"/>
      <c r="C879" s="95"/>
      <c r="D879" s="96"/>
      <c r="E879" s="97"/>
      <c r="F879" s="109"/>
      <c r="G879" s="99"/>
      <c r="H879" s="102"/>
      <c r="I879" s="95"/>
      <c r="J879" s="93"/>
      <c r="K879" s="102"/>
      <c r="L879" s="101"/>
      <c r="M879" s="102"/>
      <c r="N879" s="102"/>
      <c r="O879" s="102"/>
      <c r="P879" s="102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>
      <c r="A880" s="77" t="str">
        <f t="shared" si="1"/>
        <v/>
      </c>
      <c r="B880" s="78"/>
      <c r="C880" s="82"/>
      <c r="D880" s="83"/>
      <c r="E880" s="84"/>
      <c r="F880" s="114"/>
      <c r="G880" s="86"/>
      <c r="H880" s="77"/>
      <c r="I880" s="82"/>
      <c r="J880" s="87"/>
      <c r="K880" s="77"/>
      <c r="L880" s="89"/>
      <c r="M880" s="77"/>
      <c r="N880" s="77"/>
      <c r="O880" s="77"/>
      <c r="P880" s="77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>
      <c r="A881" s="102" t="str">
        <f t="shared" si="1"/>
        <v/>
      </c>
      <c r="B881" s="94"/>
      <c r="C881" s="95"/>
      <c r="D881" s="96"/>
      <c r="E881" s="97"/>
      <c r="F881" s="109"/>
      <c r="G881" s="99"/>
      <c r="H881" s="102"/>
      <c r="I881" s="95"/>
      <c r="J881" s="93"/>
      <c r="K881" s="102"/>
      <c r="L881" s="101"/>
      <c r="M881" s="102"/>
      <c r="N881" s="102"/>
      <c r="O881" s="102"/>
      <c r="P881" s="102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>
      <c r="A882" s="77" t="str">
        <f t="shared" si="1"/>
        <v/>
      </c>
      <c r="B882" s="78"/>
      <c r="C882" s="82"/>
      <c r="D882" s="83"/>
      <c r="E882" s="84"/>
      <c r="F882" s="114"/>
      <c r="G882" s="86"/>
      <c r="H882" s="77"/>
      <c r="I882" s="82"/>
      <c r="J882" s="87"/>
      <c r="K882" s="77"/>
      <c r="L882" s="89"/>
      <c r="M882" s="77"/>
      <c r="N882" s="77"/>
      <c r="O882" s="77"/>
      <c r="P882" s="77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>
      <c r="A883" s="102" t="str">
        <f t="shared" si="1"/>
        <v/>
      </c>
      <c r="B883" s="94"/>
      <c r="C883" s="95"/>
      <c r="D883" s="96"/>
      <c r="E883" s="97"/>
      <c r="F883" s="109"/>
      <c r="G883" s="99"/>
      <c r="H883" s="102"/>
      <c r="I883" s="95"/>
      <c r="J883" s="93"/>
      <c r="K883" s="102"/>
      <c r="L883" s="101"/>
      <c r="M883" s="102"/>
      <c r="N883" s="102"/>
      <c r="O883" s="102"/>
      <c r="P883" s="102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>
      <c r="A884" s="77" t="str">
        <f t="shared" si="1"/>
        <v/>
      </c>
      <c r="B884" s="78"/>
      <c r="C884" s="82"/>
      <c r="D884" s="83"/>
      <c r="E884" s="84"/>
      <c r="F884" s="114"/>
      <c r="G884" s="86"/>
      <c r="H884" s="77"/>
      <c r="I884" s="82"/>
      <c r="J884" s="87"/>
      <c r="K884" s="77"/>
      <c r="L884" s="89"/>
      <c r="M884" s="77"/>
      <c r="N884" s="77"/>
      <c r="O884" s="77"/>
      <c r="P884" s="77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>
      <c r="A885" s="102" t="str">
        <f t="shared" si="1"/>
        <v/>
      </c>
      <c r="B885" s="94"/>
      <c r="C885" s="95"/>
      <c r="D885" s="96"/>
      <c r="E885" s="97"/>
      <c r="F885" s="109"/>
      <c r="G885" s="99"/>
      <c r="H885" s="102"/>
      <c r="I885" s="95"/>
      <c r="J885" s="93"/>
      <c r="K885" s="102"/>
      <c r="L885" s="101"/>
      <c r="M885" s="102"/>
      <c r="N885" s="102"/>
      <c r="O885" s="102"/>
      <c r="P885" s="102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>
      <c r="A886" s="77" t="str">
        <f t="shared" si="1"/>
        <v/>
      </c>
      <c r="B886" s="78"/>
      <c r="C886" s="82"/>
      <c r="D886" s="83"/>
      <c r="E886" s="84"/>
      <c r="F886" s="114"/>
      <c r="G886" s="86"/>
      <c r="H886" s="77"/>
      <c r="I886" s="82"/>
      <c r="J886" s="87"/>
      <c r="K886" s="77"/>
      <c r="L886" s="89"/>
      <c r="M886" s="77"/>
      <c r="N886" s="77"/>
      <c r="O886" s="77"/>
      <c r="P886" s="77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>
      <c r="A887" s="102" t="str">
        <f t="shared" si="1"/>
        <v/>
      </c>
      <c r="B887" s="94"/>
      <c r="C887" s="95"/>
      <c r="D887" s="96"/>
      <c r="E887" s="97"/>
      <c r="F887" s="109"/>
      <c r="G887" s="99"/>
      <c r="H887" s="102"/>
      <c r="I887" s="95"/>
      <c r="J887" s="93"/>
      <c r="K887" s="102"/>
      <c r="L887" s="101"/>
      <c r="M887" s="102"/>
      <c r="N887" s="102"/>
      <c r="O887" s="102"/>
      <c r="P887" s="102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>
      <c r="A888" s="77" t="str">
        <f t="shared" si="1"/>
        <v/>
      </c>
      <c r="B888" s="78"/>
      <c r="C888" s="82"/>
      <c r="D888" s="83"/>
      <c r="E888" s="84"/>
      <c r="F888" s="114"/>
      <c r="G888" s="86"/>
      <c r="H888" s="77"/>
      <c r="I888" s="82"/>
      <c r="J888" s="87"/>
      <c r="K888" s="77"/>
      <c r="L888" s="89"/>
      <c r="M888" s="77"/>
      <c r="N888" s="77"/>
      <c r="O888" s="77"/>
      <c r="P888" s="77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>
      <c r="A889" s="102" t="str">
        <f t="shared" si="1"/>
        <v/>
      </c>
      <c r="B889" s="94"/>
      <c r="C889" s="95"/>
      <c r="D889" s="96"/>
      <c r="E889" s="97"/>
      <c r="F889" s="109"/>
      <c r="G889" s="99"/>
      <c r="H889" s="102"/>
      <c r="I889" s="95"/>
      <c r="J889" s="93"/>
      <c r="K889" s="102"/>
      <c r="L889" s="101"/>
      <c r="M889" s="102"/>
      <c r="N889" s="102"/>
      <c r="O889" s="102"/>
      <c r="P889" s="102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>
      <c r="A890" s="77" t="str">
        <f t="shared" si="1"/>
        <v/>
      </c>
      <c r="B890" s="78"/>
      <c r="C890" s="82"/>
      <c r="D890" s="83"/>
      <c r="E890" s="84"/>
      <c r="F890" s="114"/>
      <c r="G890" s="86"/>
      <c r="H890" s="77"/>
      <c r="I890" s="82"/>
      <c r="J890" s="87"/>
      <c r="K890" s="77"/>
      <c r="L890" s="89"/>
      <c r="M890" s="77"/>
      <c r="N890" s="77"/>
      <c r="O890" s="77"/>
      <c r="P890" s="77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>
      <c r="A891" s="102" t="str">
        <f t="shared" si="1"/>
        <v/>
      </c>
      <c r="B891" s="94"/>
      <c r="C891" s="95"/>
      <c r="D891" s="96"/>
      <c r="E891" s="97"/>
      <c r="F891" s="109"/>
      <c r="G891" s="99"/>
      <c r="H891" s="102"/>
      <c r="I891" s="95"/>
      <c r="J891" s="93"/>
      <c r="K891" s="102"/>
      <c r="L891" s="101"/>
      <c r="M891" s="102"/>
      <c r="N891" s="102"/>
      <c r="O891" s="102"/>
      <c r="P891" s="102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>
      <c r="A892" s="77" t="str">
        <f t="shared" si="1"/>
        <v/>
      </c>
      <c r="B892" s="78"/>
      <c r="C892" s="82"/>
      <c r="D892" s="83"/>
      <c r="E892" s="84"/>
      <c r="F892" s="114"/>
      <c r="G892" s="86"/>
      <c r="H892" s="77"/>
      <c r="I892" s="82"/>
      <c r="J892" s="87"/>
      <c r="K892" s="77"/>
      <c r="L892" s="89"/>
      <c r="M892" s="77"/>
      <c r="N892" s="77"/>
      <c r="O892" s="77"/>
      <c r="P892" s="77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>
      <c r="A893" s="102" t="str">
        <f t="shared" si="1"/>
        <v/>
      </c>
      <c r="B893" s="94"/>
      <c r="C893" s="95"/>
      <c r="D893" s="96"/>
      <c r="E893" s="97"/>
      <c r="F893" s="109"/>
      <c r="G893" s="99"/>
      <c r="H893" s="102"/>
      <c r="I893" s="95"/>
      <c r="J893" s="93"/>
      <c r="K893" s="102"/>
      <c r="L893" s="101"/>
      <c r="M893" s="102"/>
      <c r="N893" s="102"/>
      <c r="O893" s="102"/>
      <c r="P893" s="102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>
      <c r="A894" s="77" t="str">
        <f t="shared" si="1"/>
        <v/>
      </c>
      <c r="B894" s="78"/>
      <c r="C894" s="82"/>
      <c r="D894" s="83"/>
      <c r="E894" s="84"/>
      <c r="F894" s="114"/>
      <c r="G894" s="86"/>
      <c r="H894" s="77"/>
      <c r="I894" s="82"/>
      <c r="J894" s="87"/>
      <c r="K894" s="77"/>
      <c r="L894" s="89"/>
      <c r="M894" s="77"/>
      <c r="N894" s="77"/>
      <c r="O894" s="77"/>
      <c r="P894" s="77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>
      <c r="A895" s="102" t="str">
        <f t="shared" si="1"/>
        <v/>
      </c>
      <c r="B895" s="94"/>
      <c r="C895" s="95"/>
      <c r="D895" s="96"/>
      <c r="E895" s="97"/>
      <c r="F895" s="109"/>
      <c r="G895" s="99"/>
      <c r="H895" s="102"/>
      <c r="I895" s="95"/>
      <c r="J895" s="93"/>
      <c r="K895" s="102"/>
      <c r="L895" s="101"/>
      <c r="M895" s="102"/>
      <c r="N895" s="102"/>
      <c r="O895" s="102"/>
      <c r="P895" s="102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>
      <c r="A896" s="77" t="str">
        <f t="shared" si="1"/>
        <v/>
      </c>
      <c r="B896" s="78"/>
      <c r="C896" s="82"/>
      <c r="D896" s="83"/>
      <c r="E896" s="84"/>
      <c r="F896" s="114"/>
      <c r="G896" s="86"/>
      <c r="H896" s="77"/>
      <c r="I896" s="82"/>
      <c r="J896" s="87"/>
      <c r="K896" s="77"/>
      <c r="L896" s="89"/>
      <c r="M896" s="77"/>
      <c r="N896" s="77"/>
      <c r="O896" s="77"/>
      <c r="P896" s="77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>
      <c r="A897" s="102" t="str">
        <f t="shared" si="1"/>
        <v/>
      </c>
      <c r="B897" s="94"/>
      <c r="C897" s="95"/>
      <c r="D897" s="96"/>
      <c r="E897" s="97"/>
      <c r="F897" s="109"/>
      <c r="G897" s="99"/>
      <c r="H897" s="102"/>
      <c r="I897" s="95"/>
      <c r="J897" s="93"/>
      <c r="K897" s="102"/>
      <c r="L897" s="101"/>
      <c r="M897" s="102"/>
      <c r="N897" s="102"/>
      <c r="O897" s="102"/>
      <c r="P897" s="102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>
      <c r="A898" s="77" t="str">
        <f t="shared" si="1"/>
        <v/>
      </c>
      <c r="B898" s="78"/>
      <c r="C898" s="82"/>
      <c r="D898" s="83"/>
      <c r="E898" s="84"/>
      <c r="F898" s="114"/>
      <c r="G898" s="86"/>
      <c r="H898" s="77"/>
      <c r="I898" s="82"/>
      <c r="J898" s="87"/>
      <c r="K898" s="77"/>
      <c r="L898" s="89"/>
      <c r="M898" s="77"/>
      <c r="N898" s="77"/>
      <c r="O898" s="77"/>
      <c r="P898" s="77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>
      <c r="A899" s="102" t="str">
        <f t="shared" si="1"/>
        <v/>
      </c>
      <c r="B899" s="94"/>
      <c r="C899" s="95"/>
      <c r="D899" s="96"/>
      <c r="E899" s="97"/>
      <c r="F899" s="109"/>
      <c r="G899" s="99"/>
      <c r="H899" s="102"/>
      <c r="I899" s="95"/>
      <c r="J899" s="93"/>
      <c r="K899" s="102"/>
      <c r="L899" s="101"/>
      <c r="M899" s="102"/>
      <c r="N899" s="102"/>
      <c r="O899" s="102"/>
      <c r="P899" s="102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>
      <c r="A900" s="77" t="str">
        <f t="shared" si="1"/>
        <v/>
      </c>
      <c r="B900" s="78"/>
      <c r="C900" s="82"/>
      <c r="D900" s="83"/>
      <c r="E900" s="84"/>
      <c r="F900" s="114"/>
      <c r="G900" s="86"/>
      <c r="H900" s="77"/>
      <c r="I900" s="82"/>
      <c r="J900" s="87"/>
      <c r="K900" s="77"/>
      <c r="L900" s="89"/>
      <c r="M900" s="77"/>
      <c r="N900" s="77"/>
      <c r="O900" s="77"/>
      <c r="P900" s="77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>
      <c r="A901" s="102" t="str">
        <f t="shared" si="1"/>
        <v/>
      </c>
      <c r="B901" s="94"/>
      <c r="C901" s="95"/>
      <c r="D901" s="96"/>
      <c r="E901" s="97"/>
      <c r="F901" s="109"/>
      <c r="G901" s="99"/>
      <c r="H901" s="102"/>
      <c r="I901" s="95"/>
      <c r="J901" s="93"/>
      <c r="K901" s="102"/>
      <c r="L901" s="101"/>
      <c r="M901" s="102"/>
      <c r="N901" s="102"/>
      <c r="O901" s="102"/>
      <c r="P901" s="102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>
      <c r="A902" s="77" t="str">
        <f t="shared" si="1"/>
        <v/>
      </c>
      <c r="B902" s="78"/>
      <c r="C902" s="82"/>
      <c r="D902" s="83"/>
      <c r="E902" s="84"/>
      <c r="F902" s="114"/>
      <c r="G902" s="86"/>
      <c r="H902" s="77"/>
      <c r="I902" s="82"/>
      <c r="J902" s="87"/>
      <c r="K902" s="77"/>
      <c r="L902" s="89"/>
      <c r="M902" s="77"/>
      <c r="N902" s="77"/>
      <c r="O902" s="77"/>
      <c r="P902" s="77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>
      <c r="A903" s="102" t="str">
        <f t="shared" si="1"/>
        <v/>
      </c>
      <c r="B903" s="94"/>
      <c r="C903" s="95"/>
      <c r="D903" s="96"/>
      <c r="E903" s="97"/>
      <c r="F903" s="109"/>
      <c r="G903" s="99"/>
      <c r="H903" s="102"/>
      <c r="I903" s="95"/>
      <c r="J903" s="93"/>
      <c r="K903" s="102"/>
      <c r="L903" s="101"/>
      <c r="M903" s="102"/>
      <c r="N903" s="102"/>
      <c r="O903" s="102"/>
      <c r="P903" s="102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>
      <c r="A904" s="77" t="str">
        <f t="shared" si="1"/>
        <v/>
      </c>
      <c r="B904" s="78"/>
      <c r="C904" s="82"/>
      <c r="D904" s="83"/>
      <c r="E904" s="84"/>
      <c r="F904" s="114"/>
      <c r="G904" s="86"/>
      <c r="H904" s="77"/>
      <c r="I904" s="82"/>
      <c r="J904" s="87"/>
      <c r="K904" s="77"/>
      <c r="L904" s="89"/>
      <c r="M904" s="77"/>
      <c r="N904" s="77"/>
      <c r="O904" s="77"/>
      <c r="P904" s="77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>
      <c r="A905" s="102" t="str">
        <f t="shared" si="1"/>
        <v/>
      </c>
      <c r="B905" s="94"/>
      <c r="C905" s="95"/>
      <c r="D905" s="96"/>
      <c r="E905" s="97"/>
      <c r="F905" s="109"/>
      <c r="G905" s="99"/>
      <c r="H905" s="102"/>
      <c r="I905" s="95"/>
      <c r="J905" s="93"/>
      <c r="K905" s="102"/>
      <c r="L905" s="101"/>
      <c r="M905" s="102"/>
      <c r="N905" s="102"/>
      <c r="O905" s="102"/>
      <c r="P905" s="102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>
      <c r="A906" s="77" t="str">
        <f t="shared" si="1"/>
        <v/>
      </c>
      <c r="B906" s="78"/>
      <c r="C906" s="82"/>
      <c r="D906" s="83"/>
      <c r="E906" s="84"/>
      <c r="F906" s="114"/>
      <c r="G906" s="86"/>
      <c r="H906" s="77"/>
      <c r="I906" s="82"/>
      <c r="J906" s="87"/>
      <c r="K906" s="77"/>
      <c r="L906" s="89"/>
      <c r="M906" s="77"/>
      <c r="N906" s="77"/>
      <c r="O906" s="77"/>
      <c r="P906" s="77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>
      <c r="A907" s="102" t="str">
        <f t="shared" si="1"/>
        <v/>
      </c>
      <c r="B907" s="94"/>
      <c r="C907" s="95"/>
      <c r="D907" s="96"/>
      <c r="E907" s="97"/>
      <c r="F907" s="109"/>
      <c r="G907" s="99"/>
      <c r="H907" s="102"/>
      <c r="I907" s="95"/>
      <c r="J907" s="93"/>
      <c r="K907" s="102"/>
      <c r="L907" s="101"/>
      <c r="M907" s="102"/>
      <c r="N907" s="102"/>
      <c r="O907" s="102"/>
      <c r="P907" s="102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>
      <c r="A908" s="77" t="str">
        <f t="shared" si="1"/>
        <v/>
      </c>
      <c r="B908" s="78"/>
      <c r="C908" s="82"/>
      <c r="D908" s="83"/>
      <c r="E908" s="84"/>
      <c r="F908" s="114"/>
      <c r="G908" s="86"/>
      <c r="H908" s="77"/>
      <c r="I908" s="82"/>
      <c r="J908" s="87"/>
      <c r="K908" s="77"/>
      <c r="L908" s="89"/>
      <c r="M908" s="77"/>
      <c r="N908" s="77"/>
      <c r="O908" s="77"/>
      <c r="P908" s="77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>
      <c r="A909" s="102" t="str">
        <f t="shared" si="1"/>
        <v/>
      </c>
      <c r="B909" s="94"/>
      <c r="C909" s="95"/>
      <c r="D909" s="96"/>
      <c r="E909" s="97"/>
      <c r="F909" s="109"/>
      <c r="G909" s="99"/>
      <c r="H909" s="102"/>
      <c r="I909" s="95"/>
      <c r="J909" s="93"/>
      <c r="K909" s="102"/>
      <c r="L909" s="101"/>
      <c r="M909" s="102"/>
      <c r="N909" s="102"/>
      <c r="O909" s="102"/>
      <c r="P909" s="102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>
      <c r="A910" s="77" t="str">
        <f t="shared" si="1"/>
        <v/>
      </c>
      <c r="B910" s="78"/>
      <c r="C910" s="82"/>
      <c r="D910" s="83"/>
      <c r="E910" s="84"/>
      <c r="F910" s="114"/>
      <c r="G910" s="86"/>
      <c r="H910" s="77"/>
      <c r="I910" s="82"/>
      <c r="J910" s="87"/>
      <c r="K910" s="77"/>
      <c r="L910" s="89"/>
      <c r="M910" s="77"/>
      <c r="N910" s="77"/>
      <c r="O910" s="77"/>
      <c r="P910" s="77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>
      <c r="A911" s="102" t="str">
        <f t="shared" si="1"/>
        <v/>
      </c>
      <c r="B911" s="94"/>
      <c r="C911" s="95"/>
      <c r="D911" s="96"/>
      <c r="E911" s="97"/>
      <c r="F911" s="109"/>
      <c r="G911" s="99"/>
      <c r="H911" s="102"/>
      <c r="I911" s="95"/>
      <c r="J911" s="93"/>
      <c r="K911" s="102"/>
      <c r="L911" s="101"/>
      <c r="M911" s="102"/>
      <c r="N911" s="102"/>
      <c r="O911" s="102"/>
      <c r="P911" s="102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>
      <c r="A912" s="77" t="str">
        <f t="shared" si="1"/>
        <v/>
      </c>
      <c r="B912" s="78"/>
      <c r="C912" s="82"/>
      <c r="D912" s="83"/>
      <c r="E912" s="84"/>
      <c r="F912" s="114"/>
      <c r="G912" s="86"/>
      <c r="H912" s="77"/>
      <c r="I912" s="82"/>
      <c r="J912" s="87"/>
      <c r="K912" s="77"/>
      <c r="L912" s="89"/>
      <c r="M912" s="77"/>
      <c r="N912" s="77"/>
      <c r="O912" s="77"/>
      <c r="P912" s="77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>
      <c r="A913" s="102" t="str">
        <f t="shared" si="1"/>
        <v/>
      </c>
      <c r="B913" s="94"/>
      <c r="C913" s="95"/>
      <c r="D913" s="96"/>
      <c r="E913" s="97"/>
      <c r="F913" s="109"/>
      <c r="G913" s="99"/>
      <c r="H913" s="102"/>
      <c r="I913" s="95"/>
      <c r="J913" s="93"/>
      <c r="K913" s="102"/>
      <c r="L913" s="101"/>
      <c r="M913" s="102"/>
      <c r="N913" s="102"/>
      <c r="O913" s="102"/>
      <c r="P913" s="102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>
      <c r="A914" s="77" t="str">
        <f t="shared" si="1"/>
        <v/>
      </c>
      <c r="B914" s="78"/>
      <c r="C914" s="82"/>
      <c r="D914" s="83"/>
      <c r="E914" s="84"/>
      <c r="F914" s="114"/>
      <c r="G914" s="86"/>
      <c r="H914" s="77"/>
      <c r="I914" s="82"/>
      <c r="J914" s="87"/>
      <c r="K914" s="77"/>
      <c r="L914" s="89"/>
      <c r="M914" s="77"/>
      <c r="N914" s="77"/>
      <c r="O914" s="77"/>
      <c r="P914" s="77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>
      <c r="A915" s="102" t="str">
        <f t="shared" si="1"/>
        <v/>
      </c>
      <c r="B915" s="94"/>
      <c r="C915" s="95"/>
      <c r="D915" s="96"/>
      <c r="E915" s="97"/>
      <c r="F915" s="109"/>
      <c r="G915" s="99"/>
      <c r="H915" s="102"/>
      <c r="I915" s="95"/>
      <c r="J915" s="93"/>
      <c r="K915" s="102"/>
      <c r="L915" s="101"/>
      <c r="M915" s="102"/>
      <c r="N915" s="102"/>
      <c r="O915" s="102"/>
      <c r="P915" s="102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>
      <c r="A916" s="77" t="str">
        <f t="shared" si="1"/>
        <v/>
      </c>
      <c r="B916" s="78"/>
      <c r="C916" s="82"/>
      <c r="D916" s="83"/>
      <c r="E916" s="84"/>
      <c r="F916" s="114"/>
      <c r="G916" s="86"/>
      <c r="H916" s="77"/>
      <c r="I916" s="82"/>
      <c r="J916" s="87"/>
      <c r="K916" s="77"/>
      <c r="L916" s="89"/>
      <c r="M916" s="77"/>
      <c r="N916" s="77"/>
      <c r="O916" s="77"/>
      <c r="P916" s="77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>
      <c r="A917" s="102" t="str">
        <f t="shared" si="1"/>
        <v/>
      </c>
      <c r="B917" s="94"/>
      <c r="C917" s="95"/>
      <c r="D917" s="96"/>
      <c r="E917" s="97"/>
      <c r="F917" s="109"/>
      <c r="G917" s="99"/>
      <c r="H917" s="102"/>
      <c r="I917" s="95"/>
      <c r="J917" s="93"/>
      <c r="K917" s="102"/>
      <c r="L917" s="101"/>
      <c r="M917" s="102"/>
      <c r="N917" s="102"/>
      <c r="O917" s="102"/>
      <c r="P917" s="102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>
      <c r="A918" s="77" t="str">
        <f t="shared" si="1"/>
        <v/>
      </c>
      <c r="B918" s="78"/>
      <c r="C918" s="82"/>
      <c r="D918" s="83"/>
      <c r="E918" s="84"/>
      <c r="F918" s="114"/>
      <c r="G918" s="86"/>
      <c r="H918" s="77"/>
      <c r="I918" s="82"/>
      <c r="J918" s="87"/>
      <c r="K918" s="77"/>
      <c r="L918" s="89"/>
      <c r="M918" s="77"/>
      <c r="N918" s="77"/>
      <c r="O918" s="77"/>
      <c r="P918" s="77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>
      <c r="A919" s="102" t="str">
        <f t="shared" si="1"/>
        <v/>
      </c>
      <c r="B919" s="94"/>
      <c r="C919" s="95"/>
      <c r="D919" s="96"/>
      <c r="E919" s="97"/>
      <c r="F919" s="109"/>
      <c r="G919" s="99"/>
      <c r="H919" s="102"/>
      <c r="I919" s="95"/>
      <c r="J919" s="93"/>
      <c r="K919" s="102"/>
      <c r="L919" s="101"/>
      <c r="M919" s="102"/>
      <c r="N919" s="102"/>
      <c r="O919" s="102"/>
      <c r="P919" s="102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>
      <c r="A920" s="77" t="str">
        <f t="shared" si="1"/>
        <v/>
      </c>
      <c r="B920" s="78"/>
      <c r="C920" s="82"/>
      <c r="D920" s="83"/>
      <c r="E920" s="84"/>
      <c r="F920" s="114"/>
      <c r="G920" s="86"/>
      <c r="H920" s="77"/>
      <c r="I920" s="82"/>
      <c r="J920" s="87"/>
      <c r="K920" s="77"/>
      <c r="L920" s="89"/>
      <c r="M920" s="77"/>
      <c r="N920" s="77"/>
      <c r="O920" s="77"/>
      <c r="P920" s="77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>
      <c r="A921" s="102" t="str">
        <f t="shared" si="1"/>
        <v/>
      </c>
      <c r="B921" s="94"/>
      <c r="C921" s="95"/>
      <c r="D921" s="96"/>
      <c r="E921" s="97"/>
      <c r="F921" s="109"/>
      <c r="G921" s="99"/>
      <c r="H921" s="102"/>
      <c r="I921" s="95"/>
      <c r="J921" s="93"/>
      <c r="K921" s="102"/>
      <c r="L921" s="101"/>
      <c r="M921" s="102"/>
      <c r="N921" s="102"/>
      <c r="O921" s="102"/>
      <c r="P921" s="102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>
      <c r="A922" s="77" t="str">
        <f t="shared" si="1"/>
        <v/>
      </c>
      <c r="B922" s="78"/>
      <c r="C922" s="82"/>
      <c r="D922" s="83"/>
      <c r="E922" s="84"/>
      <c r="F922" s="114"/>
      <c r="G922" s="86"/>
      <c r="H922" s="77"/>
      <c r="I922" s="82"/>
      <c r="J922" s="87"/>
      <c r="K922" s="77"/>
      <c r="L922" s="89"/>
      <c r="M922" s="77"/>
      <c r="N922" s="77"/>
      <c r="O922" s="77"/>
      <c r="P922" s="77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>
      <c r="A923" s="102" t="str">
        <f t="shared" si="1"/>
        <v/>
      </c>
      <c r="B923" s="94"/>
      <c r="C923" s="95"/>
      <c r="D923" s="96"/>
      <c r="E923" s="97"/>
      <c r="F923" s="109"/>
      <c r="G923" s="99"/>
      <c r="H923" s="102"/>
      <c r="I923" s="95"/>
      <c r="J923" s="93"/>
      <c r="K923" s="102"/>
      <c r="L923" s="101"/>
      <c r="M923" s="102"/>
      <c r="N923" s="102"/>
      <c r="O923" s="102"/>
      <c r="P923" s="102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>
      <c r="A924" s="77" t="str">
        <f t="shared" si="1"/>
        <v/>
      </c>
      <c r="B924" s="78"/>
      <c r="C924" s="82"/>
      <c r="D924" s="83"/>
      <c r="E924" s="84"/>
      <c r="F924" s="114"/>
      <c r="G924" s="86"/>
      <c r="H924" s="77"/>
      <c r="I924" s="82"/>
      <c r="J924" s="87"/>
      <c r="K924" s="77"/>
      <c r="L924" s="89"/>
      <c r="M924" s="77"/>
      <c r="N924" s="77"/>
      <c r="O924" s="77"/>
      <c r="P924" s="77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>
      <c r="A925" s="102" t="str">
        <f t="shared" si="1"/>
        <v/>
      </c>
      <c r="B925" s="94"/>
      <c r="C925" s="95"/>
      <c r="D925" s="96"/>
      <c r="E925" s="97"/>
      <c r="F925" s="109"/>
      <c r="G925" s="99"/>
      <c r="H925" s="102"/>
      <c r="I925" s="95"/>
      <c r="J925" s="93"/>
      <c r="K925" s="102"/>
      <c r="L925" s="101"/>
      <c r="M925" s="102"/>
      <c r="N925" s="102"/>
      <c r="O925" s="102"/>
      <c r="P925" s="102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>
      <c r="A926" s="77" t="str">
        <f t="shared" si="1"/>
        <v/>
      </c>
      <c r="B926" s="78"/>
      <c r="C926" s="82"/>
      <c r="D926" s="83"/>
      <c r="E926" s="84"/>
      <c r="F926" s="114"/>
      <c r="G926" s="86"/>
      <c r="H926" s="77"/>
      <c r="I926" s="82"/>
      <c r="J926" s="87"/>
      <c r="K926" s="77"/>
      <c r="L926" s="89"/>
      <c r="M926" s="77"/>
      <c r="N926" s="77"/>
      <c r="O926" s="77"/>
      <c r="P926" s="77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>
      <c r="A927" s="102" t="str">
        <f t="shared" si="1"/>
        <v/>
      </c>
      <c r="B927" s="94"/>
      <c r="C927" s="95"/>
      <c r="D927" s="96"/>
      <c r="E927" s="97"/>
      <c r="F927" s="109"/>
      <c r="G927" s="99"/>
      <c r="H927" s="102"/>
      <c r="I927" s="95"/>
      <c r="J927" s="93"/>
      <c r="K927" s="102"/>
      <c r="L927" s="101"/>
      <c r="M927" s="102"/>
      <c r="N927" s="102"/>
      <c r="O927" s="102"/>
      <c r="P927" s="102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>
      <c r="A928" s="77" t="str">
        <f t="shared" si="1"/>
        <v/>
      </c>
      <c r="B928" s="78"/>
      <c r="C928" s="82"/>
      <c r="D928" s="83"/>
      <c r="E928" s="84"/>
      <c r="F928" s="114"/>
      <c r="G928" s="86"/>
      <c r="H928" s="77"/>
      <c r="I928" s="82"/>
      <c r="J928" s="87"/>
      <c r="K928" s="77"/>
      <c r="L928" s="89"/>
      <c r="M928" s="77"/>
      <c r="N928" s="77"/>
      <c r="O928" s="77"/>
      <c r="P928" s="77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>
      <c r="A929" s="102" t="str">
        <f t="shared" si="1"/>
        <v/>
      </c>
      <c r="B929" s="94"/>
      <c r="C929" s="95"/>
      <c r="D929" s="96"/>
      <c r="E929" s="97"/>
      <c r="F929" s="109"/>
      <c r="G929" s="99"/>
      <c r="H929" s="102"/>
      <c r="I929" s="95"/>
      <c r="J929" s="93"/>
      <c r="K929" s="102"/>
      <c r="L929" s="101"/>
      <c r="M929" s="102"/>
      <c r="N929" s="102"/>
      <c r="O929" s="102"/>
      <c r="P929" s="102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>
      <c r="A930" s="77" t="str">
        <f t="shared" si="1"/>
        <v/>
      </c>
      <c r="B930" s="78"/>
      <c r="C930" s="82"/>
      <c r="D930" s="83"/>
      <c r="E930" s="84"/>
      <c r="F930" s="114"/>
      <c r="G930" s="86"/>
      <c r="H930" s="77"/>
      <c r="I930" s="82"/>
      <c r="J930" s="87"/>
      <c r="K930" s="77"/>
      <c r="L930" s="89"/>
      <c r="M930" s="77"/>
      <c r="N930" s="77"/>
      <c r="O930" s="77"/>
      <c r="P930" s="77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>
      <c r="A931" s="102" t="str">
        <f t="shared" si="1"/>
        <v/>
      </c>
      <c r="B931" s="94"/>
      <c r="C931" s="95"/>
      <c r="D931" s="96"/>
      <c r="E931" s="97"/>
      <c r="F931" s="109"/>
      <c r="G931" s="99"/>
      <c r="H931" s="102"/>
      <c r="I931" s="95"/>
      <c r="J931" s="93"/>
      <c r="K931" s="102"/>
      <c r="L931" s="101"/>
      <c r="M931" s="102"/>
      <c r="N931" s="102"/>
      <c r="O931" s="102"/>
      <c r="P931" s="102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>
      <c r="A932" s="77" t="str">
        <f t="shared" si="1"/>
        <v/>
      </c>
      <c r="B932" s="78"/>
      <c r="C932" s="82"/>
      <c r="D932" s="83"/>
      <c r="E932" s="84"/>
      <c r="F932" s="114"/>
      <c r="G932" s="86"/>
      <c r="H932" s="77"/>
      <c r="I932" s="82"/>
      <c r="J932" s="87"/>
      <c r="K932" s="77"/>
      <c r="L932" s="89"/>
      <c r="M932" s="77"/>
      <c r="N932" s="77"/>
      <c r="O932" s="77"/>
      <c r="P932" s="77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>
      <c r="A933" s="102" t="str">
        <f t="shared" si="1"/>
        <v/>
      </c>
      <c r="B933" s="94"/>
      <c r="C933" s="95"/>
      <c r="D933" s="96"/>
      <c r="E933" s="97"/>
      <c r="F933" s="109"/>
      <c r="G933" s="99"/>
      <c r="H933" s="102"/>
      <c r="I933" s="95"/>
      <c r="J933" s="93"/>
      <c r="K933" s="102"/>
      <c r="L933" s="101"/>
      <c r="M933" s="102"/>
      <c r="N933" s="102"/>
      <c r="O933" s="102"/>
      <c r="P933" s="102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>
      <c r="A934" s="77" t="str">
        <f t="shared" si="1"/>
        <v/>
      </c>
      <c r="B934" s="78"/>
      <c r="C934" s="82"/>
      <c r="D934" s="83"/>
      <c r="E934" s="84"/>
      <c r="F934" s="114"/>
      <c r="G934" s="86"/>
      <c r="H934" s="77"/>
      <c r="I934" s="82"/>
      <c r="J934" s="87"/>
      <c r="K934" s="77"/>
      <c r="L934" s="89"/>
      <c r="M934" s="77"/>
      <c r="N934" s="77"/>
      <c r="O934" s="77"/>
      <c r="P934" s="77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>
      <c r="A935" s="102" t="str">
        <f t="shared" si="1"/>
        <v/>
      </c>
      <c r="B935" s="94"/>
      <c r="C935" s="95"/>
      <c r="D935" s="96"/>
      <c r="E935" s="97"/>
      <c r="F935" s="109"/>
      <c r="G935" s="99"/>
      <c r="H935" s="102"/>
      <c r="I935" s="95"/>
      <c r="J935" s="93"/>
      <c r="K935" s="102"/>
      <c r="L935" s="101"/>
      <c r="M935" s="102"/>
      <c r="N935" s="102"/>
      <c r="O935" s="102"/>
      <c r="P935" s="102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>
      <c r="A936" s="77" t="str">
        <f t="shared" si="1"/>
        <v/>
      </c>
      <c r="B936" s="78"/>
      <c r="C936" s="82"/>
      <c r="D936" s="83"/>
      <c r="E936" s="84"/>
      <c r="F936" s="114"/>
      <c r="G936" s="86"/>
      <c r="H936" s="77"/>
      <c r="I936" s="82"/>
      <c r="J936" s="87"/>
      <c r="K936" s="77"/>
      <c r="L936" s="89"/>
      <c r="M936" s="77"/>
      <c r="N936" s="77"/>
      <c r="O936" s="77"/>
      <c r="P936" s="77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>
      <c r="A937" s="102" t="str">
        <f t="shared" si="1"/>
        <v/>
      </c>
      <c r="B937" s="94"/>
      <c r="C937" s="95"/>
      <c r="D937" s="96"/>
      <c r="E937" s="97"/>
      <c r="F937" s="109"/>
      <c r="G937" s="99"/>
      <c r="H937" s="102"/>
      <c r="I937" s="95"/>
      <c r="J937" s="93"/>
      <c r="K937" s="102"/>
      <c r="L937" s="101"/>
      <c r="M937" s="102"/>
      <c r="N937" s="102"/>
      <c r="O937" s="102"/>
      <c r="P937" s="102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>
      <c r="A938" s="77" t="str">
        <f t="shared" si="1"/>
        <v/>
      </c>
      <c r="B938" s="78"/>
      <c r="C938" s="82"/>
      <c r="D938" s="83"/>
      <c r="E938" s="84"/>
      <c r="F938" s="114"/>
      <c r="G938" s="86"/>
      <c r="H938" s="77"/>
      <c r="I938" s="82"/>
      <c r="J938" s="87"/>
      <c r="K938" s="77"/>
      <c r="L938" s="89"/>
      <c r="M938" s="77"/>
      <c r="N938" s="77"/>
      <c r="O938" s="77"/>
      <c r="P938" s="77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>
      <c r="A939" s="102" t="str">
        <f t="shared" si="1"/>
        <v/>
      </c>
      <c r="B939" s="94"/>
      <c r="C939" s="95"/>
      <c r="D939" s="96"/>
      <c r="E939" s="97"/>
      <c r="F939" s="109"/>
      <c r="G939" s="99"/>
      <c r="H939" s="102"/>
      <c r="I939" s="95"/>
      <c r="J939" s="93"/>
      <c r="K939" s="102"/>
      <c r="L939" s="101"/>
      <c r="M939" s="102"/>
      <c r="N939" s="102"/>
      <c r="O939" s="102"/>
      <c r="P939" s="102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>
      <c r="A940" s="77" t="str">
        <f t="shared" si="1"/>
        <v/>
      </c>
      <c r="B940" s="78"/>
      <c r="C940" s="82"/>
      <c r="D940" s="83"/>
      <c r="E940" s="84"/>
      <c r="F940" s="114"/>
      <c r="G940" s="86"/>
      <c r="H940" s="77"/>
      <c r="I940" s="82"/>
      <c r="J940" s="87"/>
      <c r="K940" s="77"/>
      <c r="L940" s="89"/>
      <c r="M940" s="77"/>
      <c r="N940" s="77"/>
      <c r="O940" s="77"/>
      <c r="P940" s="77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>
      <c r="A941" s="102" t="str">
        <f t="shared" si="1"/>
        <v/>
      </c>
      <c r="B941" s="94"/>
      <c r="C941" s="95"/>
      <c r="D941" s="96"/>
      <c r="E941" s="97"/>
      <c r="F941" s="109"/>
      <c r="G941" s="99"/>
      <c r="H941" s="102"/>
      <c r="I941" s="95"/>
      <c r="J941" s="93"/>
      <c r="K941" s="102"/>
      <c r="L941" s="101"/>
      <c r="M941" s="102"/>
      <c r="N941" s="102"/>
      <c r="O941" s="102"/>
      <c r="P941" s="102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>
      <c r="A942" s="77" t="str">
        <f t="shared" si="1"/>
        <v/>
      </c>
      <c r="B942" s="78"/>
      <c r="C942" s="82"/>
      <c r="D942" s="83"/>
      <c r="E942" s="84"/>
      <c r="F942" s="114"/>
      <c r="G942" s="86"/>
      <c r="H942" s="77"/>
      <c r="I942" s="82"/>
      <c r="J942" s="87"/>
      <c r="K942" s="77"/>
      <c r="L942" s="89"/>
      <c r="M942" s="77"/>
      <c r="N942" s="77"/>
      <c r="O942" s="77"/>
      <c r="P942" s="77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>
      <c r="A943" s="102" t="str">
        <f t="shared" si="1"/>
        <v/>
      </c>
      <c r="B943" s="94"/>
      <c r="C943" s="95"/>
      <c r="D943" s="96"/>
      <c r="E943" s="97"/>
      <c r="F943" s="109"/>
      <c r="G943" s="99"/>
      <c r="H943" s="102"/>
      <c r="I943" s="95"/>
      <c r="J943" s="93"/>
      <c r="K943" s="102"/>
      <c r="L943" s="101"/>
      <c r="M943" s="102"/>
      <c r="N943" s="102"/>
      <c r="O943" s="102"/>
      <c r="P943" s="102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>
      <c r="A944" s="77" t="str">
        <f t="shared" si="1"/>
        <v/>
      </c>
      <c r="B944" s="78"/>
      <c r="C944" s="82"/>
      <c r="D944" s="83"/>
      <c r="E944" s="84"/>
      <c r="F944" s="114"/>
      <c r="G944" s="86"/>
      <c r="H944" s="77"/>
      <c r="I944" s="82"/>
      <c r="J944" s="87"/>
      <c r="K944" s="77"/>
      <c r="L944" s="89"/>
      <c r="M944" s="77"/>
      <c r="N944" s="77"/>
      <c r="O944" s="77"/>
      <c r="P944" s="77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>
      <c r="A945" s="102" t="str">
        <f t="shared" si="1"/>
        <v/>
      </c>
      <c r="B945" s="94"/>
      <c r="C945" s="95"/>
      <c r="D945" s="96"/>
      <c r="E945" s="97"/>
      <c r="F945" s="109"/>
      <c r="G945" s="99"/>
      <c r="H945" s="102"/>
      <c r="I945" s="95"/>
      <c r="J945" s="93"/>
      <c r="K945" s="102"/>
      <c r="L945" s="101"/>
      <c r="M945" s="102"/>
      <c r="N945" s="102"/>
      <c r="O945" s="102"/>
      <c r="P945" s="102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>
      <c r="A946" s="77" t="str">
        <f t="shared" si="1"/>
        <v/>
      </c>
      <c r="B946" s="78"/>
      <c r="C946" s="82"/>
      <c r="D946" s="83"/>
      <c r="E946" s="84"/>
      <c r="F946" s="114"/>
      <c r="G946" s="86"/>
      <c r="H946" s="77"/>
      <c r="I946" s="82"/>
      <c r="J946" s="87"/>
      <c r="K946" s="77"/>
      <c r="L946" s="89"/>
      <c r="M946" s="77"/>
      <c r="N946" s="77"/>
      <c r="O946" s="77"/>
      <c r="P946" s="77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>
      <c r="A947" s="102" t="str">
        <f t="shared" si="1"/>
        <v/>
      </c>
      <c r="B947" s="94"/>
      <c r="C947" s="95"/>
      <c r="D947" s="96"/>
      <c r="E947" s="97"/>
      <c r="F947" s="109"/>
      <c r="G947" s="99"/>
      <c r="H947" s="102"/>
      <c r="I947" s="95"/>
      <c r="J947" s="93"/>
      <c r="K947" s="102"/>
      <c r="L947" s="101"/>
      <c r="M947" s="102"/>
      <c r="N947" s="102"/>
      <c r="O947" s="102"/>
      <c r="P947" s="102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>
      <c r="A948" s="77" t="str">
        <f t="shared" si="1"/>
        <v/>
      </c>
      <c r="B948" s="78"/>
      <c r="C948" s="82"/>
      <c r="D948" s="83"/>
      <c r="E948" s="84"/>
      <c r="F948" s="114"/>
      <c r="G948" s="86"/>
      <c r="H948" s="77"/>
      <c r="I948" s="82"/>
      <c r="J948" s="87"/>
      <c r="K948" s="77"/>
      <c r="L948" s="89"/>
      <c r="M948" s="77"/>
      <c r="N948" s="77"/>
      <c r="O948" s="77"/>
      <c r="P948" s="77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>
      <c r="A949" s="102" t="str">
        <f t="shared" si="1"/>
        <v/>
      </c>
      <c r="B949" s="94"/>
      <c r="C949" s="95"/>
      <c r="D949" s="96"/>
      <c r="E949" s="97"/>
      <c r="F949" s="109"/>
      <c r="G949" s="99"/>
      <c r="H949" s="102"/>
      <c r="I949" s="95"/>
      <c r="J949" s="93"/>
      <c r="K949" s="102"/>
      <c r="L949" s="101"/>
      <c r="M949" s="102"/>
      <c r="N949" s="102"/>
      <c r="O949" s="102"/>
      <c r="P949" s="102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>
      <c r="A950" s="77" t="str">
        <f t="shared" si="1"/>
        <v/>
      </c>
      <c r="B950" s="78"/>
      <c r="C950" s="82"/>
      <c r="D950" s="83"/>
      <c r="E950" s="84"/>
      <c r="F950" s="114"/>
      <c r="G950" s="86"/>
      <c r="H950" s="77"/>
      <c r="I950" s="82"/>
      <c r="J950" s="87"/>
      <c r="K950" s="77"/>
      <c r="L950" s="89"/>
      <c r="M950" s="77"/>
      <c r="N950" s="77"/>
      <c r="O950" s="77"/>
      <c r="P950" s="77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>
      <c r="A951" s="102" t="str">
        <f t="shared" si="1"/>
        <v/>
      </c>
      <c r="B951" s="94"/>
      <c r="C951" s="95"/>
      <c r="D951" s="96"/>
      <c r="E951" s="97"/>
      <c r="F951" s="109"/>
      <c r="G951" s="99"/>
      <c r="H951" s="102"/>
      <c r="I951" s="95"/>
      <c r="J951" s="93"/>
      <c r="K951" s="102"/>
      <c r="L951" s="101"/>
      <c r="M951" s="102"/>
      <c r="N951" s="102"/>
      <c r="O951" s="102"/>
      <c r="P951" s="102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>
      <c r="A952" s="77" t="str">
        <f t="shared" si="1"/>
        <v/>
      </c>
      <c r="B952" s="78"/>
      <c r="C952" s="82"/>
      <c r="D952" s="83"/>
      <c r="E952" s="84"/>
      <c r="F952" s="114"/>
      <c r="G952" s="86"/>
      <c r="H952" s="77"/>
      <c r="I952" s="82"/>
      <c r="J952" s="87"/>
      <c r="K952" s="77"/>
      <c r="L952" s="89"/>
      <c r="M952" s="77"/>
      <c r="N952" s="77"/>
      <c r="O952" s="77"/>
      <c r="P952" s="77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>
      <c r="A953" s="102" t="str">
        <f t="shared" si="1"/>
        <v/>
      </c>
      <c r="B953" s="94"/>
      <c r="C953" s="95"/>
      <c r="D953" s="96"/>
      <c r="E953" s="97"/>
      <c r="F953" s="109"/>
      <c r="G953" s="99"/>
      <c r="H953" s="102"/>
      <c r="I953" s="95"/>
      <c r="J953" s="93"/>
      <c r="K953" s="102"/>
      <c r="L953" s="101"/>
      <c r="M953" s="102"/>
      <c r="N953" s="102"/>
      <c r="O953" s="102"/>
      <c r="P953" s="102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>
      <c r="A954" s="77" t="str">
        <f t="shared" si="1"/>
        <v/>
      </c>
      <c r="B954" s="78"/>
      <c r="C954" s="82"/>
      <c r="D954" s="83"/>
      <c r="E954" s="84"/>
      <c r="F954" s="114"/>
      <c r="G954" s="86"/>
      <c r="H954" s="77"/>
      <c r="I954" s="82"/>
      <c r="J954" s="87"/>
      <c r="K954" s="77"/>
      <c r="L954" s="89"/>
      <c r="M954" s="77"/>
      <c r="N954" s="77"/>
      <c r="O954" s="77"/>
      <c r="P954" s="77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>
      <c r="A955" s="102" t="str">
        <f t="shared" si="1"/>
        <v/>
      </c>
      <c r="B955" s="94"/>
      <c r="C955" s="95"/>
      <c r="D955" s="96"/>
      <c r="E955" s="97"/>
      <c r="F955" s="109"/>
      <c r="G955" s="99"/>
      <c r="H955" s="102"/>
      <c r="I955" s="95"/>
      <c r="J955" s="93"/>
      <c r="K955" s="102"/>
      <c r="L955" s="101"/>
      <c r="M955" s="102"/>
      <c r="N955" s="102"/>
      <c r="O955" s="102"/>
      <c r="P955" s="102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>
      <c r="A956" s="77" t="str">
        <f t="shared" si="1"/>
        <v/>
      </c>
      <c r="B956" s="78"/>
      <c r="C956" s="82"/>
      <c r="D956" s="83"/>
      <c r="E956" s="84"/>
      <c r="F956" s="114"/>
      <c r="G956" s="86"/>
      <c r="H956" s="77"/>
      <c r="I956" s="82"/>
      <c r="J956" s="87"/>
      <c r="K956" s="77"/>
      <c r="L956" s="89"/>
      <c r="M956" s="77"/>
      <c r="N956" s="77"/>
      <c r="O956" s="77"/>
      <c r="P956" s="77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>
      <c r="A957" s="102" t="str">
        <f t="shared" si="1"/>
        <v/>
      </c>
      <c r="B957" s="94"/>
      <c r="C957" s="95"/>
      <c r="D957" s="96"/>
      <c r="E957" s="97"/>
      <c r="F957" s="109"/>
      <c r="G957" s="99"/>
      <c r="H957" s="102"/>
      <c r="I957" s="95"/>
      <c r="J957" s="93"/>
      <c r="K957" s="102"/>
      <c r="L957" s="101"/>
      <c r="M957" s="102"/>
      <c r="N957" s="102"/>
      <c r="O957" s="102"/>
      <c r="P957" s="102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>
      <c r="A958" s="77" t="str">
        <f t="shared" si="1"/>
        <v/>
      </c>
      <c r="B958" s="78"/>
      <c r="C958" s="82"/>
      <c r="D958" s="83"/>
      <c r="E958" s="84"/>
      <c r="F958" s="114"/>
      <c r="G958" s="86"/>
      <c r="H958" s="77"/>
      <c r="I958" s="82"/>
      <c r="J958" s="87"/>
      <c r="K958" s="77"/>
      <c r="L958" s="89"/>
      <c r="M958" s="77"/>
      <c r="N958" s="77"/>
      <c r="O958" s="77"/>
      <c r="P958" s="77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>
      <c r="A959" s="102" t="str">
        <f t="shared" si="1"/>
        <v/>
      </c>
      <c r="B959" s="94"/>
      <c r="C959" s="95"/>
      <c r="D959" s="96"/>
      <c r="E959" s="97"/>
      <c r="F959" s="109"/>
      <c r="G959" s="99"/>
      <c r="H959" s="102"/>
      <c r="I959" s="95"/>
      <c r="J959" s="93"/>
      <c r="K959" s="102"/>
      <c r="L959" s="101"/>
      <c r="M959" s="102"/>
      <c r="N959" s="102"/>
      <c r="O959" s="102"/>
      <c r="P959" s="102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>
      <c r="A960" s="77" t="str">
        <f t="shared" si="1"/>
        <v/>
      </c>
      <c r="B960" s="78"/>
      <c r="C960" s="82"/>
      <c r="D960" s="83"/>
      <c r="E960" s="84"/>
      <c r="F960" s="114"/>
      <c r="G960" s="86"/>
      <c r="H960" s="77"/>
      <c r="I960" s="82"/>
      <c r="J960" s="87"/>
      <c r="K960" s="77"/>
      <c r="L960" s="89"/>
      <c r="M960" s="77"/>
      <c r="N960" s="77"/>
      <c r="O960" s="77"/>
      <c r="P960" s="77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>
      <c r="A961" s="102" t="str">
        <f t="shared" si="1"/>
        <v/>
      </c>
      <c r="B961" s="94"/>
      <c r="C961" s="95"/>
      <c r="D961" s="96"/>
      <c r="E961" s="97"/>
      <c r="F961" s="109"/>
      <c r="G961" s="99"/>
      <c r="H961" s="102"/>
      <c r="I961" s="95"/>
      <c r="J961" s="93"/>
      <c r="K961" s="102"/>
      <c r="L961" s="101"/>
      <c r="M961" s="102"/>
      <c r="N961" s="102"/>
      <c r="O961" s="102"/>
      <c r="P961" s="102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>
      <c r="A962" s="77" t="str">
        <f t="shared" si="1"/>
        <v/>
      </c>
      <c r="B962" s="78"/>
      <c r="C962" s="82"/>
      <c r="D962" s="83"/>
      <c r="E962" s="84"/>
      <c r="F962" s="114"/>
      <c r="G962" s="86"/>
      <c r="H962" s="77"/>
      <c r="I962" s="82"/>
      <c r="J962" s="87"/>
      <c r="K962" s="77"/>
      <c r="L962" s="89"/>
      <c r="M962" s="77"/>
      <c r="N962" s="77"/>
      <c r="O962" s="77"/>
      <c r="P962" s="77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>
      <c r="A963" s="102" t="str">
        <f t="shared" si="1"/>
        <v/>
      </c>
      <c r="B963" s="94"/>
      <c r="C963" s="95"/>
      <c r="D963" s="96"/>
      <c r="E963" s="97"/>
      <c r="F963" s="109"/>
      <c r="G963" s="99"/>
      <c r="H963" s="102"/>
      <c r="I963" s="95"/>
      <c r="J963" s="93"/>
      <c r="K963" s="102"/>
      <c r="L963" s="101"/>
      <c r="M963" s="102"/>
      <c r="N963" s="102"/>
      <c r="O963" s="102"/>
      <c r="P963" s="102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>
      <c r="A964" s="77" t="str">
        <f t="shared" si="1"/>
        <v/>
      </c>
      <c r="B964" s="78"/>
      <c r="C964" s="82"/>
      <c r="D964" s="83"/>
      <c r="E964" s="84"/>
      <c r="F964" s="114"/>
      <c r="G964" s="86"/>
      <c r="H964" s="77"/>
      <c r="I964" s="82"/>
      <c r="J964" s="87"/>
      <c r="K964" s="77"/>
      <c r="L964" s="89"/>
      <c r="M964" s="77"/>
      <c r="N964" s="77"/>
      <c r="O964" s="77"/>
      <c r="P964" s="77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>
      <c r="A965" s="102" t="str">
        <f t="shared" si="1"/>
        <v/>
      </c>
      <c r="B965" s="94"/>
      <c r="C965" s="95"/>
      <c r="D965" s="96"/>
      <c r="E965" s="97"/>
      <c r="F965" s="109"/>
      <c r="G965" s="99"/>
      <c r="H965" s="102"/>
      <c r="I965" s="95"/>
      <c r="J965" s="93"/>
      <c r="K965" s="102"/>
      <c r="L965" s="101"/>
      <c r="M965" s="102"/>
      <c r="N965" s="102"/>
      <c r="O965" s="102"/>
      <c r="P965" s="102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>
      <c r="A966" s="77" t="str">
        <f t="shared" si="1"/>
        <v/>
      </c>
      <c r="B966" s="78"/>
      <c r="C966" s="82"/>
      <c r="D966" s="83"/>
      <c r="E966" s="84"/>
      <c r="F966" s="114"/>
      <c r="G966" s="86"/>
      <c r="H966" s="77"/>
      <c r="I966" s="82"/>
      <c r="J966" s="87"/>
      <c r="K966" s="77"/>
      <c r="L966" s="89"/>
      <c r="M966" s="77"/>
      <c r="N966" s="77"/>
      <c r="O966" s="77"/>
      <c r="P966" s="77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>
      <c r="A967" s="102" t="str">
        <f t="shared" si="1"/>
        <v/>
      </c>
      <c r="B967" s="94"/>
      <c r="C967" s="95"/>
      <c r="D967" s="96"/>
      <c r="E967" s="97"/>
      <c r="F967" s="109"/>
      <c r="G967" s="99"/>
      <c r="H967" s="102"/>
      <c r="I967" s="95"/>
      <c r="J967" s="93"/>
      <c r="K967" s="102"/>
      <c r="L967" s="101"/>
      <c r="M967" s="102"/>
      <c r="N967" s="102"/>
      <c r="O967" s="102"/>
      <c r="P967" s="102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>
      <c r="A968" s="77" t="str">
        <f t="shared" si="1"/>
        <v/>
      </c>
      <c r="B968" s="78"/>
      <c r="C968" s="82"/>
      <c r="D968" s="83"/>
      <c r="E968" s="84"/>
      <c r="F968" s="114"/>
      <c r="G968" s="86"/>
      <c r="H968" s="77"/>
      <c r="I968" s="82"/>
      <c r="J968" s="87"/>
      <c r="K968" s="77"/>
      <c r="L968" s="89"/>
      <c r="M968" s="77"/>
      <c r="N968" s="77"/>
      <c r="O968" s="77"/>
      <c r="P968" s="77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>
      <c r="A969" s="102" t="str">
        <f t="shared" si="1"/>
        <v/>
      </c>
      <c r="B969" s="94"/>
      <c r="C969" s="95"/>
      <c r="D969" s="96"/>
      <c r="E969" s="97"/>
      <c r="F969" s="109"/>
      <c r="G969" s="99"/>
      <c r="H969" s="102"/>
      <c r="I969" s="95"/>
      <c r="J969" s="93"/>
      <c r="K969" s="102"/>
      <c r="L969" s="101"/>
      <c r="M969" s="102"/>
      <c r="N969" s="102"/>
      <c r="O969" s="102"/>
      <c r="P969" s="102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>
      <c r="A970" s="77" t="str">
        <f t="shared" si="1"/>
        <v/>
      </c>
      <c r="B970" s="78"/>
      <c r="C970" s="82"/>
      <c r="D970" s="83"/>
      <c r="E970" s="84"/>
      <c r="F970" s="114"/>
      <c r="G970" s="86"/>
      <c r="H970" s="77"/>
      <c r="I970" s="82"/>
      <c r="J970" s="87"/>
      <c r="K970" s="77"/>
      <c r="L970" s="89"/>
      <c r="M970" s="77"/>
      <c r="N970" s="77"/>
      <c r="O970" s="77"/>
      <c r="P970" s="77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>
      <c r="A971" s="102" t="str">
        <f t="shared" si="1"/>
        <v/>
      </c>
      <c r="B971" s="94"/>
      <c r="C971" s="95"/>
      <c r="D971" s="96"/>
      <c r="E971" s="97"/>
      <c r="F971" s="109"/>
      <c r="G971" s="99"/>
      <c r="H971" s="102"/>
      <c r="I971" s="95"/>
      <c r="J971" s="93"/>
      <c r="K971" s="102"/>
      <c r="L971" s="101"/>
      <c r="M971" s="102"/>
      <c r="N971" s="102"/>
      <c r="O971" s="102"/>
      <c r="P971" s="102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>
      <c r="A972" s="77" t="str">
        <f t="shared" si="1"/>
        <v/>
      </c>
      <c r="B972" s="78"/>
      <c r="C972" s="82"/>
      <c r="D972" s="83"/>
      <c r="E972" s="84"/>
      <c r="F972" s="114"/>
      <c r="G972" s="86"/>
      <c r="H972" s="77"/>
      <c r="I972" s="82"/>
      <c r="J972" s="87"/>
      <c r="K972" s="77"/>
      <c r="L972" s="89"/>
      <c r="M972" s="77"/>
      <c r="N972" s="77"/>
      <c r="O972" s="77"/>
      <c r="P972" s="77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>
      <c r="A973" s="102" t="str">
        <f t="shared" si="1"/>
        <v/>
      </c>
      <c r="B973" s="94"/>
      <c r="C973" s="95"/>
      <c r="D973" s="96"/>
      <c r="E973" s="97"/>
      <c r="F973" s="109"/>
      <c r="G973" s="99"/>
      <c r="H973" s="102"/>
      <c r="I973" s="95"/>
      <c r="J973" s="93"/>
      <c r="K973" s="102"/>
      <c r="L973" s="101"/>
      <c r="M973" s="102"/>
      <c r="N973" s="102"/>
      <c r="O973" s="102"/>
      <c r="P973" s="102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>
      <c r="A974" s="77" t="str">
        <f t="shared" si="1"/>
        <v/>
      </c>
      <c r="B974" s="78"/>
      <c r="C974" s="82"/>
      <c r="D974" s="83"/>
      <c r="E974" s="84"/>
      <c r="F974" s="114"/>
      <c r="G974" s="86"/>
      <c r="H974" s="77"/>
      <c r="I974" s="82"/>
      <c r="J974" s="87"/>
      <c r="K974" s="77"/>
      <c r="L974" s="89"/>
      <c r="M974" s="77"/>
      <c r="N974" s="77"/>
      <c r="O974" s="77"/>
      <c r="P974" s="77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>
      <c r="A975" s="102" t="str">
        <f t="shared" si="1"/>
        <v/>
      </c>
      <c r="B975" s="94"/>
      <c r="C975" s="95"/>
      <c r="D975" s="96"/>
      <c r="E975" s="97"/>
      <c r="F975" s="109"/>
      <c r="G975" s="99"/>
      <c r="H975" s="102"/>
      <c r="I975" s="95"/>
      <c r="J975" s="93"/>
      <c r="K975" s="102"/>
      <c r="L975" s="101"/>
      <c r="M975" s="102"/>
      <c r="N975" s="102"/>
      <c r="O975" s="102"/>
      <c r="P975" s="102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>
      <c r="A976" s="77" t="str">
        <f t="shared" si="1"/>
        <v/>
      </c>
      <c r="B976" s="78"/>
      <c r="C976" s="82"/>
      <c r="D976" s="83"/>
      <c r="E976" s="84"/>
      <c r="F976" s="114"/>
      <c r="G976" s="86"/>
      <c r="H976" s="77"/>
      <c r="I976" s="82"/>
      <c r="J976" s="87"/>
      <c r="K976" s="77"/>
      <c r="L976" s="89"/>
      <c r="M976" s="77"/>
      <c r="N976" s="77"/>
      <c r="O976" s="77"/>
      <c r="P976" s="77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>
      <c r="A977" s="102" t="str">
        <f t="shared" si="1"/>
        <v/>
      </c>
      <c r="B977" s="94"/>
      <c r="C977" s="95"/>
      <c r="D977" s="96"/>
      <c r="E977" s="97"/>
      <c r="F977" s="109"/>
      <c r="G977" s="99"/>
      <c r="H977" s="102"/>
      <c r="I977" s="95"/>
      <c r="J977" s="93"/>
      <c r="K977" s="102"/>
      <c r="L977" s="101"/>
      <c r="M977" s="102"/>
      <c r="N977" s="102"/>
      <c r="O977" s="102"/>
      <c r="P977" s="102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>
      <c r="A978" s="77" t="str">
        <f t="shared" si="1"/>
        <v/>
      </c>
      <c r="B978" s="78"/>
      <c r="C978" s="82"/>
      <c r="D978" s="83"/>
      <c r="E978" s="84"/>
      <c r="F978" s="114"/>
      <c r="G978" s="86"/>
      <c r="H978" s="77"/>
      <c r="I978" s="82"/>
      <c r="J978" s="87"/>
      <c r="K978" s="77"/>
      <c r="L978" s="89"/>
      <c r="M978" s="77"/>
      <c r="N978" s="77"/>
      <c r="O978" s="77"/>
      <c r="P978" s="77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>
      <c r="A979" s="102" t="str">
        <f t="shared" si="1"/>
        <v/>
      </c>
      <c r="B979" s="94"/>
      <c r="C979" s="95"/>
      <c r="D979" s="96"/>
      <c r="E979" s="97"/>
      <c r="F979" s="109"/>
      <c r="G979" s="99"/>
      <c r="H979" s="102"/>
      <c r="I979" s="95"/>
      <c r="J979" s="93"/>
      <c r="K979" s="102"/>
      <c r="L979" s="101"/>
      <c r="M979" s="102"/>
      <c r="N979" s="102"/>
      <c r="O979" s="102"/>
      <c r="P979" s="102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>
      <c r="A980" s="77" t="str">
        <f t="shared" si="1"/>
        <v/>
      </c>
      <c r="B980" s="78"/>
      <c r="C980" s="82"/>
      <c r="D980" s="83"/>
      <c r="E980" s="84"/>
      <c r="F980" s="114"/>
      <c r="G980" s="86"/>
      <c r="H980" s="77"/>
      <c r="I980" s="82"/>
      <c r="J980" s="87"/>
      <c r="K980" s="77"/>
      <c r="L980" s="89"/>
      <c r="M980" s="77"/>
      <c r="N980" s="77"/>
      <c r="O980" s="77"/>
      <c r="P980" s="77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>
      <c r="A981" s="102" t="str">
        <f t="shared" si="1"/>
        <v/>
      </c>
      <c r="B981" s="94"/>
      <c r="C981" s="95"/>
      <c r="D981" s="96"/>
      <c r="E981" s="97"/>
      <c r="F981" s="109"/>
      <c r="G981" s="99"/>
      <c r="H981" s="102"/>
      <c r="I981" s="95"/>
      <c r="J981" s="93"/>
      <c r="K981" s="102"/>
      <c r="L981" s="101"/>
      <c r="M981" s="102"/>
      <c r="N981" s="102"/>
      <c r="O981" s="102"/>
      <c r="P981" s="102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>
      <c r="A982" s="77" t="str">
        <f t="shared" si="1"/>
        <v/>
      </c>
      <c r="B982" s="78"/>
      <c r="C982" s="82"/>
      <c r="D982" s="83"/>
      <c r="E982" s="84"/>
      <c r="F982" s="114"/>
      <c r="G982" s="86"/>
      <c r="H982" s="77"/>
      <c r="I982" s="82"/>
      <c r="J982" s="87"/>
      <c r="K982" s="77"/>
      <c r="L982" s="89"/>
      <c r="M982" s="77"/>
      <c r="N982" s="77"/>
      <c r="O982" s="77"/>
      <c r="P982" s="77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>
      <c r="A983" s="102" t="str">
        <f t="shared" si="1"/>
        <v/>
      </c>
      <c r="B983" s="94"/>
      <c r="C983" s="95"/>
      <c r="D983" s="96"/>
      <c r="E983" s="97"/>
      <c r="F983" s="109"/>
      <c r="G983" s="99"/>
      <c r="H983" s="102"/>
      <c r="I983" s="95"/>
      <c r="J983" s="93"/>
      <c r="K983" s="102"/>
      <c r="L983" s="101"/>
      <c r="M983" s="102"/>
      <c r="N983" s="102"/>
      <c r="O983" s="102"/>
      <c r="P983" s="102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>
      <c r="A984" s="77" t="str">
        <f t="shared" si="1"/>
        <v/>
      </c>
      <c r="B984" s="78"/>
      <c r="C984" s="82"/>
      <c r="D984" s="83"/>
      <c r="E984" s="84"/>
      <c r="F984" s="114"/>
      <c r="G984" s="86"/>
      <c r="H984" s="77"/>
      <c r="I984" s="82"/>
      <c r="J984" s="87"/>
      <c r="K984" s="77"/>
      <c r="L984" s="89"/>
      <c r="M984" s="77"/>
      <c r="N984" s="77"/>
      <c r="O984" s="77"/>
      <c r="P984" s="77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>
      <c r="A985" s="102" t="str">
        <f t="shared" si="1"/>
        <v/>
      </c>
      <c r="B985" s="94"/>
      <c r="C985" s="95"/>
      <c r="D985" s="96"/>
      <c r="E985" s="97"/>
      <c r="F985" s="109"/>
      <c r="G985" s="99"/>
      <c r="H985" s="102"/>
      <c r="I985" s="95"/>
      <c r="J985" s="93"/>
      <c r="K985" s="102"/>
      <c r="L985" s="101"/>
      <c r="M985" s="102"/>
      <c r="N985" s="102"/>
      <c r="O985" s="102"/>
      <c r="P985" s="102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>
      <c r="A986" s="77" t="str">
        <f t="shared" si="1"/>
        <v/>
      </c>
      <c r="B986" s="78"/>
      <c r="C986" s="82"/>
      <c r="D986" s="83"/>
      <c r="E986" s="84"/>
      <c r="F986" s="114"/>
      <c r="G986" s="86"/>
      <c r="H986" s="77"/>
      <c r="I986" s="82"/>
      <c r="J986" s="87"/>
      <c r="K986" s="77"/>
      <c r="L986" s="89"/>
      <c r="M986" s="77"/>
      <c r="N986" s="77"/>
      <c r="O986" s="77"/>
      <c r="P986" s="77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>
      <c r="A987" s="102" t="str">
        <f t="shared" si="1"/>
        <v/>
      </c>
      <c r="B987" s="94"/>
      <c r="C987" s="95"/>
      <c r="D987" s="96"/>
      <c r="E987" s="97"/>
      <c r="F987" s="109"/>
      <c r="G987" s="99"/>
      <c r="H987" s="102"/>
      <c r="I987" s="95"/>
      <c r="J987" s="93"/>
      <c r="K987" s="102"/>
      <c r="L987" s="101"/>
      <c r="M987" s="102"/>
      <c r="N987" s="102"/>
      <c r="O987" s="102"/>
      <c r="P987" s="102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>
      <c r="A988" s="77" t="str">
        <f t="shared" si="1"/>
        <v/>
      </c>
      <c r="B988" s="78"/>
      <c r="C988" s="82"/>
      <c r="D988" s="83"/>
      <c r="E988" s="84"/>
      <c r="F988" s="114"/>
      <c r="G988" s="86"/>
      <c r="H988" s="77"/>
      <c r="I988" s="82"/>
      <c r="J988" s="87"/>
      <c r="K988" s="77"/>
      <c r="L988" s="89"/>
      <c r="M988" s="77"/>
      <c r="N988" s="77"/>
      <c r="O988" s="77"/>
      <c r="P988" s="77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>
      <c r="A989" s="102" t="str">
        <f t="shared" si="1"/>
        <v/>
      </c>
      <c r="B989" s="94"/>
      <c r="C989" s="95"/>
      <c r="D989" s="96"/>
      <c r="E989" s="97"/>
      <c r="F989" s="109"/>
      <c r="G989" s="99"/>
      <c r="H989" s="102"/>
      <c r="I989" s="95"/>
      <c r="J989" s="93"/>
      <c r="K989" s="102"/>
      <c r="L989" s="101"/>
      <c r="M989" s="102"/>
      <c r="N989" s="102"/>
      <c r="O989" s="102"/>
      <c r="P989" s="102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>
      <c r="A990" s="77" t="str">
        <f t="shared" si="1"/>
        <v/>
      </c>
      <c r="B990" s="78"/>
      <c r="C990" s="82"/>
      <c r="D990" s="83"/>
      <c r="E990" s="84"/>
      <c r="F990" s="114"/>
      <c r="G990" s="86"/>
      <c r="H990" s="77"/>
      <c r="I990" s="82"/>
      <c r="J990" s="87"/>
      <c r="K990" s="77"/>
      <c r="L990" s="89"/>
      <c r="M990" s="77"/>
      <c r="N990" s="77"/>
      <c r="O990" s="77"/>
      <c r="P990" s="77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>
      <c r="A991" s="102" t="str">
        <f t="shared" si="1"/>
        <v/>
      </c>
      <c r="B991" s="94"/>
      <c r="C991" s="95"/>
      <c r="D991" s="96"/>
      <c r="E991" s="97"/>
      <c r="F991" s="109"/>
      <c r="G991" s="99"/>
      <c r="H991" s="102"/>
      <c r="I991" s="95"/>
      <c r="J991" s="93"/>
      <c r="K991" s="102"/>
      <c r="L991" s="101"/>
      <c r="M991" s="102"/>
      <c r="N991" s="102"/>
      <c r="O991" s="102"/>
      <c r="P991" s="102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>
      <c r="A992" s="77" t="str">
        <f t="shared" si="1"/>
        <v/>
      </c>
      <c r="B992" s="78"/>
      <c r="C992" s="82"/>
      <c r="D992" s="83"/>
      <c r="E992" s="84"/>
      <c r="F992" s="114"/>
      <c r="G992" s="86"/>
      <c r="H992" s="77"/>
      <c r="I992" s="82"/>
      <c r="J992" s="87"/>
      <c r="K992" s="77"/>
      <c r="L992" s="89"/>
      <c r="M992" s="77"/>
      <c r="N992" s="77"/>
      <c r="O992" s="77"/>
      <c r="P992" s="77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>
      <c r="A993" s="102" t="str">
        <f t="shared" si="1"/>
        <v/>
      </c>
      <c r="B993" s="94"/>
      <c r="C993" s="95"/>
      <c r="D993" s="96"/>
      <c r="E993" s="97"/>
      <c r="F993" s="109"/>
      <c r="G993" s="99"/>
      <c r="H993" s="102"/>
      <c r="I993" s="95"/>
      <c r="J993" s="93"/>
      <c r="K993" s="102"/>
      <c r="L993" s="101"/>
      <c r="M993" s="102"/>
      <c r="N993" s="102"/>
      <c r="O993" s="102"/>
      <c r="P993" s="102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>
      <c r="A994" s="77" t="str">
        <f t="shared" si="1"/>
        <v/>
      </c>
      <c r="B994" s="78"/>
      <c r="C994" s="82"/>
      <c r="D994" s="83"/>
      <c r="E994" s="84"/>
      <c r="F994" s="114"/>
      <c r="G994" s="86"/>
      <c r="H994" s="77"/>
      <c r="I994" s="82"/>
      <c r="J994" s="87"/>
      <c r="K994" s="77"/>
      <c r="L994" s="89"/>
      <c r="M994" s="77"/>
      <c r="N994" s="77"/>
      <c r="O994" s="77"/>
      <c r="P994" s="77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>
      <c r="A995" s="102" t="str">
        <f t="shared" si="1"/>
        <v/>
      </c>
      <c r="B995" s="94"/>
      <c r="C995" s="95"/>
      <c r="D995" s="96"/>
      <c r="E995" s="97"/>
      <c r="F995" s="109"/>
      <c r="G995" s="99"/>
      <c r="H995" s="102"/>
      <c r="I995" s="95"/>
      <c r="J995" s="93"/>
      <c r="K995" s="102"/>
      <c r="L995" s="101"/>
      <c r="M995" s="102"/>
      <c r="N995" s="102"/>
      <c r="O995" s="102"/>
      <c r="P995" s="102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>
      <c r="A996" s="77" t="str">
        <f t="shared" si="1"/>
        <v/>
      </c>
      <c r="B996" s="78"/>
      <c r="C996" s="82"/>
      <c r="D996" s="83"/>
      <c r="E996" s="84"/>
      <c r="F996" s="114"/>
      <c r="G996" s="86"/>
      <c r="H996" s="77"/>
      <c r="I996" s="82"/>
      <c r="J996" s="87"/>
      <c r="K996" s="77"/>
      <c r="L996" s="89"/>
      <c r="M996" s="77"/>
      <c r="N996" s="77"/>
      <c r="O996" s="77"/>
      <c r="P996" s="77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>
      <c r="A997" s="102" t="str">
        <f t="shared" si="1"/>
        <v/>
      </c>
      <c r="B997" s="94"/>
      <c r="C997" s="95"/>
      <c r="D997" s="96"/>
      <c r="E997" s="97"/>
      <c r="F997" s="109"/>
      <c r="G997" s="99"/>
      <c r="H997" s="102"/>
      <c r="I997" s="95"/>
      <c r="J997" s="93"/>
      <c r="K997" s="102"/>
      <c r="L997" s="101"/>
      <c r="M997" s="102"/>
      <c r="N997" s="102"/>
      <c r="O997" s="102"/>
      <c r="P997" s="102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>
      <c r="A998" s="77" t="str">
        <f t="shared" si="1"/>
        <v/>
      </c>
      <c r="B998" s="78"/>
      <c r="C998" s="82"/>
      <c r="D998" s="83"/>
      <c r="E998" s="84"/>
      <c r="F998" s="114"/>
      <c r="G998" s="86"/>
      <c r="H998" s="77"/>
      <c r="I998" s="82"/>
      <c r="J998" s="87"/>
      <c r="K998" s="77"/>
      <c r="L998" s="89"/>
      <c r="M998" s="77"/>
      <c r="N998" s="77"/>
      <c r="O998" s="77"/>
      <c r="P998" s="77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>
      <c r="A999" s="102" t="str">
        <f t="shared" si="1"/>
        <v/>
      </c>
      <c r="B999" s="94"/>
      <c r="C999" s="95"/>
      <c r="D999" s="96"/>
      <c r="E999" s="97"/>
      <c r="F999" s="109"/>
      <c r="G999" s="99"/>
      <c r="H999" s="102"/>
      <c r="I999" s="95"/>
      <c r="J999" s="93"/>
      <c r="K999" s="102"/>
      <c r="L999" s="101"/>
      <c r="M999" s="102"/>
      <c r="N999" s="102"/>
      <c r="O999" s="102"/>
      <c r="P999" s="102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>
      <c r="A1000" s="77" t="str">
        <f t="shared" si="1"/>
        <v/>
      </c>
      <c r="B1000" s="78"/>
      <c r="C1000" s="82"/>
      <c r="D1000" s="83"/>
      <c r="E1000" s="84"/>
      <c r="F1000" s="114"/>
      <c r="G1000" s="86"/>
      <c r="H1000" s="77"/>
      <c r="I1000" s="82"/>
      <c r="J1000" s="87"/>
      <c r="K1000" s="77"/>
      <c r="L1000" s="89"/>
      <c r="M1000" s="77"/>
      <c r="N1000" s="77"/>
      <c r="O1000" s="77"/>
      <c r="P1000" s="77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>
      <c r="A1001" s="102" t="str">
        <f t="shared" si="1"/>
        <v/>
      </c>
      <c r="B1001" s="94"/>
      <c r="C1001" s="95"/>
      <c r="D1001" s="96"/>
      <c r="E1001" s="97"/>
      <c r="F1001" s="109"/>
      <c r="G1001" s="99"/>
      <c r="H1001" s="102"/>
      <c r="I1001" s="95"/>
      <c r="J1001" s="93"/>
      <c r="K1001" s="102"/>
      <c r="L1001" s="101"/>
      <c r="M1001" s="102"/>
      <c r="N1001" s="102"/>
      <c r="O1001" s="102"/>
      <c r="P1001" s="102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  <row r="1002">
      <c r="A1002" s="77" t="str">
        <f t="shared" si="1"/>
        <v/>
      </c>
      <c r="B1002" s="78"/>
      <c r="C1002" s="82"/>
      <c r="D1002" s="83"/>
      <c r="E1002" s="84"/>
      <c r="F1002" s="114"/>
      <c r="G1002" s="86"/>
      <c r="H1002" s="77"/>
      <c r="I1002" s="82"/>
      <c r="J1002" s="87"/>
      <c r="K1002" s="77"/>
      <c r="L1002" s="89"/>
      <c r="M1002" s="77"/>
      <c r="N1002" s="77"/>
      <c r="O1002" s="77"/>
      <c r="P1002" s="77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</row>
    <row r="1003">
      <c r="A1003" s="102" t="str">
        <f t="shared" si="1"/>
        <v/>
      </c>
      <c r="B1003" s="94"/>
      <c r="C1003" s="95"/>
      <c r="D1003" s="96"/>
      <c r="E1003" s="97"/>
      <c r="F1003" s="109"/>
      <c r="G1003" s="99"/>
      <c r="H1003" s="102"/>
      <c r="I1003" s="95"/>
      <c r="J1003" s="93"/>
      <c r="K1003" s="102"/>
      <c r="L1003" s="101"/>
      <c r="M1003" s="102"/>
      <c r="N1003" s="102"/>
      <c r="O1003" s="102"/>
      <c r="P1003" s="102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</row>
    <row r="1004">
      <c r="A1004" s="77" t="str">
        <f t="shared" si="1"/>
        <v/>
      </c>
      <c r="B1004" s="78"/>
      <c r="C1004" s="82"/>
      <c r="D1004" s="83"/>
      <c r="E1004" s="84"/>
      <c r="F1004" s="114"/>
      <c r="G1004" s="86"/>
      <c r="H1004" s="77"/>
      <c r="I1004" s="82"/>
      <c r="J1004" s="87"/>
      <c r="K1004" s="77"/>
      <c r="L1004" s="89"/>
      <c r="M1004" s="77"/>
      <c r="N1004" s="77"/>
      <c r="O1004" s="77"/>
      <c r="P1004" s="77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</row>
    <row r="1005">
      <c r="A1005" s="102" t="str">
        <f t="shared" si="1"/>
        <v/>
      </c>
      <c r="B1005" s="94"/>
      <c r="C1005" s="95"/>
      <c r="D1005" s="96"/>
      <c r="E1005" s="97"/>
      <c r="F1005" s="109"/>
      <c r="G1005" s="99"/>
      <c r="H1005" s="102"/>
      <c r="I1005" s="95"/>
      <c r="J1005" s="93"/>
      <c r="K1005" s="102"/>
      <c r="L1005" s="101"/>
      <c r="M1005" s="102"/>
      <c r="N1005" s="102"/>
      <c r="O1005" s="102"/>
      <c r="P1005" s="102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</row>
    <row r="1006">
      <c r="A1006" s="77" t="str">
        <f t="shared" si="1"/>
        <v/>
      </c>
      <c r="B1006" s="78"/>
      <c r="C1006" s="82"/>
      <c r="D1006" s="83"/>
      <c r="E1006" s="84"/>
      <c r="F1006" s="114"/>
      <c r="G1006" s="86"/>
      <c r="H1006" s="77"/>
      <c r="I1006" s="82"/>
      <c r="J1006" s="87"/>
      <c r="K1006" s="77"/>
      <c r="L1006" s="89"/>
      <c r="M1006" s="77"/>
      <c r="N1006" s="77"/>
      <c r="O1006" s="77"/>
      <c r="P1006" s="77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</row>
    <row r="1007">
      <c r="A1007" s="102" t="str">
        <f t="shared" si="1"/>
        <v/>
      </c>
      <c r="B1007" s="94"/>
      <c r="C1007" s="95"/>
      <c r="D1007" s="96"/>
      <c r="E1007" s="97"/>
      <c r="F1007" s="109"/>
      <c r="G1007" s="99"/>
      <c r="H1007" s="102"/>
      <c r="I1007" s="95"/>
      <c r="J1007" s="93"/>
      <c r="K1007" s="102"/>
      <c r="L1007" s="101"/>
      <c r="M1007" s="102"/>
      <c r="N1007" s="102"/>
      <c r="O1007" s="102"/>
      <c r="P1007" s="102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</row>
    <row r="1008">
      <c r="A1008" s="77" t="str">
        <f t="shared" si="1"/>
        <v/>
      </c>
      <c r="B1008" s="78"/>
      <c r="C1008" s="82"/>
      <c r="D1008" s="83"/>
      <c r="E1008" s="84"/>
      <c r="F1008" s="114"/>
      <c r="G1008" s="86"/>
      <c r="H1008" s="77"/>
      <c r="I1008" s="82"/>
      <c r="J1008" s="87"/>
      <c r="K1008" s="77"/>
      <c r="L1008" s="89"/>
      <c r="M1008" s="77"/>
      <c r="N1008" s="77"/>
      <c r="O1008" s="77"/>
      <c r="P1008" s="77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</row>
    <row r="1009">
      <c r="A1009" s="102" t="str">
        <f t="shared" si="1"/>
        <v/>
      </c>
      <c r="B1009" s="94"/>
      <c r="C1009" s="95"/>
      <c r="D1009" s="96"/>
      <c r="E1009" s="97"/>
      <c r="F1009" s="109"/>
      <c r="G1009" s="99"/>
      <c r="H1009" s="102"/>
      <c r="I1009" s="95"/>
      <c r="J1009" s="93"/>
      <c r="K1009" s="102"/>
      <c r="L1009" s="101"/>
      <c r="M1009" s="102"/>
      <c r="N1009" s="102"/>
      <c r="O1009" s="102"/>
      <c r="P1009" s="102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</row>
    <row r="1010">
      <c r="A1010" s="77" t="str">
        <f t="shared" si="1"/>
        <v/>
      </c>
      <c r="B1010" s="78"/>
      <c r="C1010" s="82"/>
      <c r="D1010" s="83"/>
      <c r="E1010" s="84"/>
      <c r="F1010" s="114"/>
      <c r="G1010" s="86"/>
      <c r="H1010" s="77"/>
      <c r="I1010" s="82"/>
      <c r="J1010" s="87"/>
      <c r="K1010" s="77"/>
      <c r="L1010" s="89"/>
      <c r="M1010" s="77"/>
      <c r="N1010" s="77"/>
      <c r="O1010" s="77"/>
      <c r="P1010" s="77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</row>
    <row r="1011">
      <c r="A1011" s="102" t="str">
        <f t="shared" si="1"/>
        <v/>
      </c>
      <c r="B1011" s="94"/>
      <c r="C1011" s="95"/>
      <c r="D1011" s="96"/>
      <c r="E1011" s="97"/>
      <c r="F1011" s="109"/>
      <c r="G1011" s="99"/>
      <c r="H1011" s="102"/>
      <c r="I1011" s="95"/>
      <c r="J1011" s="93"/>
      <c r="K1011" s="102"/>
      <c r="L1011" s="101"/>
      <c r="M1011" s="102"/>
      <c r="N1011" s="102"/>
      <c r="O1011" s="102"/>
      <c r="P1011" s="102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</row>
    <row r="1012">
      <c r="A1012" s="77" t="str">
        <f t="shared" si="1"/>
        <v/>
      </c>
      <c r="B1012" s="78"/>
      <c r="C1012" s="82"/>
      <c r="D1012" s="83"/>
      <c r="E1012" s="84"/>
      <c r="F1012" s="114"/>
      <c r="G1012" s="86"/>
      <c r="H1012" s="77"/>
      <c r="I1012" s="82"/>
      <c r="J1012" s="87"/>
      <c r="K1012" s="77"/>
      <c r="L1012" s="89"/>
      <c r="M1012" s="77"/>
      <c r="N1012" s="77"/>
      <c r="O1012" s="77"/>
      <c r="P1012" s="77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</row>
    <row r="1013">
      <c r="A1013" s="102" t="str">
        <f t="shared" si="1"/>
        <v/>
      </c>
      <c r="B1013" s="94"/>
      <c r="C1013" s="95"/>
      <c r="D1013" s="96"/>
      <c r="E1013" s="97"/>
      <c r="F1013" s="109"/>
      <c r="G1013" s="99"/>
      <c r="H1013" s="102"/>
      <c r="I1013" s="95"/>
      <c r="J1013" s="93"/>
      <c r="K1013" s="102"/>
      <c r="L1013" s="101"/>
      <c r="M1013" s="102"/>
      <c r="N1013" s="102"/>
      <c r="O1013" s="102"/>
      <c r="P1013" s="102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</row>
    <row r="1014">
      <c r="A1014" s="77" t="str">
        <f t="shared" si="1"/>
        <v/>
      </c>
      <c r="B1014" s="78"/>
      <c r="C1014" s="82"/>
      <c r="D1014" s="83"/>
      <c r="E1014" s="84"/>
      <c r="F1014" s="114"/>
      <c r="G1014" s="86"/>
      <c r="H1014" s="77"/>
      <c r="I1014" s="82"/>
      <c r="J1014" s="87"/>
      <c r="K1014" s="77"/>
      <c r="L1014" s="89"/>
      <c r="M1014" s="77"/>
      <c r="N1014" s="77"/>
      <c r="O1014" s="77"/>
      <c r="P1014" s="77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</row>
    <row r="1015">
      <c r="A1015" s="102" t="str">
        <f t="shared" si="1"/>
        <v/>
      </c>
      <c r="B1015" s="94"/>
      <c r="C1015" s="95"/>
      <c r="D1015" s="96"/>
      <c r="E1015" s="97"/>
      <c r="F1015" s="109"/>
      <c r="G1015" s="99"/>
      <c r="H1015" s="102"/>
      <c r="I1015" s="95"/>
      <c r="J1015" s="93"/>
      <c r="K1015" s="102"/>
      <c r="L1015" s="101"/>
      <c r="M1015" s="102"/>
      <c r="N1015" s="102"/>
      <c r="O1015" s="102"/>
      <c r="P1015" s="102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</row>
    <row r="1016">
      <c r="A1016" s="77" t="str">
        <f t="shared" si="1"/>
        <v/>
      </c>
      <c r="B1016" s="78"/>
      <c r="C1016" s="82"/>
      <c r="D1016" s="83"/>
      <c r="E1016" s="84"/>
      <c r="F1016" s="114"/>
      <c r="G1016" s="86"/>
      <c r="H1016" s="77"/>
      <c r="I1016" s="82"/>
      <c r="J1016" s="87"/>
      <c r="K1016" s="77"/>
      <c r="L1016" s="89"/>
      <c r="M1016" s="77"/>
      <c r="N1016" s="77"/>
      <c r="O1016" s="77"/>
      <c r="P1016" s="77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</row>
    <row r="1017">
      <c r="A1017" s="102" t="str">
        <f t="shared" si="1"/>
        <v/>
      </c>
      <c r="B1017" s="94"/>
      <c r="C1017" s="95"/>
      <c r="D1017" s="96"/>
      <c r="E1017" s="97"/>
      <c r="F1017" s="109"/>
      <c r="G1017" s="99"/>
      <c r="H1017" s="102"/>
      <c r="I1017" s="95"/>
      <c r="J1017" s="93"/>
      <c r="K1017" s="102"/>
      <c r="L1017" s="101"/>
      <c r="M1017" s="102"/>
      <c r="N1017" s="102"/>
      <c r="O1017" s="102"/>
      <c r="P1017" s="102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</row>
    <row r="1018">
      <c r="A1018" s="77" t="str">
        <f t="shared" si="1"/>
        <v/>
      </c>
      <c r="B1018" s="78"/>
      <c r="C1018" s="82"/>
      <c r="D1018" s="83"/>
      <c r="E1018" s="84"/>
      <c r="F1018" s="114"/>
      <c r="G1018" s="86"/>
      <c r="H1018" s="77"/>
      <c r="I1018" s="82"/>
      <c r="J1018" s="87"/>
      <c r="K1018" s="77"/>
      <c r="L1018" s="89"/>
      <c r="M1018" s="77"/>
      <c r="N1018" s="77"/>
      <c r="O1018" s="77"/>
      <c r="P1018" s="77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</row>
    <row r="1019">
      <c r="A1019" s="102" t="str">
        <f t="shared" si="1"/>
        <v/>
      </c>
      <c r="B1019" s="94"/>
      <c r="C1019" s="95"/>
      <c r="D1019" s="96"/>
      <c r="E1019" s="97"/>
      <c r="F1019" s="109"/>
      <c r="G1019" s="99"/>
      <c r="H1019" s="102"/>
      <c r="I1019" s="95"/>
      <c r="J1019" s="93"/>
      <c r="K1019" s="102"/>
      <c r="L1019" s="101"/>
      <c r="M1019" s="102"/>
      <c r="N1019" s="102"/>
      <c r="O1019" s="102"/>
      <c r="P1019" s="102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</row>
    <row r="1020">
      <c r="A1020" s="77" t="str">
        <f t="shared" si="1"/>
        <v/>
      </c>
      <c r="B1020" s="78"/>
      <c r="C1020" s="82"/>
      <c r="D1020" s="83"/>
      <c r="E1020" s="84"/>
      <c r="F1020" s="114"/>
      <c r="G1020" s="86"/>
      <c r="H1020" s="77"/>
      <c r="I1020" s="82"/>
      <c r="J1020" s="87"/>
      <c r="K1020" s="77"/>
      <c r="L1020" s="89"/>
      <c r="M1020" s="77"/>
      <c r="N1020" s="77"/>
      <c r="O1020" s="77"/>
      <c r="P1020" s="77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</row>
    <row r="1021">
      <c r="A1021" s="102" t="str">
        <f t="shared" si="1"/>
        <v/>
      </c>
      <c r="B1021" s="94"/>
      <c r="C1021" s="95"/>
      <c r="D1021" s="96"/>
      <c r="E1021" s="97"/>
      <c r="F1021" s="109"/>
      <c r="G1021" s="99"/>
      <c r="H1021" s="102"/>
      <c r="I1021" s="95"/>
      <c r="J1021" s="93"/>
      <c r="K1021" s="102"/>
      <c r="L1021" s="101"/>
      <c r="M1021" s="102"/>
      <c r="N1021" s="102"/>
      <c r="O1021" s="102"/>
      <c r="P1021" s="102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</row>
    <row r="1022">
      <c r="A1022" s="77" t="str">
        <f t="shared" si="1"/>
        <v/>
      </c>
      <c r="B1022" s="78"/>
      <c r="C1022" s="82"/>
      <c r="D1022" s="83"/>
      <c r="E1022" s="84"/>
      <c r="F1022" s="114"/>
      <c r="G1022" s="86"/>
      <c r="H1022" s="77"/>
      <c r="I1022" s="82"/>
      <c r="J1022" s="87"/>
      <c r="K1022" s="77"/>
      <c r="L1022" s="89"/>
      <c r="M1022" s="77"/>
      <c r="N1022" s="77"/>
      <c r="O1022" s="77"/>
      <c r="P1022" s="77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</row>
    <row r="1023">
      <c r="A1023" s="102" t="str">
        <f t="shared" si="1"/>
        <v/>
      </c>
      <c r="B1023" s="94"/>
      <c r="C1023" s="95"/>
      <c r="D1023" s="96"/>
      <c r="E1023" s="97"/>
      <c r="F1023" s="109"/>
      <c r="G1023" s="99"/>
      <c r="H1023" s="102"/>
      <c r="I1023" s="95"/>
      <c r="J1023" s="93"/>
      <c r="K1023" s="102"/>
      <c r="L1023" s="101"/>
      <c r="M1023" s="102"/>
      <c r="N1023" s="102"/>
      <c r="O1023" s="102"/>
      <c r="P1023" s="102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</row>
    <row r="1024">
      <c r="A1024" s="77" t="str">
        <f t="shared" si="1"/>
        <v/>
      </c>
      <c r="B1024" s="78"/>
      <c r="C1024" s="82"/>
      <c r="D1024" s="83"/>
      <c r="E1024" s="84"/>
      <c r="F1024" s="114"/>
      <c r="G1024" s="86"/>
      <c r="H1024" s="77"/>
      <c r="I1024" s="82"/>
      <c r="J1024" s="87"/>
      <c r="K1024" s="77"/>
      <c r="L1024" s="89"/>
      <c r="M1024" s="77"/>
      <c r="N1024" s="77"/>
      <c r="O1024" s="77"/>
      <c r="P1024" s="77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</row>
    <row r="1025">
      <c r="A1025" s="102" t="str">
        <f t="shared" si="1"/>
        <v/>
      </c>
      <c r="B1025" s="94"/>
      <c r="C1025" s="95"/>
      <c r="D1025" s="96"/>
      <c r="E1025" s="97"/>
      <c r="F1025" s="109"/>
      <c r="G1025" s="99"/>
      <c r="H1025" s="102"/>
      <c r="I1025" s="95"/>
      <c r="J1025" s="93"/>
      <c r="K1025" s="102"/>
      <c r="L1025" s="101"/>
      <c r="M1025" s="102"/>
      <c r="N1025" s="102"/>
      <c r="O1025" s="102"/>
      <c r="P1025" s="102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</row>
    <row r="1026">
      <c r="A1026" s="77" t="str">
        <f t="shared" si="1"/>
        <v/>
      </c>
      <c r="B1026" s="78"/>
      <c r="C1026" s="82"/>
      <c r="D1026" s="83"/>
      <c r="E1026" s="84"/>
      <c r="F1026" s="114"/>
      <c r="G1026" s="86"/>
      <c r="H1026" s="77"/>
      <c r="I1026" s="82"/>
      <c r="J1026" s="87"/>
      <c r="K1026" s="77"/>
      <c r="L1026" s="89"/>
      <c r="M1026" s="77"/>
      <c r="N1026" s="77"/>
      <c r="O1026" s="77"/>
      <c r="P1026" s="77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</row>
    <row r="1027">
      <c r="A1027" s="102" t="str">
        <f t="shared" si="1"/>
        <v/>
      </c>
      <c r="B1027" s="94"/>
      <c r="C1027" s="95"/>
      <c r="D1027" s="96"/>
      <c r="E1027" s="97"/>
      <c r="F1027" s="109"/>
      <c r="G1027" s="99"/>
      <c r="H1027" s="102"/>
      <c r="I1027" s="95"/>
      <c r="J1027" s="93"/>
      <c r="K1027" s="102"/>
      <c r="L1027" s="101"/>
      <c r="M1027" s="102"/>
      <c r="N1027" s="102"/>
      <c r="O1027" s="102"/>
      <c r="P1027" s="102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</row>
    <row r="1028">
      <c r="A1028" s="77" t="str">
        <f t="shared" si="1"/>
        <v/>
      </c>
      <c r="B1028" s="78"/>
      <c r="C1028" s="82"/>
      <c r="D1028" s="83"/>
      <c r="E1028" s="84"/>
      <c r="F1028" s="114"/>
      <c r="G1028" s="86"/>
      <c r="H1028" s="77"/>
      <c r="I1028" s="82"/>
      <c r="J1028" s="87"/>
      <c r="K1028" s="77"/>
      <c r="L1028" s="89"/>
      <c r="M1028" s="77"/>
      <c r="N1028" s="77"/>
      <c r="O1028" s="77"/>
      <c r="P1028" s="77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</row>
    <row r="1029">
      <c r="A1029" s="102" t="str">
        <f t="shared" si="1"/>
        <v/>
      </c>
      <c r="B1029" s="94"/>
      <c r="C1029" s="95"/>
      <c r="D1029" s="96"/>
      <c r="E1029" s="97"/>
      <c r="F1029" s="109"/>
      <c r="G1029" s="99"/>
      <c r="H1029" s="102"/>
      <c r="I1029" s="95"/>
      <c r="J1029" s="93"/>
      <c r="K1029" s="102"/>
      <c r="L1029" s="101"/>
      <c r="M1029" s="102"/>
      <c r="N1029" s="102"/>
      <c r="O1029" s="102"/>
      <c r="P1029" s="102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</row>
    <row r="1030">
      <c r="A1030" s="77" t="str">
        <f t="shared" si="1"/>
        <v/>
      </c>
      <c r="B1030" s="78"/>
      <c r="C1030" s="82"/>
      <c r="D1030" s="83"/>
      <c r="E1030" s="84"/>
      <c r="F1030" s="114"/>
      <c r="G1030" s="86"/>
      <c r="H1030" s="77"/>
      <c r="I1030" s="82"/>
      <c r="J1030" s="87"/>
      <c r="K1030" s="77"/>
      <c r="L1030" s="89"/>
      <c r="M1030" s="77"/>
      <c r="N1030" s="77"/>
      <c r="O1030" s="77"/>
      <c r="P1030" s="77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</row>
    <row r="1031">
      <c r="A1031" s="102" t="str">
        <f t="shared" si="1"/>
        <v/>
      </c>
      <c r="B1031" s="94"/>
      <c r="C1031" s="95"/>
      <c r="D1031" s="96"/>
      <c r="E1031" s="97"/>
      <c r="F1031" s="109"/>
      <c r="G1031" s="99"/>
      <c r="H1031" s="102"/>
      <c r="I1031" s="95"/>
      <c r="J1031" s="93"/>
      <c r="K1031" s="102"/>
      <c r="L1031" s="101"/>
      <c r="M1031" s="102"/>
      <c r="N1031" s="102"/>
      <c r="O1031" s="102"/>
      <c r="P1031" s="102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</row>
    <row r="1032">
      <c r="A1032" s="77" t="str">
        <f t="shared" si="1"/>
        <v/>
      </c>
      <c r="B1032" s="78"/>
      <c r="C1032" s="82"/>
      <c r="D1032" s="83"/>
      <c r="E1032" s="84"/>
      <c r="F1032" s="114"/>
      <c r="G1032" s="86"/>
      <c r="H1032" s="77"/>
      <c r="I1032" s="82"/>
      <c r="J1032" s="87"/>
      <c r="K1032" s="77"/>
      <c r="L1032" s="89"/>
      <c r="M1032" s="77"/>
      <c r="N1032" s="77"/>
      <c r="O1032" s="77"/>
      <c r="P1032" s="77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</row>
    <row r="1033">
      <c r="A1033" s="102" t="str">
        <f t="shared" si="1"/>
        <v/>
      </c>
      <c r="B1033" s="94"/>
      <c r="C1033" s="95"/>
      <c r="D1033" s="96"/>
      <c r="E1033" s="97"/>
      <c r="F1033" s="109"/>
      <c r="G1033" s="99"/>
      <c r="H1033" s="102"/>
      <c r="I1033" s="95"/>
      <c r="J1033" s="93"/>
      <c r="K1033" s="102"/>
      <c r="L1033" s="101"/>
      <c r="M1033" s="102"/>
      <c r="N1033" s="102"/>
      <c r="O1033" s="102"/>
      <c r="P1033" s="102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</row>
    <row r="1034">
      <c r="A1034" s="77" t="str">
        <f t="shared" si="1"/>
        <v/>
      </c>
      <c r="B1034" s="78"/>
      <c r="C1034" s="82"/>
      <c r="D1034" s="83"/>
      <c r="E1034" s="84"/>
      <c r="F1034" s="114"/>
      <c r="G1034" s="86"/>
      <c r="H1034" s="77"/>
      <c r="I1034" s="82"/>
      <c r="J1034" s="87"/>
      <c r="K1034" s="77"/>
      <c r="L1034" s="89"/>
      <c r="M1034" s="77"/>
      <c r="N1034" s="77"/>
      <c r="O1034" s="77"/>
      <c r="P1034" s="77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</row>
    <row r="1035">
      <c r="A1035" s="102" t="str">
        <f t="shared" si="1"/>
        <v/>
      </c>
      <c r="B1035" s="94"/>
      <c r="C1035" s="95"/>
      <c r="D1035" s="96"/>
      <c r="E1035" s="97"/>
      <c r="F1035" s="109"/>
      <c r="G1035" s="99"/>
      <c r="H1035" s="102"/>
      <c r="I1035" s="95"/>
      <c r="J1035" s="93"/>
      <c r="K1035" s="102"/>
      <c r="L1035" s="101"/>
      <c r="M1035" s="102"/>
      <c r="N1035" s="102"/>
      <c r="O1035" s="102"/>
      <c r="P1035" s="102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</row>
    <row r="1036">
      <c r="A1036" s="77" t="str">
        <f t="shared" si="1"/>
        <v/>
      </c>
      <c r="B1036" s="78"/>
      <c r="C1036" s="82"/>
      <c r="D1036" s="83"/>
      <c r="E1036" s="84"/>
      <c r="F1036" s="114"/>
      <c r="G1036" s="86"/>
      <c r="H1036" s="77"/>
      <c r="I1036" s="82"/>
      <c r="J1036" s="87"/>
      <c r="K1036" s="77"/>
      <c r="L1036" s="89"/>
      <c r="M1036" s="77"/>
      <c r="N1036" s="77"/>
      <c r="O1036" s="77"/>
      <c r="P1036" s="77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</row>
    <row r="1037">
      <c r="A1037" s="102" t="str">
        <f t="shared" si="1"/>
        <v/>
      </c>
      <c r="B1037" s="94"/>
      <c r="C1037" s="95"/>
      <c r="D1037" s="96"/>
      <c r="E1037" s="97"/>
      <c r="F1037" s="109"/>
      <c r="G1037" s="99"/>
      <c r="H1037" s="102"/>
      <c r="I1037" s="95"/>
      <c r="J1037" s="93"/>
      <c r="K1037" s="102"/>
      <c r="L1037" s="101"/>
      <c r="M1037" s="102"/>
      <c r="N1037" s="102"/>
      <c r="O1037" s="102"/>
      <c r="P1037" s="102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</row>
    <row r="1038">
      <c r="A1038" s="77" t="str">
        <f t="shared" si="1"/>
        <v/>
      </c>
      <c r="B1038" s="78"/>
      <c r="C1038" s="82"/>
      <c r="D1038" s="83"/>
      <c r="E1038" s="84"/>
      <c r="F1038" s="114"/>
      <c r="G1038" s="86"/>
      <c r="H1038" s="77"/>
      <c r="I1038" s="82"/>
      <c r="J1038" s="87"/>
      <c r="K1038" s="77"/>
      <c r="L1038" s="89"/>
      <c r="M1038" s="77"/>
      <c r="N1038" s="77"/>
      <c r="O1038" s="77"/>
      <c r="P1038" s="77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</row>
    <row r="1039">
      <c r="A1039" s="102" t="str">
        <f t="shared" si="1"/>
        <v/>
      </c>
      <c r="B1039" s="94"/>
      <c r="C1039" s="95"/>
      <c r="D1039" s="96"/>
      <c r="E1039" s="97"/>
      <c r="F1039" s="109"/>
      <c r="G1039" s="99"/>
      <c r="H1039" s="102"/>
      <c r="I1039" s="95"/>
      <c r="J1039" s="93"/>
      <c r="K1039" s="102"/>
      <c r="L1039" s="101"/>
      <c r="M1039" s="102"/>
      <c r="N1039" s="102"/>
      <c r="O1039" s="102"/>
      <c r="P1039" s="102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</row>
    <row r="1040">
      <c r="A1040" s="77" t="str">
        <f t="shared" si="1"/>
        <v/>
      </c>
      <c r="B1040" s="78"/>
      <c r="C1040" s="82"/>
      <c r="D1040" s="83"/>
      <c r="E1040" s="84"/>
      <c r="F1040" s="114"/>
      <c r="G1040" s="86"/>
      <c r="H1040" s="77"/>
      <c r="I1040" s="82"/>
      <c r="J1040" s="87"/>
      <c r="K1040" s="77"/>
      <c r="L1040" s="89"/>
      <c r="M1040" s="77"/>
      <c r="N1040" s="77"/>
      <c r="O1040" s="77"/>
      <c r="P1040" s="77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</row>
    <row r="1041">
      <c r="A1041" s="102" t="str">
        <f t="shared" si="1"/>
        <v/>
      </c>
      <c r="B1041" s="94"/>
      <c r="C1041" s="95"/>
      <c r="D1041" s="96"/>
      <c r="E1041" s="97"/>
      <c r="F1041" s="109"/>
      <c r="G1041" s="99"/>
      <c r="H1041" s="102"/>
      <c r="I1041" s="95"/>
      <c r="J1041" s="93"/>
      <c r="K1041" s="102"/>
      <c r="L1041" s="101"/>
      <c r="M1041" s="102"/>
      <c r="N1041" s="102"/>
      <c r="O1041" s="102"/>
      <c r="P1041" s="102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</row>
    <row r="1042">
      <c r="A1042" s="77" t="str">
        <f t="shared" si="1"/>
        <v/>
      </c>
      <c r="B1042" s="78"/>
      <c r="C1042" s="82"/>
      <c r="D1042" s="83"/>
      <c r="E1042" s="84"/>
      <c r="F1042" s="114"/>
      <c r="G1042" s="86"/>
      <c r="H1042" s="77"/>
      <c r="I1042" s="82"/>
      <c r="J1042" s="87"/>
      <c r="K1042" s="77"/>
      <c r="L1042" s="89"/>
      <c r="M1042" s="77"/>
      <c r="N1042" s="77"/>
      <c r="O1042" s="77"/>
      <c r="P1042" s="77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</row>
    <row r="1043">
      <c r="A1043" s="102" t="str">
        <f t="shared" si="1"/>
        <v/>
      </c>
      <c r="B1043" s="94"/>
      <c r="C1043" s="95"/>
      <c r="D1043" s="96"/>
      <c r="E1043" s="97"/>
      <c r="F1043" s="109"/>
      <c r="G1043" s="99"/>
      <c r="H1043" s="102"/>
      <c r="I1043" s="95"/>
      <c r="J1043" s="93"/>
      <c r="K1043" s="102"/>
      <c r="L1043" s="101"/>
      <c r="M1043" s="102"/>
      <c r="N1043" s="102"/>
      <c r="O1043" s="102"/>
      <c r="P1043" s="102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</row>
    <row r="1044">
      <c r="A1044" s="77" t="str">
        <f t="shared" si="1"/>
        <v/>
      </c>
      <c r="B1044" s="78"/>
      <c r="C1044" s="82"/>
      <c r="D1044" s="83"/>
      <c r="E1044" s="84"/>
      <c r="F1044" s="114"/>
      <c r="G1044" s="86"/>
      <c r="H1044" s="77"/>
      <c r="I1044" s="82"/>
      <c r="J1044" s="87"/>
      <c r="K1044" s="77"/>
      <c r="L1044" s="89"/>
      <c r="M1044" s="77"/>
      <c r="N1044" s="77"/>
      <c r="O1044" s="77"/>
      <c r="P1044" s="77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</row>
    <row r="1045">
      <c r="A1045" s="102" t="str">
        <f t="shared" si="1"/>
        <v/>
      </c>
      <c r="B1045" s="94"/>
      <c r="C1045" s="95"/>
      <c r="D1045" s="96"/>
      <c r="E1045" s="97"/>
      <c r="F1045" s="109"/>
      <c r="G1045" s="99"/>
      <c r="H1045" s="102"/>
      <c r="I1045" s="95"/>
      <c r="J1045" s="93"/>
      <c r="K1045" s="102"/>
      <c r="L1045" s="101"/>
      <c r="M1045" s="102"/>
      <c r="N1045" s="102"/>
      <c r="O1045" s="102"/>
      <c r="P1045" s="102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</row>
    <row r="1046">
      <c r="A1046" s="77" t="str">
        <f t="shared" si="1"/>
        <v/>
      </c>
      <c r="B1046" s="78"/>
      <c r="C1046" s="82"/>
      <c r="D1046" s="83"/>
      <c r="E1046" s="84"/>
      <c r="F1046" s="114"/>
      <c r="G1046" s="86"/>
      <c r="H1046" s="77"/>
      <c r="I1046" s="82"/>
      <c r="J1046" s="87"/>
      <c r="K1046" s="77"/>
      <c r="L1046" s="89"/>
      <c r="M1046" s="77"/>
      <c r="N1046" s="77"/>
      <c r="O1046" s="77"/>
      <c r="P1046" s="77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</row>
    <row r="1047">
      <c r="A1047" s="102" t="str">
        <f t="shared" si="1"/>
        <v/>
      </c>
      <c r="B1047" s="94"/>
      <c r="C1047" s="95"/>
      <c r="D1047" s="96"/>
      <c r="E1047" s="97"/>
      <c r="F1047" s="109"/>
      <c r="G1047" s="99"/>
      <c r="H1047" s="102"/>
      <c r="I1047" s="95"/>
      <c r="J1047" s="93"/>
      <c r="K1047" s="102"/>
      <c r="L1047" s="101"/>
      <c r="M1047" s="102"/>
      <c r="N1047" s="102"/>
      <c r="O1047" s="102"/>
      <c r="P1047" s="102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</row>
    <row r="1048">
      <c r="A1048" s="77" t="str">
        <f t="shared" si="1"/>
        <v/>
      </c>
      <c r="B1048" s="78"/>
      <c r="C1048" s="82"/>
      <c r="D1048" s="83"/>
      <c r="E1048" s="84"/>
      <c r="F1048" s="114"/>
      <c r="G1048" s="86"/>
      <c r="H1048" s="77"/>
      <c r="I1048" s="82"/>
      <c r="J1048" s="87"/>
      <c r="K1048" s="77"/>
      <c r="L1048" s="89"/>
      <c r="M1048" s="77"/>
      <c r="N1048" s="77"/>
      <c r="O1048" s="77"/>
      <c r="P1048" s="77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</row>
    <row r="1049">
      <c r="A1049" s="102" t="str">
        <f t="shared" si="1"/>
        <v/>
      </c>
      <c r="B1049" s="94"/>
      <c r="C1049" s="95"/>
      <c r="D1049" s="96"/>
      <c r="E1049" s="97"/>
      <c r="F1049" s="109"/>
      <c r="G1049" s="99"/>
      <c r="H1049" s="102"/>
      <c r="I1049" s="95"/>
      <c r="J1049" s="93"/>
      <c r="K1049" s="102"/>
      <c r="L1049" s="101"/>
      <c r="M1049" s="102"/>
      <c r="N1049" s="102"/>
      <c r="O1049" s="102"/>
      <c r="P1049" s="102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</row>
    <row r="1050">
      <c r="A1050" s="77" t="str">
        <f t="shared" si="1"/>
        <v/>
      </c>
      <c r="B1050" s="78"/>
      <c r="C1050" s="82"/>
      <c r="D1050" s="83"/>
      <c r="E1050" s="84"/>
      <c r="F1050" s="114"/>
      <c r="G1050" s="86"/>
      <c r="H1050" s="77"/>
      <c r="I1050" s="82"/>
      <c r="J1050" s="87"/>
      <c r="K1050" s="77"/>
      <c r="L1050" s="89"/>
      <c r="M1050" s="77"/>
      <c r="N1050" s="77"/>
      <c r="O1050" s="77"/>
      <c r="P1050" s="77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</row>
    <row r="1051">
      <c r="A1051" s="102" t="str">
        <f t="shared" si="1"/>
        <v/>
      </c>
      <c r="B1051" s="94"/>
      <c r="C1051" s="95"/>
      <c r="D1051" s="96"/>
      <c r="E1051" s="97"/>
      <c r="F1051" s="109"/>
      <c r="G1051" s="99"/>
      <c r="H1051" s="102"/>
      <c r="I1051" s="95"/>
      <c r="J1051" s="93"/>
      <c r="K1051" s="102"/>
      <c r="L1051" s="101"/>
      <c r="M1051" s="102"/>
      <c r="N1051" s="102"/>
      <c r="O1051" s="102"/>
      <c r="P1051" s="102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</row>
    <row r="1052">
      <c r="A1052" s="77" t="str">
        <f t="shared" si="1"/>
        <v/>
      </c>
      <c r="B1052" s="78"/>
      <c r="C1052" s="82"/>
      <c r="D1052" s="83"/>
      <c r="E1052" s="84"/>
      <c r="F1052" s="114"/>
      <c r="G1052" s="86"/>
      <c r="H1052" s="77"/>
      <c r="I1052" s="82"/>
      <c r="J1052" s="87"/>
      <c r="K1052" s="77"/>
      <c r="L1052" s="89"/>
      <c r="M1052" s="77"/>
      <c r="N1052" s="77"/>
      <c r="O1052" s="77"/>
      <c r="P1052" s="77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</row>
    <row r="1053">
      <c r="A1053" s="102" t="str">
        <f t="shared" si="1"/>
        <v/>
      </c>
      <c r="B1053" s="94"/>
      <c r="C1053" s="95"/>
      <c r="D1053" s="96"/>
      <c r="E1053" s="97"/>
      <c r="F1053" s="109"/>
      <c r="G1053" s="99"/>
      <c r="H1053" s="102"/>
      <c r="I1053" s="95"/>
      <c r="J1053" s="93"/>
      <c r="K1053" s="102"/>
      <c r="L1053" s="101"/>
      <c r="M1053" s="102"/>
      <c r="N1053" s="102"/>
      <c r="O1053" s="102"/>
      <c r="P1053" s="102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</row>
    <row r="1054">
      <c r="A1054" s="77" t="str">
        <f t="shared" si="1"/>
        <v/>
      </c>
      <c r="B1054" s="78"/>
      <c r="C1054" s="82"/>
      <c r="D1054" s="83"/>
      <c r="E1054" s="84"/>
      <c r="F1054" s="114"/>
      <c r="G1054" s="86"/>
      <c r="H1054" s="77"/>
      <c r="I1054" s="82"/>
      <c r="J1054" s="87"/>
      <c r="K1054" s="77"/>
      <c r="L1054" s="89"/>
      <c r="M1054" s="77"/>
      <c r="N1054" s="77"/>
      <c r="O1054" s="77"/>
      <c r="P1054" s="77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</row>
    <row r="1055">
      <c r="A1055" s="102" t="str">
        <f t="shared" si="1"/>
        <v/>
      </c>
      <c r="B1055" s="94"/>
      <c r="C1055" s="95"/>
      <c r="D1055" s="96"/>
      <c r="E1055" s="97"/>
      <c r="F1055" s="109"/>
      <c r="G1055" s="99"/>
      <c r="H1055" s="102"/>
      <c r="I1055" s="95"/>
      <c r="J1055" s="93"/>
      <c r="K1055" s="102"/>
      <c r="L1055" s="101"/>
      <c r="M1055" s="102"/>
      <c r="N1055" s="102"/>
      <c r="O1055" s="102"/>
      <c r="P1055" s="102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</row>
    <row r="1056">
      <c r="A1056" s="77" t="str">
        <f t="shared" si="1"/>
        <v/>
      </c>
      <c r="B1056" s="78"/>
      <c r="C1056" s="82"/>
      <c r="D1056" s="83"/>
      <c r="E1056" s="84"/>
      <c r="F1056" s="114"/>
      <c r="G1056" s="86"/>
      <c r="H1056" s="77"/>
      <c r="I1056" s="82"/>
      <c r="J1056" s="87"/>
      <c r="K1056" s="77"/>
      <c r="L1056" s="89"/>
      <c r="M1056" s="77"/>
      <c r="N1056" s="77"/>
      <c r="O1056" s="77"/>
      <c r="P1056" s="77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</row>
    <row r="1057">
      <c r="A1057" s="102" t="str">
        <f t="shared" si="1"/>
        <v/>
      </c>
      <c r="B1057" s="94"/>
      <c r="C1057" s="95"/>
      <c r="D1057" s="96"/>
      <c r="E1057" s="97"/>
      <c r="F1057" s="109"/>
      <c r="G1057" s="99"/>
      <c r="H1057" s="102"/>
      <c r="I1057" s="95"/>
      <c r="J1057" s="93"/>
      <c r="K1057" s="102"/>
      <c r="L1057" s="101"/>
      <c r="M1057" s="102"/>
      <c r="N1057" s="102"/>
      <c r="O1057" s="102"/>
      <c r="P1057" s="102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</row>
    <row r="1058">
      <c r="A1058" s="77" t="str">
        <f t="shared" si="1"/>
        <v/>
      </c>
      <c r="B1058" s="78"/>
      <c r="C1058" s="82"/>
      <c r="D1058" s="83"/>
      <c r="E1058" s="84"/>
      <c r="F1058" s="114"/>
      <c r="G1058" s="86"/>
      <c r="H1058" s="77"/>
      <c r="I1058" s="82"/>
      <c r="J1058" s="87"/>
      <c r="K1058" s="77"/>
      <c r="L1058" s="89"/>
      <c r="M1058" s="77"/>
      <c r="N1058" s="77"/>
      <c r="O1058" s="77"/>
      <c r="P1058" s="77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</row>
    <row r="1059">
      <c r="A1059" s="102" t="str">
        <f t="shared" si="1"/>
        <v/>
      </c>
      <c r="B1059" s="94"/>
      <c r="C1059" s="95"/>
      <c r="D1059" s="96"/>
      <c r="E1059" s="97"/>
      <c r="F1059" s="109"/>
      <c r="G1059" s="99"/>
      <c r="H1059" s="102"/>
      <c r="I1059" s="95"/>
      <c r="J1059" s="93"/>
      <c r="K1059" s="102"/>
      <c r="L1059" s="101"/>
      <c r="M1059" s="102"/>
      <c r="N1059" s="102"/>
      <c r="O1059" s="102"/>
      <c r="P1059" s="102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</row>
    <row r="1060">
      <c r="A1060" s="77" t="str">
        <f t="shared" si="1"/>
        <v/>
      </c>
      <c r="B1060" s="78"/>
      <c r="C1060" s="82"/>
      <c r="D1060" s="83"/>
      <c r="E1060" s="84"/>
      <c r="F1060" s="114"/>
      <c r="G1060" s="86"/>
      <c r="H1060" s="77"/>
      <c r="I1060" s="82"/>
      <c r="J1060" s="87"/>
      <c r="K1060" s="77"/>
      <c r="L1060" s="89"/>
      <c r="M1060" s="77"/>
      <c r="N1060" s="77"/>
      <c r="O1060" s="77"/>
      <c r="P1060" s="77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</row>
    <row r="1061">
      <c r="A1061" s="102" t="str">
        <f t="shared" si="1"/>
        <v/>
      </c>
      <c r="B1061" s="94"/>
      <c r="C1061" s="95"/>
      <c r="D1061" s="96"/>
      <c r="E1061" s="97"/>
      <c r="F1061" s="109"/>
      <c r="G1061" s="99"/>
      <c r="H1061" s="102"/>
      <c r="I1061" s="95"/>
      <c r="J1061" s="93"/>
      <c r="K1061" s="102"/>
      <c r="L1061" s="101"/>
      <c r="M1061" s="102"/>
      <c r="N1061" s="102"/>
      <c r="O1061" s="102"/>
      <c r="P1061" s="102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</row>
    <row r="1062">
      <c r="A1062" s="77" t="str">
        <f t="shared" si="1"/>
        <v/>
      </c>
      <c r="B1062" s="78"/>
      <c r="C1062" s="82"/>
      <c r="D1062" s="83"/>
      <c r="E1062" s="84"/>
      <c r="F1062" s="114"/>
      <c r="G1062" s="86"/>
      <c r="H1062" s="77"/>
      <c r="I1062" s="82"/>
      <c r="J1062" s="87"/>
      <c r="K1062" s="77"/>
      <c r="L1062" s="89"/>
      <c r="M1062" s="77"/>
      <c r="N1062" s="77"/>
      <c r="O1062" s="77"/>
      <c r="P1062" s="77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</row>
    <row r="1063">
      <c r="A1063" s="102" t="str">
        <f t="shared" si="1"/>
        <v/>
      </c>
      <c r="B1063" s="94"/>
      <c r="C1063" s="95"/>
      <c r="D1063" s="96"/>
      <c r="E1063" s="97"/>
      <c r="F1063" s="109"/>
      <c r="G1063" s="99"/>
      <c r="H1063" s="102"/>
      <c r="I1063" s="95"/>
      <c r="J1063" s="93"/>
      <c r="K1063" s="102"/>
      <c r="L1063" s="101"/>
      <c r="M1063" s="102"/>
      <c r="N1063" s="102"/>
      <c r="O1063" s="102"/>
      <c r="P1063" s="102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</row>
    <row r="1064">
      <c r="A1064" s="77" t="str">
        <f t="shared" si="1"/>
        <v/>
      </c>
      <c r="B1064" s="78"/>
      <c r="C1064" s="82"/>
      <c r="D1064" s="83"/>
      <c r="E1064" s="84"/>
      <c r="F1064" s="114"/>
      <c r="G1064" s="86"/>
      <c r="H1064" s="77"/>
      <c r="I1064" s="82"/>
      <c r="J1064" s="87"/>
      <c r="K1064" s="77"/>
      <c r="L1064" s="89"/>
      <c r="M1064" s="77"/>
      <c r="N1064" s="77"/>
      <c r="O1064" s="77"/>
      <c r="P1064" s="77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</row>
    <row r="1065">
      <c r="A1065" s="102" t="str">
        <f t="shared" si="1"/>
        <v/>
      </c>
      <c r="B1065" s="94"/>
      <c r="C1065" s="95"/>
      <c r="D1065" s="96"/>
      <c r="E1065" s="97"/>
      <c r="F1065" s="109"/>
      <c r="G1065" s="99"/>
      <c r="H1065" s="102"/>
      <c r="I1065" s="95"/>
      <c r="J1065" s="93"/>
      <c r="K1065" s="102"/>
      <c r="L1065" s="101"/>
      <c r="M1065" s="102"/>
      <c r="N1065" s="102"/>
      <c r="O1065" s="102"/>
      <c r="P1065" s="102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</row>
    <row r="1066">
      <c r="A1066" s="77" t="str">
        <f t="shared" si="1"/>
        <v/>
      </c>
      <c r="B1066" s="78"/>
      <c r="C1066" s="82"/>
      <c r="D1066" s="83"/>
      <c r="E1066" s="84"/>
      <c r="F1066" s="114"/>
      <c r="G1066" s="86"/>
      <c r="H1066" s="77"/>
      <c r="I1066" s="82"/>
      <c r="J1066" s="87"/>
      <c r="K1066" s="77"/>
      <c r="L1066" s="89"/>
      <c r="M1066" s="77"/>
      <c r="N1066" s="77"/>
      <c r="O1066" s="77"/>
      <c r="P1066" s="77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</row>
    <row r="1067">
      <c r="A1067" s="102" t="str">
        <f t="shared" si="1"/>
        <v/>
      </c>
      <c r="B1067" s="94"/>
      <c r="C1067" s="95"/>
      <c r="D1067" s="96"/>
      <c r="E1067" s="97"/>
      <c r="F1067" s="109"/>
      <c r="G1067" s="99"/>
      <c r="H1067" s="102"/>
      <c r="I1067" s="95"/>
      <c r="J1067" s="93"/>
      <c r="K1067" s="102"/>
      <c r="L1067" s="101"/>
      <c r="M1067" s="102"/>
      <c r="N1067" s="102"/>
      <c r="O1067" s="102"/>
      <c r="P1067" s="102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</row>
    <row r="1068">
      <c r="A1068" s="77" t="str">
        <f t="shared" si="1"/>
        <v/>
      </c>
      <c r="B1068" s="78"/>
      <c r="C1068" s="82"/>
      <c r="D1068" s="83"/>
      <c r="E1068" s="84"/>
      <c r="F1068" s="114"/>
      <c r="G1068" s="86"/>
      <c r="H1068" s="77"/>
      <c r="I1068" s="82"/>
      <c r="J1068" s="87"/>
      <c r="K1068" s="77"/>
      <c r="L1068" s="89"/>
      <c r="M1068" s="77"/>
      <c r="N1068" s="77"/>
      <c r="O1068" s="77"/>
      <c r="P1068" s="77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</row>
    <row r="1069">
      <c r="A1069" s="102" t="str">
        <f t="shared" si="1"/>
        <v/>
      </c>
      <c r="B1069" s="94"/>
      <c r="C1069" s="95"/>
      <c r="D1069" s="96"/>
      <c r="E1069" s="97"/>
      <c r="F1069" s="109"/>
      <c r="G1069" s="99"/>
      <c r="H1069" s="102"/>
      <c r="I1069" s="95"/>
      <c r="J1069" s="93"/>
      <c r="K1069" s="102"/>
      <c r="L1069" s="101"/>
      <c r="M1069" s="102"/>
      <c r="N1069" s="102"/>
      <c r="O1069" s="102"/>
      <c r="P1069" s="102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</row>
    <row r="1070">
      <c r="A1070" s="77" t="str">
        <f t="shared" si="1"/>
        <v/>
      </c>
      <c r="B1070" s="78"/>
      <c r="C1070" s="82"/>
      <c r="D1070" s="83"/>
      <c r="E1070" s="84"/>
      <c r="F1070" s="114"/>
      <c r="G1070" s="86"/>
      <c r="H1070" s="77"/>
      <c r="I1070" s="82"/>
      <c r="J1070" s="87"/>
      <c r="K1070" s="77"/>
      <c r="L1070" s="89"/>
      <c r="M1070" s="77"/>
      <c r="N1070" s="77"/>
      <c r="O1070" s="77"/>
      <c r="P1070" s="77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</row>
    <row r="1071">
      <c r="A1071" s="102" t="str">
        <f t="shared" si="1"/>
        <v/>
      </c>
      <c r="B1071" s="94"/>
      <c r="C1071" s="95"/>
      <c r="D1071" s="96"/>
      <c r="E1071" s="97"/>
      <c r="F1071" s="109"/>
      <c r="G1071" s="99"/>
      <c r="H1071" s="102"/>
      <c r="I1071" s="95"/>
      <c r="J1071" s="93"/>
      <c r="K1071" s="102"/>
      <c r="L1071" s="101"/>
      <c r="M1071" s="102"/>
      <c r="N1071" s="102"/>
      <c r="O1071" s="102"/>
      <c r="P1071" s="102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</row>
    <row r="1072">
      <c r="A1072" s="77" t="str">
        <f t="shared" si="1"/>
        <v/>
      </c>
      <c r="B1072" s="78"/>
      <c r="C1072" s="82"/>
      <c r="D1072" s="83"/>
      <c r="E1072" s="84"/>
      <c r="F1072" s="114"/>
      <c r="G1072" s="86"/>
      <c r="H1072" s="77"/>
      <c r="I1072" s="82"/>
      <c r="J1072" s="87"/>
      <c r="K1072" s="77"/>
      <c r="L1072" s="89"/>
      <c r="M1072" s="77"/>
      <c r="N1072" s="77"/>
      <c r="O1072" s="77"/>
      <c r="P1072" s="77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</row>
    <row r="1073">
      <c r="A1073" s="102" t="str">
        <f t="shared" si="1"/>
        <v/>
      </c>
      <c r="B1073" s="94"/>
      <c r="C1073" s="95"/>
      <c r="D1073" s="96"/>
      <c r="E1073" s="97"/>
      <c r="F1073" s="109"/>
      <c r="G1073" s="99"/>
      <c r="H1073" s="102"/>
      <c r="I1073" s="95"/>
      <c r="J1073" s="93"/>
      <c r="K1073" s="102"/>
      <c r="L1073" s="101"/>
      <c r="M1073" s="102"/>
      <c r="N1073" s="102"/>
      <c r="O1073" s="102"/>
      <c r="P1073" s="102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</row>
    <row r="1074">
      <c r="A1074" s="77" t="str">
        <f t="shared" si="1"/>
        <v/>
      </c>
      <c r="B1074" s="78"/>
      <c r="C1074" s="82"/>
      <c r="D1074" s="83"/>
      <c r="E1074" s="84"/>
      <c r="F1074" s="114"/>
      <c r="G1074" s="86"/>
      <c r="H1074" s="77"/>
      <c r="I1074" s="82"/>
      <c r="J1074" s="87"/>
      <c r="K1074" s="77"/>
      <c r="L1074" s="89"/>
      <c r="M1074" s="77"/>
      <c r="N1074" s="77"/>
      <c r="O1074" s="77"/>
      <c r="P1074" s="77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</row>
    <row r="1075">
      <c r="A1075" s="102" t="str">
        <f t="shared" si="1"/>
        <v/>
      </c>
      <c r="B1075" s="94"/>
      <c r="C1075" s="95"/>
      <c r="D1075" s="96"/>
      <c r="E1075" s="97"/>
      <c r="F1075" s="109"/>
      <c r="G1075" s="99"/>
      <c r="H1075" s="102"/>
      <c r="I1075" s="95"/>
      <c r="J1075" s="93"/>
      <c r="K1075" s="102"/>
      <c r="L1075" s="101"/>
      <c r="M1075" s="102"/>
      <c r="N1075" s="102"/>
      <c r="O1075" s="102"/>
      <c r="P1075" s="102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</row>
    <row r="1076">
      <c r="A1076" s="77" t="str">
        <f t="shared" si="1"/>
        <v/>
      </c>
      <c r="B1076" s="78"/>
      <c r="C1076" s="82"/>
      <c r="D1076" s="83"/>
      <c r="E1076" s="84"/>
      <c r="F1076" s="114"/>
      <c r="G1076" s="86"/>
      <c r="H1076" s="77"/>
      <c r="I1076" s="82"/>
      <c r="J1076" s="87"/>
      <c r="K1076" s="77"/>
      <c r="L1076" s="89"/>
      <c r="M1076" s="77"/>
      <c r="N1076" s="77"/>
      <c r="O1076" s="77"/>
      <c r="P1076" s="77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</row>
    <row r="1077">
      <c r="A1077" s="102" t="str">
        <f t="shared" si="1"/>
        <v/>
      </c>
      <c r="B1077" s="94"/>
      <c r="C1077" s="95"/>
      <c r="D1077" s="96"/>
      <c r="E1077" s="97"/>
      <c r="F1077" s="109"/>
      <c r="G1077" s="99"/>
      <c r="H1077" s="102"/>
      <c r="I1077" s="95"/>
      <c r="J1077" s="93"/>
      <c r="K1077" s="102"/>
      <c r="L1077" s="101"/>
      <c r="M1077" s="102"/>
      <c r="N1077" s="102"/>
      <c r="O1077" s="102"/>
      <c r="P1077" s="102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</row>
    <row r="1078">
      <c r="A1078" s="77" t="str">
        <f t="shared" si="1"/>
        <v/>
      </c>
      <c r="B1078" s="78"/>
      <c r="C1078" s="82"/>
      <c r="D1078" s="83"/>
      <c r="E1078" s="84"/>
      <c r="F1078" s="114"/>
      <c r="G1078" s="86"/>
      <c r="H1078" s="77"/>
      <c r="I1078" s="82"/>
      <c r="J1078" s="87"/>
      <c r="K1078" s="77"/>
      <c r="L1078" s="89"/>
      <c r="M1078" s="77"/>
      <c r="N1078" s="77"/>
      <c r="O1078" s="77"/>
      <c r="P1078" s="77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</row>
    <row r="1079">
      <c r="A1079" s="102" t="str">
        <f t="shared" si="1"/>
        <v/>
      </c>
      <c r="B1079" s="94"/>
      <c r="C1079" s="95"/>
      <c r="D1079" s="96"/>
      <c r="E1079" s="97"/>
      <c r="F1079" s="109"/>
      <c r="G1079" s="99"/>
      <c r="H1079" s="102"/>
      <c r="I1079" s="95"/>
      <c r="J1079" s="93"/>
      <c r="K1079" s="102"/>
      <c r="L1079" s="101"/>
      <c r="M1079" s="102"/>
      <c r="N1079" s="102"/>
      <c r="O1079" s="102"/>
      <c r="P1079" s="102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</row>
    <row r="1080">
      <c r="A1080" s="77" t="str">
        <f t="shared" si="1"/>
        <v/>
      </c>
      <c r="B1080" s="78"/>
      <c r="C1080" s="82"/>
      <c r="D1080" s="83"/>
      <c r="E1080" s="84"/>
      <c r="F1080" s="114"/>
      <c r="G1080" s="86"/>
      <c r="H1080" s="77"/>
      <c r="I1080" s="82"/>
      <c r="J1080" s="87"/>
      <c r="K1080" s="77"/>
      <c r="L1080" s="89"/>
      <c r="M1080" s="77"/>
      <c r="N1080" s="77"/>
      <c r="O1080" s="77"/>
      <c r="P1080" s="77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</row>
    <row r="1081">
      <c r="A1081" s="102" t="str">
        <f t="shared" si="1"/>
        <v/>
      </c>
      <c r="B1081" s="94"/>
      <c r="C1081" s="95"/>
      <c r="D1081" s="96"/>
      <c r="E1081" s="97"/>
      <c r="F1081" s="109"/>
      <c r="G1081" s="99"/>
      <c r="H1081" s="102"/>
      <c r="I1081" s="95"/>
      <c r="J1081" s="93"/>
      <c r="K1081" s="102"/>
      <c r="L1081" s="101"/>
      <c r="M1081" s="102"/>
      <c r="N1081" s="102"/>
      <c r="O1081" s="102"/>
      <c r="P1081" s="102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</row>
    <row r="1082">
      <c r="A1082" s="77" t="str">
        <f t="shared" si="1"/>
        <v/>
      </c>
      <c r="B1082" s="78"/>
      <c r="C1082" s="82"/>
      <c r="D1082" s="83"/>
      <c r="E1082" s="84"/>
      <c r="F1082" s="114"/>
      <c r="G1082" s="86"/>
      <c r="H1082" s="77"/>
      <c r="I1082" s="82"/>
      <c r="J1082" s="87"/>
      <c r="K1082" s="77"/>
      <c r="L1082" s="89"/>
      <c r="M1082" s="77"/>
      <c r="N1082" s="77"/>
      <c r="O1082" s="77"/>
      <c r="P1082" s="77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</row>
    <row r="1083">
      <c r="A1083" s="102" t="str">
        <f t="shared" si="1"/>
        <v/>
      </c>
      <c r="B1083" s="94"/>
      <c r="C1083" s="95"/>
      <c r="D1083" s="96"/>
      <c r="E1083" s="97"/>
      <c r="F1083" s="109"/>
      <c r="G1083" s="99"/>
      <c r="H1083" s="102"/>
      <c r="I1083" s="95"/>
      <c r="J1083" s="93"/>
      <c r="K1083" s="102"/>
      <c r="L1083" s="101"/>
      <c r="M1083" s="102"/>
      <c r="N1083" s="102"/>
      <c r="O1083" s="102"/>
      <c r="P1083" s="102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</row>
    <row r="1084">
      <c r="A1084" s="77" t="str">
        <f t="shared" si="1"/>
        <v/>
      </c>
      <c r="B1084" s="78"/>
      <c r="C1084" s="82"/>
      <c r="D1084" s="83"/>
      <c r="E1084" s="84"/>
      <c r="F1084" s="114"/>
      <c r="G1084" s="86"/>
      <c r="H1084" s="77"/>
      <c r="I1084" s="82"/>
      <c r="J1084" s="87"/>
      <c r="K1084" s="77"/>
      <c r="L1084" s="89"/>
      <c r="M1084" s="77"/>
      <c r="N1084" s="77"/>
      <c r="O1084" s="77"/>
      <c r="P1084" s="77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</row>
    <row r="1085">
      <c r="A1085" s="102" t="str">
        <f t="shared" si="1"/>
        <v/>
      </c>
      <c r="B1085" s="94"/>
      <c r="C1085" s="95"/>
      <c r="D1085" s="96"/>
      <c r="E1085" s="97"/>
      <c r="F1085" s="109"/>
      <c r="G1085" s="99"/>
      <c r="H1085" s="102"/>
      <c r="I1085" s="95"/>
      <c r="J1085" s="93"/>
      <c r="K1085" s="102"/>
      <c r="L1085" s="101"/>
      <c r="M1085" s="102"/>
      <c r="N1085" s="102"/>
      <c r="O1085" s="102"/>
      <c r="P1085" s="102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</row>
    <row r="1086">
      <c r="A1086" s="77" t="str">
        <f t="shared" si="1"/>
        <v/>
      </c>
      <c r="B1086" s="78"/>
      <c r="C1086" s="82"/>
      <c r="D1086" s="83"/>
      <c r="E1086" s="84"/>
      <c r="F1086" s="114"/>
      <c r="G1086" s="86"/>
      <c r="H1086" s="77"/>
      <c r="I1086" s="82"/>
      <c r="J1086" s="87"/>
      <c r="K1086" s="77"/>
      <c r="L1086" s="89"/>
      <c r="M1086" s="77"/>
      <c r="N1086" s="77"/>
      <c r="O1086" s="77"/>
      <c r="P1086" s="77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</row>
    <row r="1087">
      <c r="A1087" s="102" t="str">
        <f t="shared" si="1"/>
        <v/>
      </c>
      <c r="B1087" s="94"/>
      <c r="C1087" s="95"/>
      <c r="D1087" s="96"/>
      <c r="E1087" s="97"/>
      <c r="F1087" s="109"/>
      <c r="G1087" s="99"/>
      <c r="H1087" s="102"/>
      <c r="I1087" s="95"/>
      <c r="J1087" s="93"/>
      <c r="K1087" s="102"/>
      <c r="L1087" s="101"/>
      <c r="M1087" s="102"/>
      <c r="N1087" s="102"/>
      <c r="O1087" s="102"/>
      <c r="P1087" s="102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</row>
    <row r="1088">
      <c r="A1088" s="77" t="str">
        <f t="shared" si="1"/>
        <v/>
      </c>
      <c r="B1088" s="78"/>
      <c r="C1088" s="82"/>
      <c r="D1088" s="83"/>
      <c r="E1088" s="84"/>
      <c r="F1088" s="114"/>
      <c r="G1088" s="86"/>
      <c r="H1088" s="77"/>
      <c r="I1088" s="82"/>
      <c r="J1088" s="87"/>
      <c r="K1088" s="77"/>
      <c r="L1088" s="89"/>
      <c r="M1088" s="77"/>
      <c r="N1088" s="77"/>
      <c r="O1088" s="77"/>
      <c r="P1088" s="77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</row>
    <row r="1089">
      <c r="A1089" s="102" t="str">
        <f t="shared" si="1"/>
        <v/>
      </c>
      <c r="B1089" s="94"/>
      <c r="C1089" s="95"/>
      <c r="D1089" s="96"/>
      <c r="E1089" s="97"/>
      <c r="F1089" s="109"/>
      <c r="G1089" s="99"/>
      <c r="H1089" s="102"/>
      <c r="I1089" s="95"/>
      <c r="J1089" s="93"/>
      <c r="K1089" s="102"/>
      <c r="L1089" s="101"/>
      <c r="M1089" s="102"/>
      <c r="N1089" s="102"/>
      <c r="O1089" s="102"/>
      <c r="P1089" s="102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</row>
    <row r="1090">
      <c r="A1090" s="77" t="str">
        <f t="shared" si="1"/>
        <v/>
      </c>
      <c r="B1090" s="78"/>
      <c r="C1090" s="82"/>
      <c r="D1090" s="83"/>
      <c r="E1090" s="84"/>
      <c r="F1090" s="114"/>
      <c r="G1090" s="86"/>
      <c r="H1090" s="77"/>
      <c r="I1090" s="82"/>
      <c r="J1090" s="87"/>
      <c r="K1090" s="77"/>
      <c r="L1090" s="89"/>
      <c r="M1090" s="77"/>
      <c r="N1090" s="77"/>
      <c r="O1090" s="77"/>
      <c r="P1090" s="77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</row>
    <row r="1091">
      <c r="A1091" s="102" t="str">
        <f t="shared" si="1"/>
        <v/>
      </c>
      <c r="B1091" s="94"/>
      <c r="C1091" s="95"/>
      <c r="D1091" s="96"/>
      <c r="E1091" s="97"/>
      <c r="F1091" s="109"/>
      <c r="G1091" s="99"/>
      <c r="H1091" s="102"/>
      <c r="I1091" s="95"/>
      <c r="J1091" s="93"/>
      <c r="K1091" s="102"/>
      <c r="L1091" s="101"/>
      <c r="M1091" s="102"/>
      <c r="N1091" s="102"/>
      <c r="O1091" s="102"/>
      <c r="P1091" s="102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</row>
    <row r="1092">
      <c r="A1092" s="77" t="str">
        <f t="shared" si="1"/>
        <v/>
      </c>
      <c r="B1092" s="78"/>
      <c r="C1092" s="82"/>
      <c r="D1092" s="83"/>
      <c r="E1092" s="84"/>
      <c r="F1092" s="114"/>
      <c r="G1092" s="86"/>
      <c r="H1092" s="77"/>
      <c r="I1092" s="82"/>
      <c r="J1092" s="87"/>
      <c r="K1092" s="77"/>
      <c r="L1092" s="89"/>
      <c r="M1092" s="77"/>
      <c r="N1092" s="77"/>
      <c r="O1092" s="77"/>
      <c r="P1092" s="77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</row>
    <row r="1093">
      <c r="A1093" s="102" t="str">
        <f t="shared" si="1"/>
        <v/>
      </c>
      <c r="B1093" s="94"/>
      <c r="C1093" s="95"/>
      <c r="D1093" s="96"/>
      <c r="E1093" s="97"/>
      <c r="F1093" s="109"/>
      <c r="G1093" s="99"/>
      <c r="H1093" s="102"/>
      <c r="I1093" s="95"/>
      <c r="J1093" s="93"/>
      <c r="K1093" s="102"/>
      <c r="L1093" s="101"/>
      <c r="M1093" s="102"/>
      <c r="N1093" s="102"/>
      <c r="O1093" s="102"/>
      <c r="P1093" s="102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</row>
    <row r="1094">
      <c r="A1094" s="77" t="str">
        <f t="shared" si="1"/>
        <v/>
      </c>
      <c r="B1094" s="78"/>
      <c r="C1094" s="82"/>
      <c r="D1094" s="83"/>
      <c r="E1094" s="84"/>
      <c r="F1094" s="114"/>
      <c r="G1094" s="86"/>
      <c r="H1094" s="77"/>
      <c r="I1094" s="82"/>
      <c r="J1094" s="87"/>
      <c r="K1094" s="77"/>
      <c r="L1094" s="89"/>
      <c r="M1094" s="77"/>
      <c r="N1094" s="77"/>
      <c r="O1094" s="77"/>
      <c r="P1094" s="77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</row>
    <row r="1095">
      <c r="A1095" s="102" t="str">
        <f t="shared" si="1"/>
        <v/>
      </c>
      <c r="B1095" s="94"/>
      <c r="C1095" s="95"/>
      <c r="D1095" s="96"/>
      <c r="E1095" s="97"/>
      <c r="F1095" s="109"/>
      <c r="G1095" s="99"/>
      <c r="H1095" s="102"/>
      <c r="I1095" s="95"/>
      <c r="J1095" s="93"/>
      <c r="K1095" s="102"/>
      <c r="L1095" s="101"/>
      <c r="M1095" s="102"/>
      <c r="N1095" s="102"/>
      <c r="O1095" s="102"/>
      <c r="P1095" s="102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</row>
    <row r="1096">
      <c r="A1096" s="77" t="str">
        <f t="shared" si="1"/>
        <v/>
      </c>
      <c r="B1096" s="78"/>
      <c r="C1096" s="82"/>
      <c r="D1096" s="83"/>
      <c r="E1096" s="84"/>
      <c r="F1096" s="114"/>
      <c r="G1096" s="86"/>
      <c r="H1096" s="77"/>
      <c r="I1096" s="82"/>
      <c r="J1096" s="87"/>
      <c r="K1096" s="77"/>
      <c r="L1096" s="89"/>
      <c r="M1096" s="77"/>
      <c r="N1096" s="77"/>
      <c r="O1096" s="77"/>
      <c r="P1096" s="77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</row>
    <row r="1097">
      <c r="A1097" s="102" t="str">
        <f t="shared" si="1"/>
        <v/>
      </c>
      <c r="B1097" s="94"/>
      <c r="C1097" s="95"/>
      <c r="D1097" s="96"/>
      <c r="E1097" s="97"/>
      <c r="F1097" s="109"/>
      <c r="G1097" s="99"/>
      <c r="H1097" s="102"/>
      <c r="I1097" s="95"/>
      <c r="J1097" s="93"/>
      <c r="K1097" s="102"/>
      <c r="L1097" s="101"/>
      <c r="M1097" s="102"/>
      <c r="N1097" s="102"/>
      <c r="O1097" s="102"/>
      <c r="P1097" s="102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</row>
    <row r="1098">
      <c r="A1098" s="77" t="str">
        <f t="shared" si="1"/>
        <v/>
      </c>
      <c r="B1098" s="78"/>
      <c r="C1098" s="82"/>
      <c r="D1098" s="83"/>
      <c r="E1098" s="84"/>
      <c r="F1098" s="114"/>
      <c r="G1098" s="86"/>
      <c r="H1098" s="77"/>
      <c r="I1098" s="82"/>
      <c r="J1098" s="87"/>
      <c r="K1098" s="77"/>
      <c r="L1098" s="89"/>
      <c r="M1098" s="77"/>
      <c r="N1098" s="77"/>
      <c r="O1098" s="77"/>
      <c r="P1098" s="77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</row>
    <row r="1099">
      <c r="A1099" s="102" t="str">
        <f t="shared" si="1"/>
        <v/>
      </c>
      <c r="B1099" s="94"/>
      <c r="C1099" s="95"/>
      <c r="D1099" s="96"/>
      <c r="E1099" s="97"/>
      <c r="F1099" s="109"/>
      <c r="G1099" s="99"/>
      <c r="H1099" s="102"/>
      <c r="I1099" s="95"/>
      <c r="J1099" s="93"/>
      <c r="K1099" s="102"/>
      <c r="L1099" s="101"/>
      <c r="M1099" s="102"/>
      <c r="N1099" s="102"/>
      <c r="O1099" s="102"/>
      <c r="P1099" s="102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</row>
    <row r="1100">
      <c r="A1100" s="77" t="str">
        <f t="shared" si="1"/>
        <v/>
      </c>
      <c r="B1100" s="78"/>
      <c r="C1100" s="82"/>
      <c r="D1100" s="83"/>
      <c r="E1100" s="84"/>
      <c r="F1100" s="114"/>
      <c r="G1100" s="86"/>
      <c r="H1100" s="77"/>
      <c r="I1100" s="82"/>
      <c r="J1100" s="87"/>
      <c r="K1100" s="77"/>
      <c r="L1100" s="89"/>
      <c r="M1100" s="77"/>
      <c r="N1100" s="77"/>
      <c r="O1100" s="77"/>
      <c r="P1100" s="77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</row>
    <row r="1101">
      <c r="A1101" s="102" t="str">
        <f t="shared" si="1"/>
        <v/>
      </c>
      <c r="B1101" s="94"/>
      <c r="C1101" s="95"/>
      <c r="D1101" s="96"/>
      <c r="E1101" s="97"/>
      <c r="F1101" s="109"/>
      <c r="G1101" s="99"/>
      <c r="H1101" s="102"/>
      <c r="I1101" s="95"/>
      <c r="J1101" s="93"/>
      <c r="K1101" s="102"/>
      <c r="L1101" s="101"/>
      <c r="M1101" s="102"/>
      <c r="N1101" s="102"/>
      <c r="O1101" s="102"/>
      <c r="P1101" s="102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</row>
    <row r="1102">
      <c r="A1102" s="77" t="str">
        <f t="shared" si="1"/>
        <v/>
      </c>
      <c r="B1102" s="78"/>
      <c r="C1102" s="82"/>
      <c r="D1102" s="83"/>
      <c r="E1102" s="84"/>
      <c r="F1102" s="114"/>
      <c r="G1102" s="86"/>
      <c r="H1102" s="77"/>
      <c r="I1102" s="82"/>
      <c r="J1102" s="87"/>
      <c r="K1102" s="77"/>
      <c r="L1102" s="89"/>
      <c r="M1102" s="77"/>
      <c r="N1102" s="77"/>
      <c r="O1102" s="77"/>
      <c r="P1102" s="77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</row>
    <row r="1103">
      <c r="A1103" s="102" t="str">
        <f t="shared" si="1"/>
        <v/>
      </c>
      <c r="B1103" s="94"/>
      <c r="C1103" s="95"/>
      <c r="D1103" s="96"/>
      <c r="E1103" s="97"/>
      <c r="F1103" s="109"/>
      <c r="G1103" s="99"/>
      <c r="H1103" s="102"/>
      <c r="I1103" s="95"/>
      <c r="J1103" s="93"/>
      <c r="K1103" s="102"/>
      <c r="L1103" s="101"/>
      <c r="M1103" s="102"/>
      <c r="N1103" s="102"/>
      <c r="O1103" s="102"/>
      <c r="P1103" s="102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</row>
    <row r="1104">
      <c r="A1104" s="77" t="str">
        <f t="shared" si="1"/>
        <v/>
      </c>
      <c r="B1104" s="78"/>
      <c r="C1104" s="82"/>
      <c r="D1104" s="83"/>
      <c r="E1104" s="84"/>
      <c r="F1104" s="114"/>
      <c r="G1104" s="86"/>
      <c r="H1104" s="77"/>
      <c r="I1104" s="82"/>
      <c r="J1104" s="87"/>
      <c r="K1104" s="77"/>
      <c r="L1104" s="89"/>
      <c r="M1104" s="77"/>
      <c r="N1104" s="77"/>
      <c r="O1104" s="77"/>
      <c r="P1104" s="77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</row>
    <row r="1105">
      <c r="A1105" s="102" t="str">
        <f t="shared" si="1"/>
        <v/>
      </c>
      <c r="B1105" s="94"/>
      <c r="C1105" s="95"/>
      <c r="D1105" s="96"/>
      <c r="E1105" s="97"/>
      <c r="F1105" s="109"/>
      <c r="G1105" s="99"/>
      <c r="H1105" s="102"/>
      <c r="I1105" s="95"/>
      <c r="J1105" s="93"/>
      <c r="K1105" s="102"/>
      <c r="L1105" s="101"/>
      <c r="M1105" s="102"/>
      <c r="N1105" s="102"/>
      <c r="O1105" s="102"/>
      <c r="P1105" s="102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</row>
    <row r="1106">
      <c r="A1106" s="77" t="str">
        <f t="shared" si="1"/>
        <v/>
      </c>
      <c r="B1106" s="78"/>
      <c r="C1106" s="82"/>
      <c r="D1106" s="83"/>
      <c r="E1106" s="84"/>
      <c r="F1106" s="114"/>
      <c r="G1106" s="86"/>
      <c r="H1106" s="77"/>
      <c r="I1106" s="82"/>
      <c r="J1106" s="87"/>
      <c r="K1106" s="77"/>
      <c r="L1106" s="89"/>
      <c r="M1106" s="77"/>
      <c r="N1106" s="77"/>
      <c r="O1106" s="77"/>
      <c r="P1106" s="77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</row>
    <row r="1107">
      <c r="A1107" s="102" t="str">
        <f t="shared" si="1"/>
        <v/>
      </c>
      <c r="B1107" s="94"/>
      <c r="C1107" s="95"/>
      <c r="D1107" s="96"/>
      <c r="E1107" s="97"/>
      <c r="F1107" s="109"/>
      <c r="G1107" s="99"/>
      <c r="H1107" s="102"/>
      <c r="I1107" s="95"/>
      <c r="J1107" s="93"/>
      <c r="K1107" s="102"/>
      <c r="L1107" s="101"/>
      <c r="M1107" s="102"/>
      <c r="N1107" s="102"/>
      <c r="O1107" s="102"/>
      <c r="P1107" s="102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</row>
    <row r="1108">
      <c r="A1108" s="77" t="str">
        <f t="shared" si="1"/>
        <v/>
      </c>
      <c r="B1108" s="78"/>
      <c r="C1108" s="82"/>
      <c r="D1108" s="83"/>
      <c r="E1108" s="84"/>
      <c r="F1108" s="114"/>
      <c r="G1108" s="86"/>
      <c r="H1108" s="77"/>
      <c r="I1108" s="82"/>
      <c r="J1108" s="87"/>
      <c r="K1108" s="77"/>
      <c r="L1108" s="89"/>
      <c r="M1108" s="77"/>
      <c r="N1108" s="77"/>
      <c r="O1108" s="77"/>
      <c r="P1108" s="77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</row>
    <row r="1109">
      <c r="A1109" s="102" t="str">
        <f t="shared" si="1"/>
        <v/>
      </c>
      <c r="B1109" s="94"/>
      <c r="C1109" s="95"/>
      <c r="D1109" s="96"/>
      <c r="E1109" s="97"/>
      <c r="F1109" s="109"/>
      <c r="G1109" s="99"/>
      <c r="H1109" s="102"/>
      <c r="I1109" s="95"/>
      <c r="J1109" s="93"/>
      <c r="K1109" s="102"/>
      <c r="L1109" s="101"/>
      <c r="M1109" s="102"/>
      <c r="N1109" s="102"/>
      <c r="O1109" s="102"/>
      <c r="P1109" s="102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</row>
    <row r="1110">
      <c r="A1110" s="77" t="str">
        <f t="shared" si="1"/>
        <v/>
      </c>
      <c r="B1110" s="78"/>
      <c r="C1110" s="82"/>
      <c r="D1110" s="83"/>
      <c r="E1110" s="84"/>
      <c r="F1110" s="114"/>
      <c r="G1110" s="86"/>
      <c r="H1110" s="77"/>
      <c r="I1110" s="82"/>
      <c r="J1110" s="87"/>
      <c r="K1110" s="77"/>
      <c r="L1110" s="89"/>
      <c r="M1110" s="77"/>
      <c r="N1110" s="77"/>
      <c r="O1110" s="77"/>
      <c r="P1110" s="77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</row>
    <row r="1111">
      <c r="A1111" s="102" t="str">
        <f t="shared" si="1"/>
        <v/>
      </c>
      <c r="B1111" s="94"/>
      <c r="C1111" s="95"/>
      <c r="D1111" s="96"/>
      <c r="E1111" s="97"/>
      <c r="F1111" s="109"/>
      <c r="G1111" s="99"/>
      <c r="H1111" s="102"/>
      <c r="I1111" s="95"/>
      <c r="J1111" s="93"/>
      <c r="K1111" s="102"/>
      <c r="L1111" s="101"/>
      <c r="M1111" s="102"/>
      <c r="N1111" s="102"/>
      <c r="O1111" s="102"/>
      <c r="P1111" s="102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</row>
    <row r="1112">
      <c r="A1112" s="77" t="str">
        <f t="shared" si="1"/>
        <v/>
      </c>
      <c r="B1112" s="78"/>
      <c r="C1112" s="82"/>
      <c r="D1112" s="83"/>
      <c r="E1112" s="84"/>
      <c r="F1112" s="114"/>
      <c r="G1112" s="86"/>
      <c r="H1112" s="77"/>
      <c r="I1112" s="82"/>
      <c r="J1112" s="87"/>
      <c r="K1112" s="77"/>
      <c r="L1112" s="89"/>
      <c r="M1112" s="77"/>
      <c r="N1112" s="77"/>
      <c r="O1112" s="77"/>
      <c r="P1112" s="77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</row>
    <row r="1113">
      <c r="A1113" s="102" t="str">
        <f t="shared" si="1"/>
        <v/>
      </c>
      <c r="B1113" s="94"/>
      <c r="C1113" s="95"/>
      <c r="D1113" s="96"/>
      <c r="E1113" s="97"/>
      <c r="F1113" s="109"/>
      <c r="G1113" s="99"/>
      <c r="H1113" s="102"/>
      <c r="I1113" s="95"/>
      <c r="J1113" s="93"/>
      <c r="K1113" s="102"/>
      <c r="L1113" s="101"/>
      <c r="M1113" s="102"/>
      <c r="N1113" s="102"/>
      <c r="O1113" s="102"/>
      <c r="P1113" s="102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</row>
    <row r="1114">
      <c r="A1114" s="77" t="str">
        <f t="shared" si="1"/>
        <v/>
      </c>
      <c r="B1114" s="78"/>
      <c r="C1114" s="82"/>
      <c r="D1114" s="83"/>
      <c r="E1114" s="84"/>
      <c r="F1114" s="114"/>
      <c r="G1114" s="86"/>
      <c r="H1114" s="77"/>
      <c r="I1114" s="82"/>
      <c r="J1114" s="87"/>
      <c r="K1114" s="77"/>
      <c r="L1114" s="89"/>
      <c r="M1114" s="77"/>
      <c r="N1114" s="77"/>
      <c r="O1114" s="77"/>
      <c r="P1114" s="77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</row>
    <row r="1115">
      <c r="A1115" s="102" t="str">
        <f t="shared" si="1"/>
        <v/>
      </c>
      <c r="B1115" s="94"/>
      <c r="C1115" s="95"/>
      <c r="D1115" s="96"/>
      <c r="E1115" s="97"/>
      <c r="F1115" s="109"/>
      <c r="G1115" s="99"/>
      <c r="H1115" s="102"/>
      <c r="I1115" s="95"/>
      <c r="J1115" s="93"/>
      <c r="K1115" s="102"/>
      <c r="L1115" s="101"/>
      <c r="M1115" s="102"/>
      <c r="N1115" s="102"/>
      <c r="O1115" s="102"/>
      <c r="P1115" s="102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</row>
    <row r="1116">
      <c r="A1116" s="77" t="str">
        <f t="shared" si="1"/>
        <v/>
      </c>
      <c r="B1116" s="78"/>
      <c r="C1116" s="82"/>
      <c r="D1116" s="83"/>
      <c r="E1116" s="84"/>
      <c r="F1116" s="114"/>
      <c r="G1116" s="86"/>
      <c r="H1116" s="77"/>
      <c r="I1116" s="82"/>
      <c r="J1116" s="87"/>
      <c r="K1116" s="77"/>
      <c r="L1116" s="89"/>
      <c r="M1116" s="77"/>
      <c r="N1116" s="77"/>
      <c r="O1116" s="77"/>
      <c r="P1116" s="77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</row>
    <row r="1117">
      <c r="A1117" s="102" t="str">
        <f t="shared" si="1"/>
        <v/>
      </c>
      <c r="B1117" s="94"/>
      <c r="C1117" s="95"/>
      <c r="D1117" s="96"/>
      <c r="E1117" s="97"/>
      <c r="F1117" s="109"/>
      <c r="G1117" s="99"/>
      <c r="H1117" s="102"/>
      <c r="I1117" s="95"/>
      <c r="J1117" s="93"/>
      <c r="K1117" s="102"/>
      <c r="L1117" s="101"/>
      <c r="M1117" s="102"/>
      <c r="N1117" s="102"/>
      <c r="O1117" s="102"/>
      <c r="P1117" s="102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</row>
    <row r="1118">
      <c r="A1118" s="77" t="str">
        <f t="shared" si="1"/>
        <v/>
      </c>
      <c r="B1118" s="78"/>
      <c r="C1118" s="82"/>
      <c r="D1118" s="83"/>
      <c r="E1118" s="84"/>
      <c r="F1118" s="114"/>
      <c r="G1118" s="86"/>
      <c r="H1118" s="77"/>
      <c r="I1118" s="82"/>
      <c r="J1118" s="87"/>
      <c r="K1118" s="77"/>
      <c r="L1118" s="89"/>
      <c r="M1118" s="77"/>
      <c r="N1118" s="77"/>
      <c r="O1118" s="77"/>
      <c r="P1118" s="77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</row>
    <row r="1119">
      <c r="A1119" s="102" t="str">
        <f t="shared" si="1"/>
        <v/>
      </c>
      <c r="B1119" s="94"/>
      <c r="C1119" s="95"/>
      <c r="D1119" s="96"/>
      <c r="E1119" s="97"/>
      <c r="F1119" s="109"/>
      <c r="G1119" s="99"/>
      <c r="H1119" s="102"/>
      <c r="I1119" s="95"/>
      <c r="J1119" s="93"/>
      <c r="K1119" s="102"/>
      <c r="L1119" s="101"/>
      <c r="M1119" s="102"/>
      <c r="N1119" s="102"/>
      <c r="O1119" s="102"/>
      <c r="P1119" s="102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</row>
    <row r="1120">
      <c r="A1120" s="77" t="str">
        <f t="shared" si="1"/>
        <v/>
      </c>
      <c r="B1120" s="78"/>
      <c r="C1120" s="82"/>
      <c r="D1120" s="83"/>
      <c r="E1120" s="84"/>
      <c r="F1120" s="114"/>
      <c r="G1120" s="86"/>
      <c r="H1120" s="77"/>
      <c r="I1120" s="82"/>
      <c r="J1120" s="87"/>
      <c r="K1120" s="77"/>
      <c r="L1120" s="89"/>
      <c r="M1120" s="77"/>
      <c r="N1120" s="77"/>
      <c r="O1120" s="77"/>
      <c r="P1120" s="77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</row>
    <row r="1121">
      <c r="A1121" s="102" t="str">
        <f t="shared" si="1"/>
        <v/>
      </c>
      <c r="B1121" s="94"/>
      <c r="C1121" s="95"/>
      <c r="D1121" s="96"/>
      <c r="E1121" s="97"/>
      <c r="F1121" s="109"/>
      <c r="G1121" s="99"/>
      <c r="H1121" s="102"/>
      <c r="I1121" s="95"/>
      <c r="J1121" s="93"/>
      <c r="K1121" s="102"/>
      <c r="L1121" s="101"/>
      <c r="M1121" s="102"/>
      <c r="N1121" s="102"/>
      <c r="O1121" s="102"/>
      <c r="P1121" s="102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</row>
    <row r="1122">
      <c r="A1122" s="77" t="str">
        <f t="shared" si="1"/>
        <v/>
      </c>
      <c r="B1122" s="78"/>
      <c r="C1122" s="82"/>
      <c r="D1122" s="83"/>
      <c r="E1122" s="84"/>
      <c r="F1122" s="114"/>
      <c r="G1122" s="86"/>
      <c r="H1122" s="77"/>
      <c r="I1122" s="82"/>
      <c r="J1122" s="87"/>
      <c r="K1122" s="77"/>
      <c r="L1122" s="89"/>
      <c r="M1122" s="77"/>
      <c r="N1122" s="77"/>
      <c r="O1122" s="77"/>
      <c r="P1122" s="77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</row>
    <row r="1123">
      <c r="A1123" s="102" t="str">
        <f t="shared" si="1"/>
        <v/>
      </c>
      <c r="B1123" s="94"/>
      <c r="C1123" s="95"/>
      <c r="D1123" s="96"/>
      <c r="E1123" s="97"/>
      <c r="F1123" s="109"/>
      <c r="G1123" s="99"/>
      <c r="H1123" s="102"/>
      <c r="I1123" s="95"/>
      <c r="J1123" s="93"/>
      <c r="K1123" s="102"/>
      <c r="L1123" s="101"/>
      <c r="M1123" s="102"/>
      <c r="N1123" s="102"/>
      <c r="O1123" s="102"/>
      <c r="P1123" s="102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</row>
    <row r="1124">
      <c r="A1124" s="77" t="str">
        <f t="shared" si="1"/>
        <v/>
      </c>
      <c r="B1124" s="78"/>
      <c r="C1124" s="82"/>
      <c r="D1124" s="83"/>
      <c r="E1124" s="84"/>
      <c r="F1124" s="114"/>
      <c r="G1124" s="86"/>
      <c r="H1124" s="77"/>
      <c r="I1124" s="82"/>
      <c r="J1124" s="87"/>
      <c r="K1124" s="77"/>
      <c r="L1124" s="89"/>
      <c r="M1124" s="77"/>
      <c r="N1124" s="77"/>
      <c r="O1124" s="77"/>
      <c r="P1124" s="77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</row>
    <row r="1125">
      <c r="A1125" s="102" t="str">
        <f t="shared" si="1"/>
        <v/>
      </c>
      <c r="B1125" s="94"/>
      <c r="C1125" s="95"/>
      <c r="D1125" s="96"/>
      <c r="E1125" s="97"/>
      <c r="F1125" s="109"/>
      <c r="G1125" s="99"/>
      <c r="H1125" s="102"/>
      <c r="I1125" s="95"/>
      <c r="J1125" s="93"/>
      <c r="K1125" s="102"/>
      <c r="L1125" s="101"/>
      <c r="M1125" s="102"/>
      <c r="N1125" s="102"/>
      <c r="O1125" s="102"/>
      <c r="P1125" s="102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</row>
    <row r="1126">
      <c r="A1126" s="77" t="str">
        <f t="shared" si="1"/>
        <v/>
      </c>
      <c r="B1126" s="78"/>
      <c r="C1126" s="82"/>
      <c r="D1126" s="83"/>
      <c r="E1126" s="84"/>
      <c r="F1126" s="114"/>
      <c r="G1126" s="86"/>
      <c r="H1126" s="77"/>
      <c r="I1126" s="82"/>
      <c r="J1126" s="87"/>
      <c r="K1126" s="77"/>
      <c r="L1126" s="89"/>
      <c r="M1126" s="77"/>
      <c r="N1126" s="77"/>
      <c r="O1126" s="77"/>
      <c r="P1126" s="77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</row>
    <row r="1127">
      <c r="A1127" s="102" t="str">
        <f t="shared" si="1"/>
        <v/>
      </c>
      <c r="B1127" s="94"/>
      <c r="C1127" s="95"/>
      <c r="D1127" s="96"/>
      <c r="E1127" s="97"/>
      <c r="F1127" s="109"/>
      <c r="G1127" s="99"/>
      <c r="H1127" s="102"/>
      <c r="I1127" s="95"/>
      <c r="J1127" s="93"/>
      <c r="K1127" s="102"/>
      <c r="L1127" s="101"/>
      <c r="M1127" s="102"/>
      <c r="N1127" s="102"/>
      <c r="O1127" s="102"/>
      <c r="P1127" s="102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</row>
    <row r="1128">
      <c r="A1128" s="77" t="str">
        <f t="shared" si="1"/>
        <v/>
      </c>
      <c r="B1128" s="78"/>
      <c r="C1128" s="82"/>
      <c r="D1128" s="83"/>
      <c r="E1128" s="84"/>
      <c r="F1128" s="114"/>
      <c r="G1128" s="86"/>
      <c r="H1128" s="77"/>
      <c r="I1128" s="82"/>
      <c r="J1128" s="87"/>
      <c r="K1128" s="77"/>
      <c r="L1128" s="89"/>
      <c r="M1128" s="77"/>
      <c r="N1128" s="77"/>
      <c r="O1128" s="77"/>
      <c r="P1128" s="77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</row>
    <row r="1129">
      <c r="A1129" s="102" t="str">
        <f t="shared" si="1"/>
        <v/>
      </c>
      <c r="B1129" s="94"/>
      <c r="C1129" s="95"/>
      <c r="D1129" s="96"/>
      <c r="E1129" s="97"/>
      <c r="F1129" s="109"/>
      <c r="G1129" s="99"/>
      <c r="H1129" s="102"/>
      <c r="I1129" s="95"/>
      <c r="J1129" s="93"/>
      <c r="K1129" s="102"/>
      <c r="L1129" s="101"/>
      <c r="M1129" s="102"/>
      <c r="N1129" s="102"/>
      <c r="O1129" s="102"/>
      <c r="P1129" s="102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</row>
    <row r="1130">
      <c r="A1130" s="77" t="str">
        <f t="shared" si="1"/>
        <v/>
      </c>
      <c r="B1130" s="78"/>
      <c r="C1130" s="82"/>
      <c r="D1130" s="83"/>
      <c r="E1130" s="84"/>
      <c r="F1130" s="114"/>
      <c r="G1130" s="86"/>
      <c r="H1130" s="77"/>
      <c r="I1130" s="82"/>
      <c r="J1130" s="87"/>
      <c r="K1130" s="77"/>
      <c r="L1130" s="89"/>
      <c r="M1130" s="77"/>
      <c r="N1130" s="77"/>
      <c r="O1130" s="77"/>
      <c r="P1130" s="77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</row>
    <row r="1131">
      <c r="A1131" s="102" t="str">
        <f t="shared" si="1"/>
        <v/>
      </c>
      <c r="B1131" s="94"/>
      <c r="C1131" s="95"/>
      <c r="D1131" s="96"/>
      <c r="E1131" s="97"/>
      <c r="F1131" s="109"/>
      <c r="G1131" s="99"/>
      <c r="H1131" s="102"/>
      <c r="I1131" s="95"/>
      <c r="J1131" s="93"/>
      <c r="K1131" s="102"/>
      <c r="L1131" s="101"/>
      <c r="M1131" s="102"/>
      <c r="N1131" s="102"/>
      <c r="O1131" s="102"/>
      <c r="P1131" s="102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</row>
    <row r="1132">
      <c r="A1132" s="77" t="str">
        <f t="shared" si="1"/>
        <v/>
      </c>
      <c r="B1132" s="78"/>
      <c r="C1132" s="82"/>
      <c r="D1132" s="83"/>
      <c r="E1132" s="84"/>
      <c r="F1132" s="114"/>
      <c r="G1132" s="86"/>
      <c r="H1132" s="77"/>
      <c r="I1132" s="82"/>
      <c r="J1132" s="87"/>
      <c r="K1132" s="77"/>
      <c r="L1132" s="89"/>
      <c r="M1132" s="77"/>
      <c r="N1132" s="77"/>
      <c r="O1132" s="77"/>
      <c r="P1132" s="77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</row>
    <row r="1133">
      <c r="A1133" s="102" t="str">
        <f t="shared" si="1"/>
        <v/>
      </c>
      <c r="B1133" s="94"/>
      <c r="C1133" s="95"/>
      <c r="D1133" s="96"/>
      <c r="E1133" s="97"/>
      <c r="F1133" s="109"/>
      <c r="G1133" s="99"/>
      <c r="H1133" s="102"/>
      <c r="I1133" s="95"/>
      <c r="J1133" s="93"/>
      <c r="K1133" s="102"/>
      <c r="L1133" s="101"/>
      <c r="M1133" s="102"/>
      <c r="N1133" s="102"/>
      <c r="O1133" s="102"/>
      <c r="P1133" s="102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</row>
    <row r="1134">
      <c r="A1134" s="77" t="str">
        <f t="shared" si="1"/>
        <v/>
      </c>
      <c r="B1134" s="78"/>
      <c r="C1134" s="82"/>
      <c r="D1134" s="83"/>
      <c r="E1134" s="84"/>
      <c r="F1134" s="114"/>
      <c r="G1134" s="86"/>
      <c r="H1134" s="77"/>
      <c r="I1134" s="82"/>
      <c r="J1134" s="87"/>
      <c r="K1134" s="77"/>
      <c r="L1134" s="89"/>
      <c r="M1134" s="77"/>
      <c r="N1134" s="77"/>
      <c r="O1134" s="77"/>
      <c r="P1134" s="77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</row>
    <row r="1135">
      <c r="A1135" s="102" t="str">
        <f t="shared" si="1"/>
        <v/>
      </c>
      <c r="B1135" s="94"/>
      <c r="C1135" s="95"/>
      <c r="D1135" s="96"/>
      <c r="E1135" s="97"/>
      <c r="F1135" s="109"/>
      <c r="G1135" s="99"/>
      <c r="H1135" s="102"/>
      <c r="I1135" s="95"/>
      <c r="J1135" s="93"/>
      <c r="K1135" s="102"/>
      <c r="L1135" s="101"/>
      <c r="M1135" s="102"/>
      <c r="N1135" s="102"/>
      <c r="O1135" s="102"/>
      <c r="P1135" s="102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</row>
    <row r="1136">
      <c r="A1136" s="77" t="str">
        <f t="shared" si="1"/>
        <v/>
      </c>
      <c r="B1136" s="78"/>
      <c r="C1136" s="82"/>
      <c r="D1136" s="83"/>
      <c r="E1136" s="84"/>
      <c r="F1136" s="114"/>
      <c r="G1136" s="86"/>
      <c r="H1136" s="77"/>
      <c r="I1136" s="82"/>
      <c r="J1136" s="87"/>
      <c r="K1136" s="77"/>
      <c r="L1136" s="89"/>
      <c r="M1136" s="77"/>
      <c r="N1136" s="77"/>
      <c r="O1136" s="77"/>
      <c r="P1136" s="77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</row>
    <row r="1137">
      <c r="A1137" s="102" t="str">
        <f t="shared" si="1"/>
        <v/>
      </c>
      <c r="B1137" s="94"/>
      <c r="C1137" s="95"/>
      <c r="D1137" s="96"/>
      <c r="E1137" s="97"/>
      <c r="F1137" s="109"/>
      <c r="G1137" s="99"/>
      <c r="H1137" s="102"/>
      <c r="I1137" s="95"/>
      <c r="J1137" s="93"/>
      <c r="K1137" s="102"/>
      <c r="L1137" s="101"/>
      <c r="M1137" s="102"/>
      <c r="N1137" s="102"/>
      <c r="O1137" s="102"/>
      <c r="P1137" s="102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</row>
    <row r="1138">
      <c r="A1138" s="77" t="str">
        <f t="shared" si="1"/>
        <v/>
      </c>
      <c r="B1138" s="78"/>
      <c r="C1138" s="82"/>
      <c r="D1138" s="83"/>
      <c r="E1138" s="84"/>
      <c r="F1138" s="114"/>
      <c r="G1138" s="86"/>
      <c r="H1138" s="77"/>
      <c r="I1138" s="82"/>
      <c r="J1138" s="87"/>
      <c r="K1138" s="77"/>
      <c r="L1138" s="89"/>
      <c r="M1138" s="77"/>
      <c r="N1138" s="77"/>
      <c r="O1138" s="77"/>
      <c r="P1138" s="77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</row>
    <row r="1139">
      <c r="A1139" s="102" t="str">
        <f t="shared" si="1"/>
        <v/>
      </c>
      <c r="B1139" s="94"/>
      <c r="C1139" s="95"/>
      <c r="D1139" s="96"/>
      <c r="E1139" s="97"/>
      <c r="F1139" s="109"/>
      <c r="G1139" s="99"/>
      <c r="H1139" s="102"/>
      <c r="I1139" s="95"/>
      <c r="J1139" s="93"/>
      <c r="K1139" s="102"/>
      <c r="L1139" s="101"/>
      <c r="M1139" s="102"/>
      <c r="N1139" s="102"/>
      <c r="O1139" s="102"/>
      <c r="P1139" s="102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</row>
    <row r="1140">
      <c r="A1140" s="77" t="str">
        <f t="shared" si="1"/>
        <v/>
      </c>
      <c r="B1140" s="78"/>
      <c r="C1140" s="82"/>
      <c r="D1140" s="83"/>
      <c r="E1140" s="84"/>
      <c r="F1140" s="114"/>
      <c r="G1140" s="86"/>
      <c r="H1140" s="77"/>
      <c r="I1140" s="82"/>
      <c r="J1140" s="87"/>
      <c r="K1140" s="77"/>
      <c r="L1140" s="89"/>
      <c r="M1140" s="77"/>
      <c r="N1140" s="77"/>
      <c r="O1140" s="77"/>
      <c r="P1140" s="77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</row>
    <row r="1141">
      <c r="A1141" s="102" t="str">
        <f t="shared" si="1"/>
        <v/>
      </c>
      <c r="B1141" s="94"/>
      <c r="C1141" s="95"/>
      <c r="D1141" s="96"/>
      <c r="E1141" s="97"/>
      <c r="F1141" s="109"/>
      <c r="G1141" s="99"/>
      <c r="H1141" s="102"/>
      <c r="I1141" s="95"/>
      <c r="J1141" s="93"/>
      <c r="K1141" s="102"/>
      <c r="L1141" s="101"/>
      <c r="M1141" s="102"/>
      <c r="N1141" s="102"/>
      <c r="O1141" s="102"/>
      <c r="P1141" s="102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</row>
    <row r="1142">
      <c r="A1142" s="77" t="str">
        <f t="shared" si="1"/>
        <v/>
      </c>
      <c r="B1142" s="78"/>
      <c r="C1142" s="82"/>
      <c r="D1142" s="83"/>
      <c r="E1142" s="84"/>
      <c r="F1142" s="114"/>
      <c r="G1142" s="86"/>
      <c r="H1142" s="77"/>
      <c r="I1142" s="82"/>
      <c r="J1142" s="87"/>
      <c r="K1142" s="77"/>
      <c r="L1142" s="89"/>
      <c r="M1142" s="77"/>
      <c r="N1142" s="77"/>
      <c r="O1142" s="77"/>
      <c r="P1142" s="77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</row>
    <row r="1143">
      <c r="A1143" s="102" t="str">
        <f t="shared" si="1"/>
        <v/>
      </c>
      <c r="B1143" s="94"/>
      <c r="C1143" s="95"/>
      <c r="D1143" s="96"/>
      <c r="E1143" s="97"/>
      <c r="F1143" s="109"/>
      <c r="G1143" s="99"/>
      <c r="H1143" s="102"/>
      <c r="I1143" s="95"/>
      <c r="J1143" s="93"/>
      <c r="K1143" s="102"/>
      <c r="L1143" s="101"/>
      <c r="M1143" s="102"/>
      <c r="N1143" s="102"/>
      <c r="O1143" s="102"/>
      <c r="P1143" s="102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</row>
    <row r="1144">
      <c r="A1144" s="77" t="str">
        <f t="shared" si="1"/>
        <v/>
      </c>
      <c r="B1144" s="78"/>
      <c r="C1144" s="82"/>
      <c r="D1144" s="83"/>
      <c r="E1144" s="84"/>
      <c r="F1144" s="114"/>
      <c r="G1144" s="86"/>
      <c r="H1144" s="77"/>
      <c r="I1144" s="82"/>
      <c r="J1144" s="87"/>
      <c r="K1144" s="77"/>
      <c r="L1144" s="89"/>
      <c r="M1144" s="77"/>
      <c r="N1144" s="77"/>
      <c r="O1144" s="77"/>
      <c r="P1144" s="77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</row>
    <row r="1145">
      <c r="A1145" s="102" t="str">
        <f t="shared" si="1"/>
        <v/>
      </c>
      <c r="B1145" s="94"/>
      <c r="C1145" s="95"/>
      <c r="D1145" s="96"/>
      <c r="E1145" s="97"/>
      <c r="F1145" s="109"/>
      <c r="G1145" s="99"/>
      <c r="H1145" s="102"/>
      <c r="I1145" s="95"/>
      <c r="J1145" s="93"/>
      <c r="K1145" s="102"/>
      <c r="L1145" s="101"/>
      <c r="M1145" s="102"/>
      <c r="N1145" s="102"/>
      <c r="O1145" s="102"/>
      <c r="P1145" s="102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</row>
    <row r="1146">
      <c r="A1146" s="77" t="str">
        <f t="shared" si="1"/>
        <v/>
      </c>
      <c r="B1146" s="78"/>
      <c r="C1146" s="82"/>
      <c r="D1146" s="83"/>
      <c r="E1146" s="84"/>
      <c r="F1146" s="114"/>
      <c r="G1146" s="86"/>
      <c r="H1146" s="77"/>
      <c r="I1146" s="82"/>
      <c r="J1146" s="87"/>
      <c r="K1146" s="77"/>
      <c r="L1146" s="89"/>
      <c r="M1146" s="77"/>
      <c r="N1146" s="77"/>
      <c r="O1146" s="77"/>
      <c r="P1146" s="77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</row>
    <row r="1147">
      <c r="A1147" s="102" t="str">
        <f t="shared" si="1"/>
        <v/>
      </c>
      <c r="B1147" s="94"/>
      <c r="C1147" s="95"/>
      <c r="D1147" s="96"/>
      <c r="E1147" s="97"/>
      <c r="F1147" s="109"/>
      <c r="G1147" s="99"/>
      <c r="H1147" s="102"/>
      <c r="I1147" s="95"/>
      <c r="J1147" s="93"/>
      <c r="K1147" s="102"/>
      <c r="L1147" s="101"/>
      <c r="M1147" s="102"/>
      <c r="N1147" s="102"/>
      <c r="O1147" s="102"/>
      <c r="P1147" s="102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</row>
    <row r="1148">
      <c r="A1148" s="77" t="str">
        <f t="shared" si="1"/>
        <v/>
      </c>
      <c r="B1148" s="78"/>
      <c r="C1148" s="82"/>
      <c r="D1148" s="83"/>
      <c r="E1148" s="84"/>
      <c r="F1148" s="114"/>
      <c r="G1148" s="86"/>
      <c r="H1148" s="77"/>
      <c r="I1148" s="82"/>
      <c r="J1148" s="87"/>
      <c r="K1148" s="77"/>
      <c r="L1148" s="89"/>
      <c r="M1148" s="77"/>
      <c r="N1148" s="77"/>
      <c r="O1148" s="77"/>
      <c r="P1148" s="77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</row>
    <row r="1149">
      <c r="A1149" s="102" t="str">
        <f t="shared" si="1"/>
        <v/>
      </c>
      <c r="B1149" s="94"/>
      <c r="C1149" s="95"/>
      <c r="D1149" s="96"/>
      <c r="E1149" s="97"/>
      <c r="F1149" s="109"/>
      <c r="G1149" s="99"/>
      <c r="H1149" s="102"/>
      <c r="I1149" s="95"/>
      <c r="J1149" s="93"/>
      <c r="K1149" s="102"/>
      <c r="L1149" s="101"/>
      <c r="M1149" s="102"/>
      <c r="N1149" s="102"/>
      <c r="O1149" s="102"/>
      <c r="P1149" s="102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</row>
    <row r="1150">
      <c r="A1150" s="77" t="str">
        <f t="shared" si="1"/>
        <v/>
      </c>
      <c r="B1150" s="78"/>
      <c r="C1150" s="82"/>
      <c r="D1150" s="83"/>
      <c r="E1150" s="84"/>
      <c r="F1150" s="114"/>
      <c r="G1150" s="86"/>
      <c r="H1150" s="77"/>
      <c r="I1150" s="82"/>
      <c r="J1150" s="87"/>
      <c r="K1150" s="77"/>
      <c r="L1150" s="89"/>
      <c r="M1150" s="77"/>
      <c r="N1150" s="77"/>
      <c r="O1150" s="77"/>
      <c r="P1150" s="77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</row>
    <row r="1151">
      <c r="A1151" s="102" t="str">
        <f t="shared" si="1"/>
        <v/>
      </c>
      <c r="B1151" s="94"/>
      <c r="C1151" s="95"/>
      <c r="D1151" s="96"/>
      <c r="E1151" s="97"/>
      <c r="F1151" s="109"/>
      <c r="G1151" s="99"/>
      <c r="H1151" s="102"/>
      <c r="I1151" s="95"/>
      <c r="J1151" s="93"/>
      <c r="K1151" s="102"/>
      <c r="L1151" s="101"/>
      <c r="M1151" s="102"/>
      <c r="N1151" s="102"/>
      <c r="O1151" s="102"/>
      <c r="P1151" s="102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</row>
    <row r="1152">
      <c r="A1152" s="77" t="str">
        <f t="shared" si="1"/>
        <v/>
      </c>
      <c r="B1152" s="78"/>
      <c r="C1152" s="82"/>
      <c r="D1152" s="83"/>
      <c r="E1152" s="84"/>
      <c r="F1152" s="114"/>
      <c r="G1152" s="86"/>
      <c r="H1152" s="77"/>
      <c r="I1152" s="82"/>
      <c r="J1152" s="87"/>
      <c r="K1152" s="77"/>
      <c r="L1152" s="89"/>
      <c r="M1152" s="77"/>
      <c r="N1152" s="77"/>
      <c r="O1152" s="77"/>
      <c r="P1152" s="77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</row>
    <row r="1153">
      <c r="A1153" s="102" t="str">
        <f t="shared" si="1"/>
        <v/>
      </c>
      <c r="B1153" s="94"/>
      <c r="C1153" s="95"/>
      <c r="D1153" s="96"/>
      <c r="E1153" s="97"/>
      <c r="F1153" s="109"/>
      <c r="G1153" s="99"/>
      <c r="H1153" s="102"/>
      <c r="I1153" s="95"/>
      <c r="J1153" s="93"/>
      <c r="K1153" s="102"/>
      <c r="L1153" s="101"/>
      <c r="M1153" s="102"/>
      <c r="N1153" s="102"/>
      <c r="O1153" s="102"/>
      <c r="P1153" s="102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</row>
    <row r="1154">
      <c r="A1154" s="77" t="str">
        <f t="shared" si="1"/>
        <v/>
      </c>
      <c r="B1154" s="78"/>
      <c r="C1154" s="82"/>
      <c r="D1154" s="83"/>
      <c r="E1154" s="84"/>
      <c r="F1154" s="114"/>
      <c r="G1154" s="86"/>
      <c r="H1154" s="77"/>
      <c r="I1154" s="82"/>
      <c r="J1154" s="87"/>
      <c r="K1154" s="77"/>
      <c r="L1154" s="89"/>
      <c r="M1154" s="77"/>
      <c r="N1154" s="77"/>
      <c r="O1154" s="77"/>
      <c r="P1154" s="77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</row>
    <row r="1155">
      <c r="A1155" s="102" t="str">
        <f t="shared" si="1"/>
        <v/>
      </c>
      <c r="B1155" s="94"/>
      <c r="C1155" s="95"/>
      <c r="D1155" s="96"/>
      <c r="E1155" s="97"/>
      <c r="F1155" s="109"/>
      <c r="G1155" s="99"/>
      <c r="H1155" s="102"/>
      <c r="I1155" s="95"/>
      <c r="J1155" s="93"/>
      <c r="K1155" s="102"/>
      <c r="L1155" s="101"/>
      <c r="M1155" s="102"/>
      <c r="N1155" s="102"/>
      <c r="O1155" s="102"/>
      <c r="P1155" s="102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</row>
    <row r="1156">
      <c r="A1156" s="77" t="str">
        <f t="shared" si="1"/>
        <v/>
      </c>
      <c r="B1156" s="78"/>
      <c r="C1156" s="82"/>
      <c r="D1156" s="83"/>
      <c r="E1156" s="84"/>
      <c r="F1156" s="114"/>
      <c r="G1156" s="86"/>
      <c r="H1156" s="77"/>
      <c r="I1156" s="82"/>
      <c r="J1156" s="87"/>
      <c r="K1156" s="77"/>
      <c r="L1156" s="89"/>
      <c r="M1156" s="77"/>
      <c r="N1156" s="77"/>
      <c r="O1156" s="77"/>
      <c r="P1156" s="77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</row>
    <row r="1157">
      <c r="A1157" s="102" t="str">
        <f t="shared" si="1"/>
        <v/>
      </c>
      <c r="B1157" s="94"/>
      <c r="C1157" s="95"/>
      <c r="D1157" s="96"/>
      <c r="E1157" s="97"/>
      <c r="F1157" s="109"/>
      <c r="G1157" s="99"/>
      <c r="H1157" s="102"/>
      <c r="I1157" s="95"/>
      <c r="J1157" s="93"/>
      <c r="K1157" s="102"/>
      <c r="L1157" s="101"/>
      <c r="M1157" s="102"/>
      <c r="N1157" s="102"/>
      <c r="O1157" s="102"/>
      <c r="P1157" s="102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</row>
    <row r="1158">
      <c r="A1158" s="77" t="str">
        <f t="shared" si="1"/>
        <v/>
      </c>
      <c r="B1158" s="78"/>
      <c r="C1158" s="82"/>
      <c r="D1158" s="83"/>
      <c r="E1158" s="84"/>
      <c r="F1158" s="114"/>
      <c r="G1158" s="86"/>
      <c r="H1158" s="77"/>
      <c r="I1158" s="82"/>
      <c r="J1158" s="87"/>
      <c r="K1158" s="77"/>
      <c r="L1158" s="89"/>
      <c r="M1158" s="77"/>
      <c r="N1158" s="77"/>
      <c r="O1158" s="77"/>
      <c r="P1158" s="77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</row>
    <row r="1159">
      <c r="A1159" s="102" t="str">
        <f t="shared" si="1"/>
        <v/>
      </c>
      <c r="B1159" s="94"/>
      <c r="C1159" s="95"/>
      <c r="D1159" s="96"/>
      <c r="E1159" s="97"/>
      <c r="F1159" s="109"/>
      <c r="G1159" s="99"/>
      <c r="H1159" s="102"/>
      <c r="I1159" s="95"/>
      <c r="J1159" s="93"/>
      <c r="K1159" s="102"/>
      <c r="L1159" s="101"/>
      <c r="M1159" s="102"/>
      <c r="N1159" s="102"/>
      <c r="O1159" s="102"/>
      <c r="P1159" s="102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</row>
    <row r="1160">
      <c r="A1160" s="77" t="str">
        <f t="shared" si="1"/>
        <v/>
      </c>
      <c r="B1160" s="78"/>
      <c r="C1160" s="82"/>
      <c r="D1160" s="83"/>
      <c r="E1160" s="84"/>
      <c r="F1160" s="114"/>
      <c r="G1160" s="86"/>
      <c r="H1160" s="77"/>
      <c r="I1160" s="82"/>
      <c r="J1160" s="87"/>
      <c r="K1160" s="77"/>
      <c r="L1160" s="89"/>
      <c r="M1160" s="77"/>
      <c r="N1160" s="77"/>
      <c r="O1160" s="77"/>
      <c r="P1160" s="77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</row>
    <row r="1161">
      <c r="A1161" s="102" t="str">
        <f t="shared" si="1"/>
        <v/>
      </c>
      <c r="B1161" s="94"/>
      <c r="C1161" s="95"/>
      <c r="D1161" s="96"/>
      <c r="E1161" s="97"/>
      <c r="F1161" s="109"/>
      <c r="G1161" s="99"/>
      <c r="H1161" s="102"/>
      <c r="I1161" s="95"/>
      <c r="J1161" s="93"/>
      <c r="K1161" s="102"/>
      <c r="L1161" s="101"/>
      <c r="M1161" s="102"/>
      <c r="N1161" s="102"/>
      <c r="O1161" s="102"/>
      <c r="P1161" s="102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</row>
    <row r="1162">
      <c r="A1162" s="77" t="str">
        <f t="shared" si="1"/>
        <v/>
      </c>
      <c r="B1162" s="78"/>
      <c r="C1162" s="82"/>
      <c r="D1162" s="83"/>
      <c r="E1162" s="84"/>
      <c r="F1162" s="114"/>
      <c r="G1162" s="86"/>
      <c r="H1162" s="77"/>
      <c r="I1162" s="82"/>
      <c r="J1162" s="87"/>
      <c r="K1162" s="77"/>
      <c r="L1162" s="89"/>
      <c r="M1162" s="77"/>
      <c r="N1162" s="77"/>
      <c r="O1162" s="77"/>
      <c r="P1162" s="77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</row>
    <row r="1163">
      <c r="A1163" s="102" t="str">
        <f t="shared" si="1"/>
        <v/>
      </c>
      <c r="B1163" s="94"/>
      <c r="C1163" s="95"/>
      <c r="D1163" s="96"/>
      <c r="E1163" s="97"/>
      <c r="F1163" s="109"/>
      <c r="G1163" s="99"/>
      <c r="H1163" s="102"/>
      <c r="I1163" s="95"/>
      <c r="J1163" s="93"/>
      <c r="K1163" s="102"/>
      <c r="L1163" s="101"/>
      <c r="M1163" s="102"/>
      <c r="N1163" s="102"/>
      <c r="O1163" s="102"/>
      <c r="P1163" s="102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</row>
    <row r="1164">
      <c r="A1164" s="77" t="str">
        <f t="shared" si="1"/>
        <v/>
      </c>
      <c r="B1164" s="78"/>
      <c r="C1164" s="82"/>
      <c r="D1164" s="83"/>
      <c r="E1164" s="84"/>
      <c r="F1164" s="114"/>
      <c r="G1164" s="86"/>
      <c r="H1164" s="77"/>
      <c r="I1164" s="82"/>
      <c r="J1164" s="87"/>
      <c r="K1164" s="77"/>
      <c r="L1164" s="89"/>
      <c r="M1164" s="77"/>
      <c r="N1164" s="77"/>
      <c r="O1164" s="77"/>
      <c r="P1164" s="77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</row>
    <row r="1165">
      <c r="A1165" s="102" t="str">
        <f t="shared" si="1"/>
        <v/>
      </c>
      <c r="B1165" s="94"/>
      <c r="C1165" s="95"/>
      <c r="D1165" s="96"/>
      <c r="E1165" s="97"/>
      <c r="F1165" s="109"/>
      <c r="G1165" s="99"/>
      <c r="H1165" s="102"/>
      <c r="I1165" s="95"/>
      <c r="J1165" s="93"/>
      <c r="K1165" s="102"/>
      <c r="L1165" s="101"/>
      <c r="M1165" s="102"/>
      <c r="N1165" s="102"/>
      <c r="O1165" s="102"/>
      <c r="P1165" s="102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</row>
    <row r="1166">
      <c r="A1166" s="77" t="str">
        <f t="shared" si="1"/>
        <v/>
      </c>
      <c r="B1166" s="78"/>
      <c r="C1166" s="82"/>
      <c r="D1166" s="83"/>
      <c r="E1166" s="84"/>
      <c r="F1166" s="114"/>
      <c r="G1166" s="86"/>
      <c r="H1166" s="77"/>
      <c r="I1166" s="82"/>
      <c r="J1166" s="87"/>
      <c r="K1166" s="77"/>
      <c r="L1166" s="89"/>
      <c r="M1166" s="77"/>
      <c r="N1166" s="77"/>
      <c r="O1166" s="77"/>
      <c r="P1166" s="77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</row>
    <row r="1167">
      <c r="A1167" s="102" t="str">
        <f t="shared" si="1"/>
        <v/>
      </c>
      <c r="B1167" s="94"/>
      <c r="C1167" s="95"/>
      <c r="D1167" s="96"/>
      <c r="E1167" s="97"/>
      <c r="F1167" s="109"/>
      <c r="G1167" s="99"/>
      <c r="H1167" s="102"/>
      <c r="I1167" s="95"/>
      <c r="J1167" s="93"/>
      <c r="K1167" s="102"/>
      <c r="L1167" s="101"/>
      <c r="M1167" s="102"/>
      <c r="N1167" s="102"/>
      <c r="O1167" s="102"/>
      <c r="P1167" s="102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</row>
    <row r="1168">
      <c r="A1168" s="77" t="str">
        <f t="shared" si="1"/>
        <v/>
      </c>
      <c r="B1168" s="78"/>
      <c r="C1168" s="82"/>
      <c r="D1168" s="83"/>
      <c r="E1168" s="84"/>
      <c r="F1168" s="114"/>
      <c r="G1168" s="86"/>
      <c r="H1168" s="77"/>
      <c r="I1168" s="82"/>
      <c r="J1168" s="87"/>
      <c r="K1168" s="77"/>
      <c r="L1168" s="89"/>
      <c r="M1168" s="77"/>
      <c r="N1168" s="77"/>
      <c r="O1168" s="77"/>
      <c r="P1168" s="77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</row>
    <row r="1169">
      <c r="A1169" s="102" t="str">
        <f t="shared" si="1"/>
        <v/>
      </c>
      <c r="B1169" s="94"/>
      <c r="C1169" s="95"/>
      <c r="D1169" s="96"/>
      <c r="E1169" s="97"/>
      <c r="F1169" s="109"/>
      <c r="G1169" s="99"/>
      <c r="H1169" s="102"/>
      <c r="I1169" s="95"/>
      <c r="J1169" s="93"/>
      <c r="K1169" s="102"/>
      <c r="L1169" s="101"/>
      <c r="M1169" s="102"/>
      <c r="N1169" s="102"/>
      <c r="O1169" s="102"/>
      <c r="P1169" s="102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</row>
    <row r="1170">
      <c r="A1170" s="77" t="str">
        <f t="shared" si="1"/>
        <v/>
      </c>
      <c r="B1170" s="78"/>
      <c r="C1170" s="82"/>
      <c r="D1170" s="83"/>
      <c r="E1170" s="84"/>
      <c r="F1170" s="114"/>
      <c r="G1170" s="86"/>
      <c r="H1170" s="77"/>
      <c r="I1170" s="82"/>
      <c r="J1170" s="87"/>
      <c r="K1170" s="77"/>
      <c r="L1170" s="89"/>
      <c r="M1170" s="77"/>
      <c r="N1170" s="77"/>
      <c r="O1170" s="77"/>
      <c r="P1170" s="77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</row>
    <row r="1171">
      <c r="A1171" s="102" t="str">
        <f t="shared" si="1"/>
        <v/>
      </c>
      <c r="B1171" s="94"/>
      <c r="C1171" s="95"/>
      <c r="D1171" s="96"/>
      <c r="E1171" s="97"/>
      <c r="F1171" s="109"/>
      <c r="G1171" s="99"/>
      <c r="H1171" s="102"/>
      <c r="I1171" s="95"/>
      <c r="J1171" s="93"/>
      <c r="K1171" s="102"/>
      <c r="L1171" s="101"/>
      <c r="M1171" s="102"/>
      <c r="N1171" s="102"/>
      <c r="O1171" s="102"/>
      <c r="P1171" s="102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</row>
    <row r="1172">
      <c r="A1172" s="77" t="str">
        <f t="shared" si="1"/>
        <v/>
      </c>
      <c r="B1172" s="78"/>
      <c r="C1172" s="82"/>
      <c r="D1172" s="83"/>
      <c r="E1172" s="84"/>
      <c r="F1172" s="114"/>
      <c r="G1172" s="86"/>
      <c r="H1172" s="77"/>
      <c r="I1172" s="82"/>
      <c r="J1172" s="87"/>
      <c r="K1172" s="77"/>
      <c r="L1172" s="89"/>
      <c r="M1172" s="77"/>
      <c r="N1172" s="77"/>
      <c r="O1172" s="77"/>
      <c r="P1172" s="77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</row>
    <row r="1173">
      <c r="A1173" s="102" t="str">
        <f t="shared" si="1"/>
        <v/>
      </c>
      <c r="B1173" s="94"/>
      <c r="C1173" s="95"/>
      <c r="D1173" s="96"/>
      <c r="E1173" s="97"/>
      <c r="F1173" s="109"/>
      <c r="G1173" s="99"/>
      <c r="H1173" s="102"/>
      <c r="I1173" s="95"/>
      <c r="J1173" s="93"/>
      <c r="K1173" s="102"/>
      <c r="L1173" s="101"/>
      <c r="M1173" s="102"/>
      <c r="N1173" s="102"/>
      <c r="O1173" s="102"/>
      <c r="P1173" s="102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</row>
    <row r="1174">
      <c r="A1174" s="77" t="str">
        <f t="shared" si="1"/>
        <v/>
      </c>
      <c r="B1174" s="78"/>
      <c r="C1174" s="82"/>
      <c r="D1174" s="83"/>
      <c r="E1174" s="84"/>
      <c r="F1174" s="114"/>
      <c r="G1174" s="86"/>
      <c r="H1174" s="77"/>
      <c r="I1174" s="82"/>
      <c r="J1174" s="87"/>
      <c r="K1174" s="77"/>
      <c r="L1174" s="89"/>
      <c r="M1174" s="77"/>
      <c r="N1174" s="77"/>
      <c r="O1174" s="77"/>
      <c r="P1174" s="77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</row>
    <row r="1175">
      <c r="A1175" s="102" t="str">
        <f t="shared" si="1"/>
        <v/>
      </c>
      <c r="B1175" s="94"/>
      <c r="C1175" s="95"/>
      <c r="D1175" s="96"/>
      <c r="E1175" s="97"/>
      <c r="F1175" s="109"/>
      <c r="G1175" s="99"/>
      <c r="H1175" s="102"/>
      <c r="I1175" s="95"/>
      <c r="J1175" s="93"/>
      <c r="K1175" s="102"/>
      <c r="L1175" s="101"/>
      <c r="M1175" s="102"/>
      <c r="N1175" s="102"/>
      <c r="O1175" s="102"/>
      <c r="P1175" s="102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</row>
    <row r="1176">
      <c r="A1176" s="77" t="str">
        <f t="shared" si="1"/>
        <v/>
      </c>
      <c r="B1176" s="78"/>
      <c r="C1176" s="82"/>
      <c r="D1176" s="83"/>
      <c r="E1176" s="84"/>
      <c r="F1176" s="114"/>
      <c r="G1176" s="86"/>
      <c r="H1176" s="77"/>
      <c r="I1176" s="82"/>
      <c r="J1176" s="87"/>
      <c r="K1176" s="77"/>
      <c r="L1176" s="89"/>
      <c r="M1176" s="77"/>
      <c r="N1176" s="77"/>
      <c r="O1176" s="77"/>
      <c r="P1176" s="77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</row>
    <row r="1177">
      <c r="A1177" s="102" t="str">
        <f t="shared" si="1"/>
        <v/>
      </c>
      <c r="B1177" s="94"/>
      <c r="C1177" s="95"/>
      <c r="D1177" s="96"/>
      <c r="E1177" s="97"/>
      <c r="F1177" s="109"/>
      <c r="G1177" s="99"/>
      <c r="H1177" s="102"/>
      <c r="I1177" s="95"/>
      <c r="J1177" s="93"/>
      <c r="K1177" s="102"/>
      <c r="L1177" s="101"/>
      <c r="M1177" s="102"/>
      <c r="N1177" s="102"/>
      <c r="O1177" s="102"/>
      <c r="P1177" s="102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</row>
    <row r="1178">
      <c r="A1178" s="77" t="str">
        <f t="shared" si="1"/>
        <v/>
      </c>
      <c r="B1178" s="78"/>
      <c r="C1178" s="82"/>
      <c r="D1178" s="83"/>
      <c r="E1178" s="84"/>
      <c r="F1178" s="114"/>
      <c r="G1178" s="86"/>
      <c r="H1178" s="77"/>
      <c r="I1178" s="82"/>
      <c r="J1178" s="87"/>
      <c r="K1178" s="77"/>
      <c r="L1178" s="89"/>
      <c r="M1178" s="77"/>
      <c r="N1178" s="77"/>
      <c r="O1178" s="77"/>
      <c r="P1178" s="77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</row>
    <row r="1179">
      <c r="A1179" s="102" t="str">
        <f t="shared" si="1"/>
        <v/>
      </c>
      <c r="B1179" s="94"/>
      <c r="C1179" s="95"/>
      <c r="D1179" s="96"/>
      <c r="E1179" s="97"/>
      <c r="F1179" s="109"/>
      <c r="G1179" s="99"/>
      <c r="H1179" s="102"/>
      <c r="I1179" s="95"/>
      <c r="J1179" s="93"/>
      <c r="K1179" s="102"/>
      <c r="L1179" s="101"/>
      <c r="M1179" s="102"/>
      <c r="N1179" s="102"/>
      <c r="O1179" s="102"/>
      <c r="P1179" s="102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</row>
    <row r="1180">
      <c r="A1180" s="77" t="str">
        <f t="shared" si="1"/>
        <v/>
      </c>
      <c r="B1180" s="78"/>
      <c r="C1180" s="82"/>
      <c r="D1180" s="83"/>
      <c r="E1180" s="84"/>
      <c r="F1180" s="114"/>
      <c r="G1180" s="86"/>
      <c r="H1180" s="77"/>
      <c r="I1180" s="82"/>
      <c r="J1180" s="87"/>
      <c r="K1180" s="77"/>
      <c r="L1180" s="89"/>
      <c r="M1180" s="77"/>
      <c r="N1180" s="77"/>
      <c r="O1180" s="77"/>
      <c r="P1180" s="77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</row>
    <row r="1181">
      <c r="A1181" s="102" t="str">
        <f t="shared" si="1"/>
        <v/>
      </c>
      <c r="B1181" s="94"/>
      <c r="C1181" s="95"/>
      <c r="D1181" s="96"/>
      <c r="E1181" s="97"/>
      <c r="F1181" s="109"/>
      <c r="G1181" s="99"/>
      <c r="H1181" s="102"/>
      <c r="I1181" s="95"/>
      <c r="J1181" s="93"/>
      <c r="K1181" s="102"/>
      <c r="L1181" s="101"/>
      <c r="M1181" s="102"/>
      <c r="N1181" s="102"/>
      <c r="O1181" s="102"/>
      <c r="P1181" s="102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</row>
    <row r="1182">
      <c r="A1182" s="77" t="str">
        <f t="shared" si="1"/>
        <v/>
      </c>
      <c r="B1182" s="78"/>
      <c r="C1182" s="82"/>
      <c r="D1182" s="83"/>
      <c r="E1182" s="84"/>
      <c r="F1182" s="114"/>
      <c r="G1182" s="86"/>
      <c r="H1182" s="77"/>
      <c r="I1182" s="82"/>
      <c r="J1182" s="87"/>
      <c r="K1182" s="77"/>
      <c r="L1182" s="89"/>
      <c r="M1182" s="77"/>
      <c r="N1182" s="77"/>
      <c r="O1182" s="77"/>
      <c r="P1182" s="77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</row>
    <row r="1183">
      <c r="A1183" s="102" t="str">
        <f t="shared" si="1"/>
        <v/>
      </c>
      <c r="B1183" s="94"/>
      <c r="C1183" s="95"/>
      <c r="D1183" s="96"/>
      <c r="E1183" s="97"/>
      <c r="F1183" s="109"/>
      <c r="G1183" s="99"/>
      <c r="H1183" s="102"/>
      <c r="I1183" s="95"/>
      <c r="J1183" s="93"/>
      <c r="K1183" s="102"/>
      <c r="L1183" s="101"/>
      <c r="M1183" s="102"/>
      <c r="N1183" s="102"/>
      <c r="O1183" s="102"/>
      <c r="P1183" s="102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</row>
    <row r="1184">
      <c r="A1184" s="77" t="str">
        <f t="shared" si="1"/>
        <v/>
      </c>
      <c r="B1184" s="78"/>
      <c r="C1184" s="82"/>
      <c r="D1184" s="83"/>
      <c r="E1184" s="84"/>
      <c r="F1184" s="114"/>
      <c r="G1184" s="86"/>
      <c r="H1184" s="77"/>
      <c r="I1184" s="82"/>
      <c r="J1184" s="87"/>
      <c r="K1184" s="77"/>
      <c r="L1184" s="89"/>
      <c r="M1184" s="77"/>
      <c r="N1184" s="77"/>
      <c r="O1184" s="77"/>
      <c r="P1184" s="77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</row>
    <row r="1185">
      <c r="A1185" s="102" t="str">
        <f t="shared" si="1"/>
        <v/>
      </c>
      <c r="B1185" s="94"/>
      <c r="C1185" s="95"/>
      <c r="D1185" s="96"/>
      <c r="E1185" s="97"/>
      <c r="F1185" s="109"/>
      <c r="G1185" s="99"/>
      <c r="H1185" s="102"/>
      <c r="I1185" s="95"/>
      <c r="J1185" s="93"/>
      <c r="K1185" s="102"/>
      <c r="L1185" s="101"/>
      <c r="M1185" s="102"/>
      <c r="N1185" s="102"/>
      <c r="O1185" s="102"/>
      <c r="P1185" s="102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</row>
    <row r="1186">
      <c r="A1186" s="77" t="str">
        <f t="shared" si="1"/>
        <v/>
      </c>
      <c r="B1186" s="78"/>
      <c r="C1186" s="82"/>
      <c r="D1186" s="83"/>
      <c r="E1186" s="84"/>
      <c r="F1186" s="114"/>
      <c r="G1186" s="86"/>
      <c r="H1186" s="77"/>
      <c r="I1186" s="82"/>
      <c r="J1186" s="87"/>
      <c r="K1186" s="77"/>
      <c r="L1186" s="89"/>
      <c r="M1186" s="77"/>
      <c r="N1186" s="77"/>
      <c r="O1186" s="77"/>
      <c r="P1186" s="77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</row>
    <row r="1187">
      <c r="A1187" s="102" t="str">
        <f t="shared" si="1"/>
        <v/>
      </c>
      <c r="B1187" s="94"/>
      <c r="C1187" s="95"/>
      <c r="D1187" s="96"/>
      <c r="E1187" s="97"/>
      <c r="F1187" s="109"/>
      <c r="G1187" s="99"/>
      <c r="H1187" s="102"/>
      <c r="I1187" s="95"/>
      <c r="J1187" s="93"/>
      <c r="K1187" s="102"/>
      <c r="L1187" s="101"/>
      <c r="M1187" s="102"/>
      <c r="N1187" s="102"/>
      <c r="O1187" s="102"/>
      <c r="P1187" s="102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</row>
    <row r="1188">
      <c r="A1188" s="77" t="str">
        <f t="shared" si="1"/>
        <v/>
      </c>
      <c r="B1188" s="78"/>
      <c r="C1188" s="82"/>
      <c r="D1188" s="83"/>
      <c r="E1188" s="84"/>
      <c r="F1188" s="114"/>
      <c r="G1188" s="86"/>
      <c r="H1188" s="77"/>
      <c r="I1188" s="82"/>
      <c r="J1188" s="87"/>
      <c r="K1188" s="77"/>
      <c r="L1188" s="89"/>
      <c r="M1188" s="77"/>
      <c r="N1188" s="77"/>
      <c r="O1188" s="77"/>
      <c r="P1188" s="77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</row>
    <row r="1189">
      <c r="A1189" s="102" t="str">
        <f t="shared" si="1"/>
        <v/>
      </c>
      <c r="B1189" s="94"/>
      <c r="C1189" s="95"/>
      <c r="D1189" s="96"/>
      <c r="E1189" s="97"/>
      <c r="F1189" s="109"/>
      <c r="G1189" s="99"/>
      <c r="H1189" s="102"/>
      <c r="I1189" s="95"/>
      <c r="J1189" s="93"/>
      <c r="K1189" s="102"/>
      <c r="L1189" s="101"/>
      <c r="M1189" s="102"/>
      <c r="N1189" s="102"/>
      <c r="O1189" s="102"/>
      <c r="P1189" s="102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</row>
    <row r="1190">
      <c r="A1190" s="77" t="str">
        <f t="shared" si="1"/>
        <v/>
      </c>
      <c r="B1190" s="78"/>
      <c r="C1190" s="82"/>
      <c r="D1190" s="83"/>
      <c r="E1190" s="84"/>
      <c r="F1190" s="114"/>
      <c r="G1190" s="86"/>
      <c r="H1190" s="77"/>
      <c r="I1190" s="82"/>
      <c r="J1190" s="87"/>
      <c r="K1190" s="77"/>
      <c r="L1190" s="89"/>
      <c r="M1190" s="77"/>
      <c r="N1190" s="77"/>
      <c r="O1190" s="77"/>
      <c r="P1190" s="77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</row>
    <row r="1191">
      <c r="A1191" s="102" t="str">
        <f t="shared" si="1"/>
        <v/>
      </c>
      <c r="B1191" s="94"/>
      <c r="C1191" s="95"/>
      <c r="D1191" s="96"/>
      <c r="E1191" s="97"/>
      <c r="F1191" s="109"/>
      <c r="G1191" s="99"/>
      <c r="H1191" s="102"/>
      <c r="I1191" s="95"/>
      <c r="J1191" s="93"/>
      <c r="K1191" s="102"/>
      <c r="L1191" s="101"/>
      <c r="M1191" s="102"/>
      <c r="N1191" s="102"/>
      <c r="O1191" s="102"/>
      <c r="P1191" s="102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</row>
    <row r="1192">
      <c r="A1192" s="77" t="str">
        <f t="shared" si="1"/>
        <v/>
      </c>
      <c r="B1192" s="78"/>
      <c r="C1192" s="82"/>
      <c r="D1192" s="83"/>
      <c r="E1192" s="84"/>
      <c r="F1192" s="114"/>
      <c r="G1192" s="86"/>
      <c r="H1192" s="77"/>
      <c r="I1192" s="82"/>
      <c r="J1192" s="87"/>
      <c r="K1192" s="77"/>
      <c r="L1192" s="89"/>
      <c r="M1192" s="77"/>
      <c r="N1192" s="77"/>
      <c r="O1192" s="77"/>
      <c r="P1192" s="77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</row>
    <row r="1193">
      <c r="A1193" s="102" t="str">
        <f t="shared" si="1"/>
        <v/>
      </c>
      <c r="B1193" s="94"/>
      <c r="C1193" s="95"/>
      <c r="D1193" s="96"/>
      <c r="E1193" s="97"/>
      <c r="F1193" s="109"/>
      <c r="G1193" s="99"/>
      <c r="H1193" s="102"/>
      <c r="I1193" s="95"/>
      <c r="J1193" s="93"/>
      <c r="K1193" s="102"/>
      <c r="L1193" s="101"/>
      <c r="M1193" s="102"/>
      <c r="N1193" s="102"/>
      <c r="O1193" s="102"/>
      <c r="P1193" s="102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</row>
    <row r="1194">
      <c r="A1194" s="77" t="str">
        <f t="shared" si="1"/>
        <v/>
      </c>
      <c r="B1194" s="78"/>
      <c r="C1194" s="82"/>
      <c r="D1194" s="83"/>
      <c r="E1194" s="84"/>
      <c r="F1194" s="114"/>
      <c r="G1194" s="86"/>
      <c r="H1194" s="77"/>
      <c r="I1194" s="82"/>
      <c r="J1194" s="87"/>
      <c r="K1194" s="77"/>
      <c r="L1194" s="89"/>
      <c r="M1194" s="77"/>
      <c r="N1194" s="77"/>
      <c r="O1194" s="77"/>
      <c r="P1194" s="77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</row>
    <row r="1195">
      <c r="A1195" s="102" t="str">
        <f t="shared" si="1"/>
        <v/>
      </c>
      <c r="B1195" s="94"/>
      <c r="C1195" s="95"/>
      <c r="D1195" s="96"/>
      <c r="E1195" s="97"/>
      <c r="F1195" s="109"/>
      <c r="G1195" s="99"/>
      <c r="H1195" s="102"/>
      <c r="I1195" s="95"/>
      <c r="J1195" s="93"/>
      <c r="K1195" s="102"/>
      <c r="L1195" s="101"/>
      <c r="M1195" s="102"/>
      <c r="N1195" s="102"/>
      <c r="O1195" s="102"/>
      <c r="P1195" s="102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</row>
    <row r="1196">
      <c r="A1196" s="77" t="str">
        <f t="shared" si="1"/>
        <v/>
      </c>
      <c r="B1196" s="78"/>
      <c r="C1196" s="82"/>
      <c r="D1196" s="83"/>
      <c r="E1196" s="84"/>
      <c r="F1196" s="114"/>
      <c r="G1196" s="86"/>
      <c r="H1196" s="77"/>
      <c r="I1196" s="82"/>
      <c r="J1196" s="87"/>
      <c r="K1196" s="77"/>
      <c r="L1196" s="89"/>
      <c r="M1196" s="77"/>
      <c r="N1196" s="77"/>
      <c r="O1196" s="77"/>
      <c r="P1196" s="77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</row>
    <row r="1197">
      <c r="A1197" s="102" t="str">
        <f t="shared" si="1"/>
        <v/>
      </c>
      <c r="B1197" s="94"/>
      <c r="C1197" s="95"/>
      <c r="D1197" s="96"/>
      <c r="E1197" s="97"/>
      <c r="F1197" s="109"/>
      <c r="G1197" s="99"/>
      <c r="H1197" s="102"/>
      <c r="I1197" s="95"/>
      <c r="J1197" s="93"/>
      <c r="K1197" s="102"/>
      <c r="L1197" s="101"/>
      <c r="M1197" s="102"/>
      <c r="N1197" s="102"/>
      <c r="O1197" s="102"/>
      <c r="P1197" s="102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</row>
    <row r="1198">
      <c r="A1198" s="77" t="str">
        <f t="shared" si="1"/>
        <v/>
      </c>
      <c r="B1198" s="78"/>
      <c r="C1198" s="82"/>
      <c r="D1198" s="83"/>
      <c r="E1198" s="84"/>
      <c r="F1198" s="114"/>
      <c r="G1198" s="86"/>
      <c r="H1198" s="77"/>
      <c r="I1198" s="82"/>
      <c r="J1198" s="87"/>
      <c r="K1198" s="77"/>
      <c r="L1198" s="89"/>
      <c r="M1198" s="77"/>
      <c r="N1198" s="77"/>
      <c r="O1198" s="77"/>
      <c r="P1198" s="77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</row>
    <row r="1199">
      <c r="A1199" s="102" t="str">
        <f t="shared" si="1"/>
        <v/>
      </c>
      <c r="B1199" s="94"/>
      <c r="C1199" s="95"/>
      <c r="D1199" s="96"/>
      <c r="E1199" s="97"/>
      <c r="F1199" s="109"/>
      <c r="G1199" s="99"/>
      <c r="H1199" s="102"/>
      <c r="I1199" s="95"/>
      <c r="J1199" s="93"/>
      <c r="K1199" s="102"/>
      <c r="L1199" s="101"/>
      <c r="M1199" s="102"/>
      <c r="N1199" s="102"/>
      <c r="O1199" s="102"/>
      <c r="P1199" s="102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</row>
    <row r="1200">
      <c r="A1200" s="77" t="str">
        <f t="shared" si="1"/>
        <v/>
      </c>
      <c r="B1200" s="78"/>
      <c r="C1200" s="82"/>
      <c r="D1200" s="83"/>
      <c r="E1200" s="84"/>
      <c r="F1200" s="114"/>
      <c r="G1200" s="86"/>
      <c r="H1200" s="77"/>
      <c r="I1200" s="82"/>
      <c r="J1200" s="87"/>
      <c r="K1200" s="77"/>
      <c r="L1200" s="89"/>
      <c r="M1200" s="77"/>
      <c r="N1200" s="77"/>
      <c r="O1200" s="77"/>
      <c r="P1200" s="77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</row>
    <row r="1201">
      <c r="A1201" s="102" t="str">
        <f t="shared" si="1"/>
        <v/>
      </c>
      <c r="B1201" s="94"/>
      <c r="C1201" s="95"/>
      <c r="D1201" s="96"/>
      <c r="E1201" s="97"/>
      <c r="F1201" s="109"/>
      <c r="G1201" s="99"/>
      <c r="H1201" s="102"/>
      <c r="I1201" s="95"/>
      <c r="J1201" s="93"/>
      <c r="K1201" s="102"/>
      <c r="L1201" s="101"/>
      <c r="M1201" s="102"/>
      <c r="N1201" s="102"/>
      <c r="O1201" s="102"/>
      <c r="P1201" s="102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</row>
    <row r="1202">
      <c r="A1202" s="77" t="str">
        <f t="shared" si="1"/>
        <v/>
      </c>
      <c r="B1202" s="78"/>
      <c r="C1202" s="82"/>
      <c r="D1202" s="83"/>
      <c r="E1202" s="84"/>
      <c r="F1202" s="114"/>
      <c r="G1202" s="86"/>
      <c r="H1202" s="77"/>
      <c r="I1202" s="82"/>
      <c r="J1202" s="87"/>
      <c r="K1202" s="77"/>
      <c r="L1202" s="89"/>
      <c r="M1202" s="77"/>
      <c r="N1202" s="77"/>
      <c r="O1202" s="77"/>
      <c r="P1202" s="77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</row>
    <row r="1203">
      <c r="A1203" s="102" t="str">
        <f t="shared" si="1"/>
        <v/>
      </c>
      <c r="B1203" s="94"/>
      <c r="C1203" s="95"/>
      <c r="D1203" s="96"/>
      <c r="E1203" s="97"/>
      <c r="F1203" s="109"/>
      <c r="G1203" s="99"/>
      <c r="H1203" s="102"/>
      <c r="I1203" s="95"/>
      <c r="J1203" s="93"/>
      <c r="K1203" s="102"/>
      <c r="L1203" s="101"/>
      <c r="M1203" s="102"/>
      <c r="N1203" s="102"/>
      <c r="O1203" s="102"/>
      <c r="P1203" s="102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</row>
    <row r="1204">
      <c r="A1204" s="77" t="str">
        <f t="shared" si="1"/>
        <v/>
      </c>
      <c r="B1204" s="78"/>
      <c r="C1204" s="82"/>
      <c r="D1204" s="83"/>
      <c r="E1204" s="84"/>
      <c r="F1204" s="114"/>
      <c r="G1204" s="86"/>
      <c r="H1204" s="77"/>
      <c r="I1204" s="82"/>
      <c r="J1204" s="87"/>
      <c r="K1204" s="77"/>
      <c r="L1204" s="89"/>
      <c r="M1204" s="77"/>
      <c r="N1204" s="77"/>
      <c r="O1204" s="77"/>
      <c r="P1204" s="77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</row>
    <row r="1205">
      <c r="A1205" s="102" t="str">
        <f t="shared" si="1"/>
        <v/>
      </c>
      <c r="B1205" s="94"/>
      <c r="C1205" s="95"/>
      <c r="D1205" s="96"/>
      <c r="E1205" s="97"/>
      <c r="F1205" s="109"/>
      <c r="G1205" s="99"/>
      <c r="H1205" s="102"/>
      <c r="I1205" s="95"/>
      <c r="J1205" s="93"/>
      <c r="K1205" s="102"/>
      <c r="L1205" s="101"/>
      <c r="M1205" s="102"/>
      <c r="N1205" s="102"/>
      <c r="O1205" s="102"/>
      <c r="P1205" s="102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</row>
    <row r="1206">
      <c r="A1206" s="77" t="str">
        <f t="shared" si="1"/>
        <v/>
      </c>
      <c r="B1206" s="78"/>
      <c r="C1206" s="82"/>
      <c r="D1206" s="83"/>
      <c r="E1206" s="84"/>
      <c r="F1206" s="114"/>
      <c r="G1206" s="86"/>
      <c r="H1206" s="77"/>
      <c r="I1206" s="82"/>
      <c r="J1206" s="87"/>
      <c r="K1206" s="77"/>
      <c r="L1206" s="89"/>
      <c r="M1206" s="77"/>
      <c r="N1206" s="77"/>
      <c r="O1206" s="77"/>
      <c r="P1206" s="77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</row>
    <row r="1207">
      <c r="A1207" s="102" t="str">
        <f t="shared" si="1"/>
        <v/>
      </c>
      <c r="B1207" s="94"/>
      <c r="C1207" s="95"/>
      <c r="D1207" s="96"/>
      <c r="E1207" s="97"/>
      <c r="F1207" s="109"/>
      <c r="G1207" s="99"/>
      <c r="H1207" s="102"/>
      <c r="I1207" s="95"/>
      <c r="J1207" s="93"/>
      <c r="K1207" s="102"/>
      <c r="L1207" s="101"/>
      <c r="M1207" s="102"/>
      <c r="N1207" s="102"/>
      <c r="O1207" s="102"/>
      <c r="P1207" s="102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</row>
    <row r="1208">
      <c r="A1208" s="77" t="str">
        <f t="shared" si="1"/>
        <v/>
      </c>
      <c r="B1208" s="78"/>
      <c r="C1208" s="82"/>
      <c r="D1208" s="83"/>
      <c r="E1208" s="84"/>
      <c r="F1208" s="114"/>
      <c r="G1208" s="86"/>
      <c r="H1208" s="77"/>
      <c r="I1208" s="82"/>
      <c r="J1208" s="87"/>
      <c r="K1208" s="77"/>
      <c r="L1208" s="89"/>
      <c r="M1208" s="77"/>
      <c r="N1208" s="77"/>
      <c r="O1208" s="77"/>
      <c r="P1208" s="77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</row>
    <row r="1209">
      <c r="A1209" s="102" t="str">
        <f t="shared" si="1"/>
        <v/>
      </c>
      <c r="B1209" s="94"/>
      <c r="C1209" s="95"/>
      <c r="D1209" s="96"/>
      <c r="E1209" s="97"/>
      <c r="F1209" s="109"/>
      <c r="G1209" s="99"/>
      <c r="H1209" s="102"/>
      <c r="I1209" s="95"/>
      <c r="J1209" s="93"/>
      <c r="K1209" s="102"/>
      <c r="L1209" s="101"/>
      <c r="M1209" s="102"/>
      <c r="N1209" s="102"/>
      <c r="O1209" s="102"/>
      <c r="P1209" s="102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</row>
    <row r="1210">
      <c r="A1210" s="77" t="str">
        <f t="shared" si="1"/>
        <v/>
      </c>
      <c r="B1210" s="78"/>
      <c r="C1210" s="82"/>
      <c r="D1210" s="83"/>
      <c r="E1210" s="84"/>
      <c r="F1210" s="114"/>
      <c r="G1210" s="86"/>
      <c r="H1210" s="77"/>
      <c r="I1210" s="82"/>
      <c r="J1210" s="87"/>
      <c r="K1210" s="77"/>
      <c r="L1210" s="89"/>
      <c r="M1210" s="77"/>
      <c r="N1210" s="77"/>
      <c r="O1210" s="77"/>
      <c r="P1210" s="77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</row>
    <row r="1211">
      <c r="A1211" s="102" t="str">
        <f t="shared" si="1"/>
        <v/>
      </c>
      <c r="B1211" s="94"/>
      <c r="C1211" s="95"/>
      <c r="D1211" s="96"/>
      <c r="E1211" s="97"/>
      <c r="F1211" s="109"/>
      <c r="G1211" s="99"/>
      <c r="H1211" s="102"/>
      <c r="I1211" s="95"/>
      <c r="J1211" s="93"/>
      <c r="K1211" s="102"/>
      <c r="L1211" s="101"/>
      <c r="M1211" s="102"/>
      <c r="N1211" s="102"/>
      <c r="O1211" s="102"/>
      <c r="P1211" s="102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</row>
    <row r="1212">
      <c r="A1212" s="77" t="str">
        <f t="shared" si="1"/>
        <v/>
      </c>
      <c r="B1212" s="78"/>
      <c r="C1212" s="82"/>
      <c r="D1212" s="83"/>
      <c r="E1212" s="84"/>
      <c r="F1212" s="114"/>
      <c r="G1212" s="86"/>
      <c r="H1212" s="77"/>
      <c r="I1212" s="82"/>
      <c r="J1212" s="87"/>
      <c r="K1212" s="77"/>
      <c r="L1212" s="89"/>
      <c r="M1212" s="77"/>
      <c r="N1212" s="77"/>
      <c r="O1212" s="77"/>
      <c r="P1212" s="77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</row>
    <row r="1213">
      <c r="A1213" s="102" t="str">
        <f t="shared" si="1"/>
        <v/>
      </c>
      <c r="B1213" s="94"/>
      <c r="C1213" s="95"/>
      <c r="D1213" s="96"/>
      <c r="E1213" s="97"/>
      <c r="F1213" s="109"/>
      <c r="G1213" s="99"/>
      <c r="H1213" s="102"/>
      <c r="I1213" s="95"/>
      <c r="J1213" s="93"/>
      <c r="K1213" s="102"/>
      <c r="L1213" s="101"/>
      <c r="M1213" s="102"/>
      <c r="N1213" s="102"/>
      <c r="O1213" s="102"/>
      <c r="P1213" s="102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</row>
    <row r="1214">
      <c r="A1214" s="77" t="str">
        <f t="shared" si="1"/>
        <v/>
      </c>
      <c r="B1214" s="78"/>
      <c r="C1214" s="82"/>
      <c r="D1214" s="83"/>
      <c r="E1214" s="84"/>
      <c r="F1214" s="114"/>
      <c r="G1214" s="86"/>
      <c r="H1214" s="77"/>
      <c r="I1214" s="82"/>
      <c r="J1214" s="87"/>
      <c r="K1214" s="77"/>
      <c r="L1214" s="89"/>
      <c r="M1214" s="77"/>
      <c r="N1214" s="77"/>
      <c r="O1214" s="77"/>
      <c r="P1214" s="77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</row>
    <row r="1215">
      <c r="A1215" s="102" t="str">
        <f t="shared" si="1"/>
        <v/>
      </c>
      <c r="B1215" s="94"/>
      <c r="C1215" s="95"/>
      <c r="D1215" s="96"/>
      <c r="E1215" s="97"/>
      <c r="F1215" s="109"/>
      <c r="G1215" s="99"/>
      <c r="H1215" s="102"/>
      <c r="I1215" s="95"/>
      <c r="J1215" s="93"/>
      <c r="K1215" s="102"/>
      <c r="L1215" s="101"/>
      <c r="M1215" s="102"/>
      <c r="N1215" s="102"/>
      <c r="O1215" s="102"/>
      <c r="P1215" s="102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</row>
    <row r="1216">
      <c r="A1216" s="77" t="str">
        <f t="shared" si="1"/>
        <v/>
      </c>
      <c r="B1216" s="78"/>
      <c r="C1216" s="82"/>
      <c r="D1216" s="83"/>
      <c r="E1216" s="84"/>
      <c r="F1216" s="114"/>
      <c r="G1216" s="86"/>
      <c r="H1216" s="77"/>
      <c r="I1216" s="82"/>
      <c r="J1216" s="87"/>
      <c r="K1216" s="77"/>
      <c r="L1216" s="89"/>
      <c r="M1216" s="77"/>
      <c r="N1216" s="77"/>
      <c r="O1216" s="77"/>
      <c r="P1216" s="77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</row>
    <row r="1217">
      <c r="A1217" s="102" t="str">
        <f t="shared" si="1"/>
        <v/>
      </c>
      <c r="B1217" s="94"/>
      <c r="C1217" s="95"/>
      <c r="D1217" s="96"/>
      <c r="E1217" s="97"/>
      <c r="F1217" s="109"/>
      <c r="G1217" s="99"/>
      <c r="H1217" s="102"/>
      <c r="I1217" s="95"/>
      <c r="J1217" s="93"/>
      <c r="K1217" s="102"/>
      <c r="L1217" s="101"/>
      <c r="M1217" s="102"/>
      <c r="N1217" s="102"/>
      <c r="O1217" s="102"/>
      <c r="P1217" s="102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</row>
    <row r="1218">
      <c r="A1218" s="77" t="str">
        <f t="shared" si="1"/>
        <v/>
      </c>
      <c r="B1218" s="78"/>
      <c r="C1218" s="82"/>
      <c r="D1218" s="83"/>
      <c r="E1218" s="84"/>
      <c r="F1218" s="114"/>
      <c r="G1218" s="86"/>
      <c r="H1218" s="77"/>
      <c r="I1218" s="82"/>
      <c r="J1218" s="87"/>
      <c r="K1218" s="77"/>
      <c r="L1218" s="89"/>
      <c r="M1218" s="77"/>
      <c r="N1218" s="77"/>
      <c r="O1218" s="77"/>
      <c r="P1218" s="77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</row>
    <row r="1219">
      <c r="A1219" s="102" t="str">
        <f t="shared" si="1"/>
        <v/>
      </c>
      <c r="B1219" s="94"/>
      <c r="C1219" s="95"/>
      <c r="D1219" s="96"/>
      <c r="E1219" s="97"/>
      <c r="F1219" s="109"/>
      <c r="G1219" s="99"/>
      <c r="H1219" s="102"/>
      <c r="I1219" s="95"/>
      <c r="J1219" s="93"/>
      <c r="K1219" s="102"/>
      <c r="L1219" s="101"/>
      <c r="M1219" s="102"/>
      <c r="N1219" s="102"/>
      <c r="O1219" s="102"/>
      <c r="P1219" s="102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</row>
    <row r="1220">
      <c r="A1220" s="77" t="str">
        <f t="shared" si="1"/>
        <v/>
      </c>
      <c r="B1220" s="78"/>
      <c r="C1220" s="82"/>
      <c r="D1220" s="83"/>
      <c r="E1220" s="84"/>
      <c r="F1220" s="114"/>
      <c r="G1220" s="86"/>
      <c r="H1220" s="77"/>
      <c r="I1220" s="82"/>
      <c r="J1220" s="87"/>
      <c r="K1220" s="77"/>
      <c r="L1220" s="89"/>
      <c r="M1220" s="77"/>
      <c r="N1220" s="77"/>
      <c r="O1220" s="77"/>
      <c r="P1220" s="77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</row>
    <row r="1221">
      <c r="A1221" s="102" t="str">
        <f t="shared" si="1"/>
        <v/>
      </c>
      <c r="B1221" s="94"/>
      <c r="C1221" s="95"/>
      <c r="D1221" s="96"/>
      <c r="E1221" s="97"/>
      <c r="F1221" s="109"/>
      <c r="G1221" s="99"/>
      <c r="H1221" s="102"/>
      <c r="I1221" s="95"/>
      <c r="J1221" s="93"/>
      <c r="K1221" s="102"/>
      <c r="L1221" s="101"/>
      <c r="M1221" s="102"/>
      <c r="N1221" s="102"/>
      <c r="O1221" s="102"/>
      <c r="P1221" s="102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</row>
    <row r="1222">
      <c r="A1222" s="77" t="str">
        <f t="shared" si="1"/>
        <v/>
      </c>
      <c r="B1222" s="78"/>
      <c r="C1222" s="82"/>
      <c r="D1222" s="83"/>
      <c r="E1222" s="84"/>
      <c r="F1222" s="114"/>
      <c r="G1222" s="86"/>
      <c r="H1222" s="77"/>
      <c r="I1222" s="82"/>
      <c r="J1222" s="87"/>
      <c r="K1222" s="77"/>
      <c r="L1222" s="89"/>
      <c r="M1222" s="77"/>
      <c r="N1222" s="77"/>
      <c r="O1222" s="77"/>
      <c r="P1222" s="77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</row>
    <row r="1223">
      <c r="A1223" s="102" t="str">
        <f t="shared" si="1"/>
        <v/>
      </c>
      <c r="B1223" s="94"/>
      <c r="C1223" s="95"/>
      <c r="D1223" s="96"/>
      <c r="E1223" s="97"/>
      <c r="F1223" s="109"/>
      <c r="G1223" s="99"/>
      <c r="H1223" s="102"/>
      <c r="I1223" s="95"/>
      <c r="J1223" s="93"/>
      <c r="K1223" s="102"/>
      <c r="L1223" s="101"/>
      <c r="M1223" s="102"/>
      <c r="N1223" s="102"/>
      <c r="O1223" s="102"/>
      <c r="P1223" s="102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</row>
    <row r="1224">
      <c r="A1224" s="77" t="str">
        <f t="shared" si="1"/>
        <v/>
      </c>
      <c r="B1224" s="78"/>
      <c r="C1224" s="82"/>
      <c r="D1224" s="83"/>
      <c r="E1224" s="84"/>
      <c r="F1224" s="114"/>
      <c r="G1224" s="86"/>
      <c r="H1224" s="77"/>
      <c r="I1224" s="82"/>
      <c r="J1224" s="87"/>
      <c r="K1224" s="77"/>
      <c r="L1224" s="89"/>
      <c r="M1224" s="77"/>
      <c r="N1224" s="77"/>
      <c r="O1224" s="77"/>
      <c r="P1224" s="77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</row>
    <row r="1225">
      <c r="A1225" s="102" t="str">
        <f t="shared" si="1"/>
        <v/>
      </c>
      <c r="B1225" s="94"/>
      <c r="C1225" s="95"/>
      <c r="D1225" s="96"/>
      <c r="E1225" s="97"/>
      <c r="F1225" s="109"/>
      <c r="G1225" s="99"/>
      <c r="H1225" s="102"/>
      <c r="I1225" s="95"/>
      <c r="J1225" s="93"/>
      <c r="K1225" s="102"/>
      <c r="L1225" s="101"/>
      <c r="M1225" s="102"/>
      <c r="N1225" s="102"/>
      <c r="O1225" s="102"/>
      <c r="P1225" s="102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</row>
    <row r="1226">
      <c r="A1226" s="77" t="str">
        <f t="shared" si="1"/>
        <v/>
      </c>
      <c r="B1226" s="78"/>
      <c r="C1226" s="82"/>
      <c r="D1226" s="83"/>
      <c r="E1226" s="84"/>
      <c r="F1226" s="114"/>
      <c r="G1226" s="86"/>
      <c r="H1226" s="77"/>
      <c r="I1226" s="82"/>
      <c r="J1226" s="87"/>
      <c r="K1226" s="77"/>
      <c r="L1226" s="89"/>
      <c r="M1226" s="77"/>
      <c r="N1226" s="77"/>
      <c r="O1226" s="77"/>
      <c r="P1226" s="77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</row>
    <row r="1227">
      <c r="A1227" s="102" t="str">
        <f t="shared" si="1"/>
        <v/>
      </c>
      <c r="B1227" s="94"/>
      <c r="C1227" s="95"/>
      <c r="D1227" s="96"/>
      <c r="E1227" s="97"/>
      <c r="F1227" s="109"/>
      <c r="G1227" s="99"/>
      <c r="H1227" s="102"/>
      <c r="I1227" s="95"/>
      <c r="J1227" s="93"/>
      <c r="K1227" s="102"/>
      <c r="L1227" s="101"/>
      <c r="M1227" s="102"/>
      <c r="N1227" s="102"/>
      <c r="O1227" s="102"/>
      <c r="P1227" s="102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</row>
    <row r="1228">
      <c r="A1228" s="77" t="str">
        <f t="shared" si="1"/>
        <v/>
      </c>
      <c r="B1228" s="78"/>
      <c r="C1228" s="82"/>
      <c r="D1228" s="83"/>
      <c r="E1228" s="84"/>
      <c r="F1228" s="114"/>
      <c r="G1228" s="86"/>
      <c r="H1228" s="77"/>
      <c r="I1228" s="82"/>
      <c r="J1228" s="87"/>
      <c r="K1228" s="77"/>
      <c r="L1228" s="89"/>
      <c r="M1228" s="77"/>
      <c r="N1228" s="77"/>
      <c r="O1228" s="77"/>
      <c r="P1228" s="77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</row>
    <row r="1229">
      <c r="A1229" s="102" t="str">
        <f t="shared" si="1"/>
        <v/>
      </c>
      <c r="B1229" s="94"/>
      <c r="C1229" s="95"/>
      <c r="D1229" s="96"/>
      <c r="E1229" s="97"/>
      <c r="F1229" s="109"/>
      <c r="G1229" s="99"/>
      <c r="H1229" s="102"/>
      <c r="I1229" s="95"/>
      <c r="J1229" s="93"/>
      <c r="K1229" s="102"/>
      <c r="L1229" s="101"/>
      <c r="M1229" s="102"/>
      <c r="N1229" s="102"/>
      <c r="O1229" s="102"/>
      <c r="P1229" s="102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</row>
    <row r="1230">
      <c r="A1230" s="77" t="str">
        <f t="shared" si="1"/>
        <v/>
      </c>
      <c r="B1230" s="78"/>
      <c r="C1230" s="82"/>
      <c r="D1230" s="83"/>
      <c r="E1230" s="84"/>
      <c r="F1230" s="114"/>
      <c r="G1230" s="86"/>
      <c r="H1230" s="77"/>
      <c r="I1230" s="82"/>
      <c r="J1230" s="87"/>
      <c r="K1230" s="77"/>
      <c r="L1230" s="89"/>
      <c r="M1230" s="77"/>
      <c r="N1230" s="77"/>
      <c r="O1230" s="77"/>
      <c r="P1230" s="77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</row>
    <row r="1231">
      <c r="A1231" s="102" t="str">
        <f t="shared" si="1"/>
        <v/>
      </c>
      <c r="B1231" s="94"/>
      <c r="C1231" s="95"/>
      <c r="D1231" s="96"/>
      <c r="E1231" s="97"/>
      <c r="F1231" s="109"/>
      <c r="G1231" s="99"/>
      <c r="H1231" s="102"/>
      <c r="I1231" s="95"/>
      <c r="J1231" s="93"/>
      <c r="K1231" s="102"/>
      <c r="L1231" s="101"/>
      <c r="M1231" s="102"/>
      <c r="N1231" s="102"/>
      <c r="O1231" s="102"/>
      <c r="P1231" s="102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</row>
    <row r="1232">
      <c r="A1232" s="77" t="str">
        <f t="shared" si="1"/>
        <v/>
      </c>
      <c r="B1232" s="78"/>
      <c r="C1232" s="82"/>
      <c r="D1232" s="83"/>
      <c r="E1232" s="84"/>
      <c r="F1232" s="114"/>
      <c r="G1232" s="86"/>
      <c r="H1232" s="77"/>
      <c r="I1232" s="82"/>
      <c r="J1232" s="87"/>
      <c r="K1232" s="77"/>
      <c r="L1232" s="89"/>
      <c r="M1232" s="77"/>
      <c r="N1232" s="77"/>
      <c r="O1232" s="77"/>
      <c r="P1232" s="77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</row>
    <row r="1233">
      <c r="A1233" s="102" t="str">
        <f t="shared" si="1"/>
        <v/>
      </c>
      <c r="B1233" s="94"/>
      <c r="C1233" s="95"/>
      <c r="D1233" s="96"/>
      <c r="E1233" s="97"/>
      <c r="F1233" s="109"/>
      <c r="G1233" s="99"/>
      <c r="H1233" s="102"/>
      <c r="I1233" s="95"/>
      <c r="J1233" s="93"/>
      <c r="K1233" s="102"/>
      <c r="L1233" s="101"/>
      <c r="M1233" s="102"/>
      <c r="N1233" s="102"/>
      <c r="O1233" s="102"/>
      <c r="P1233" s="102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</row>
    <row r="1234">
      <c r="A1234" s="77" t="str">
        <f t="shared" si="1"/>
        <v/>
      </c>
      <c r="B1234" s="78"/>
      <c r="C1234" s="82"/>
      <c r="D1234" s="83"/>
      <c r="E1234" s="84"/>
      <c r="F1234" s="114"/>
      <c r="G1234" s="86"/>
      <c r="H1234" s="77"/>
      <c r="I1234" s="82"/>
      <c r="J1234" s="87"/>
      <c r="K1234" s="77"/>
      <c r="L1234" s="89"/>
      <c r="M1234" s="77"/>
      <c r="N1234" s="77"/>
      <c r="O1234" s="77"/>
      <c r="P1234" s="77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</row>
    <row r="1235">
      <c r="A1235" s="102" t="str">
        <f t="shared" si="1"/>
        <v/>
      </c>
      <c r="B1235" s="94"/>
      <c r="C1235" s="95"/>
      <c r="D1235" s="96"/>
      <c r="E1235" s="97"/>
      <c r="F1235" s="109"/>
      <c r="G1235" s="99"/>
      <c r="H1235" s="102"/>
      <c r="I1235" s="95"/>
      <c r="J1235" s="93"/>
      <c r="K1235" s="102"/>
      <c r="L1235" s="101"/>
      <c r="M1235" s="102"/>
      <c r="N1235" s="102"/>
      <c r="O1235" s="102"/>
      <c r="P1235" s="102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</row>
    <row r="1236">
      <c r="A1236" s="77" t="str">
        <f t="shared" si="1"/>
        <v/>
      </c>
      <c r="B1236" s="78"/>
      <c r="C1236" s="82"/>
      <c r="D1236" s="83"/>
      <c r="E1236" s="84"/>
      <c r="F1236" s="114"/>
      <c r="G1236" s="86"/>
      <c r="H1236" s="77"/>
      <c r="I1236" s="82"/>
      <c r="J1236" s="87"/>
      <c r="K1236" s="77"/>
      <c r="L1236" s="89"/>
      <c r="M1236" s="77"/>
      <c r="N1236" s="77"/>
      <c r="O1236" s="77"/>
      <c r="P1236" s="77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</row>
    <row r="1237">
      <c r="A1237" s="102" t="str">
        <f t="shared" si="1"/>
        <v/>
      </c>
      <c r="B1237" s="94"/>
      <c r="C1237" s="95"/>
      <c r="D1237" s="96"/>
      <c r="E1237" s="97"/>
      <c r="F1237" s="109"/>
      <c r="G1237" s="99"/>
      <c r="H1237" s="102"/>
      <c r="I1237" s="95"/>
      <c r="J1237" s="93"/>
      <c r="K1237" s="102"/>
      <c r="L1237" s="101"/>
      <c r="M1237" s="102"/>
      <c r="N1237" s="102"/>
      <c r="O1237" s="102"/>
      <c r="P1237" s="102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</row>
    <row r="1238">
      <c r="A1238" s="77" t="str">
        <f t="shared" si="1"/>
        <v/>
      </c>
      <c r="B1238" s="78"/>
      <c r="C1238" s="82"/>
      <c r="D1238" s="83"/>
      <c r="E1238" s="84"/>
      <c r="F1238" s="114"/>
      <c r="G1238" s="86"/>
      <c r="H1238" s="77"/>
      <c r="I1238" s="82"/>
      <c r="J1238" s="87"/>
      <c r="K1238" s="77"/>
      <c r="L1238" s="89"/>
      <c r="M1238" s="77"/>
      <c r="N1238" s="77"/>
      <c r="O1238" s="77"/>
      <c r="P1238" s="77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</row>
    <row r="1239">
      <c r="A1239" s="102" t="str">
        <f t="shared" si="1"/>
        <v/>
      </c>
      <c r="B1239" s="94"/>
      <c r="C1239" s="95"/>
      <c r="D1239" s="96"/>
      <c r="E1239" s="97"/>
      <c r="F1239" s="109"/>
      <c r="G1239" s="99"/>
      <c r="H1239" s="102"/>
      <c r="I1239" s="95"/>
      <c r="J1239" s="93"/>
      <c r="K1239" s="102"/>
      <c r="L1239" s="101"/>
      <c r="M1239" s="102"/>
      <c r="N1239" s="102"/>
      <c r="O1239" s="102"/>
      <c r="P1239" s="102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</row>
    <row r="1240">
      <c r="A1240" s="77" t="str">
        <f t="shared" si="1"/>
        <v/>
      </c>
      <c r="B1240" s="78"/>
      <c r="C1240" s="82"/>
      <c r="D1240" s="83"/>
      <c r="E1240" s="84"/>
      <c r="F1240" s="114"/>
      <c r="G1240" s="86"/>
      <c r="H1240" s="77"/>
      <c r="I1240" s="82"/>
      <c r="J1240" s="87"/>
      <c r="K1240" s="77"/>
      <c r="L1240" s="89"/>
      <c r="M1240" s="77"/>
      <c r="N1240" s="77"/>
      <c r="O1240" s="77"/>
      <c r="P1240" s="77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</row>
    <row r="1241">
      <c r="A1241" s="102" t="str">
        <f t="shared" si="1"/>
        <v/>
      </c>
      <c r="B1241" s="94"/>
      <c r="C1241" s="95"/>
      <c r="D1241" s="96"/>
      <c r="E1241" s="97"/>
      <c r="F1241" s="109"/>
      <c r="G1241" s="99"/>
      <c r="H1241" s="102"/>
      <c r="I1241" s="95"/>
      <c r="J1241" s="93"/>
      <c r="K1241" s="102"/>
      <c r="L1241" s="101"/>
      <c r="M1241" s="102"/>
      <c r="N1241" s="102"/>
      <c r="O1241" s="102"/>
      <c r="P1241" s="102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</row>
    <row r="1242">
      <c r="A1242" s="77" t="str">
        <f t="shared" si="1"/>
        <v/>
      </c>
      <c r="B1242" s="78"/>
      <c r="C1242" s="82"/>
      <c r="D1242" s="83"/>
      <c r="E1242" s="84"/>
      <c r="F1242" s="114"/>
      <c r="G1242" s="86"/>
      <c r="H1242" s="77"/>
      <c r="I1242" s="82"/>
      <c r="J1242" s="87"/>
      <c r="K1242" s="77"/>
      <c r="L1242" s="89"/>
      <c r="M1242" s="77"/>
      <c r="N1242" s="77"/>
      <c r="O1242" s="77"/>
      <c r="P1242" s="77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</row>
    <row r="1243">
      <c r="A1243" s="102" t="str">
        <f t="shared" si="1"/>
        <v/>
      </c>
      <c r="B1243" s="94"/>
      <c r="C1243" s="95"/>
      <c r="D1243" s="96"/>
      <c r="E1243" s="97"/>
      <c r="F1243" s="109"/>
      <c r="G1243" s="99"/>
      <c r="H1243" s="102"/>
      <c r="I1243" s="95"/>
      <c r="J1243" s="93"/>
      <c r="K1243" s="102"/>
      <c r="L1243" s="101"/>
      <c r="M1243" s="102"/>
      <c r="N1243" s="102"/>
      <c r="O1243" s="102"/>
      <c r="P1243" s="102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</row>
    <row r="1244">
      <c r="A1244" s="77" t="str">
        <f t="shared" si="1"/>
        <v/>
      </c>
      <c r="B1244" s="78"/>
      <c r="C1244" s="82"/>
      <c r="D1244" s="83"/>
      <c r="E1244" s="84"/>
      <c r="F1244" s="114"/>
      <c r="G1244" s="86"/>
      <c r="H1244" s="77"/>
      <c r="I1244" s="82"/>
      <c r="J1244" s="87"/>
      <c r="K1244" s="77"/>
      <c r="L1244" s="89"/>
      <c r="M1244" s="77"/>
      <c r="N1244" s="77"/>
      <c r="O1244" s="77"/>
      <c r="P1244" s="77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</row>
    <row r="1245">
      <c r="A1245" s="102" t="str">
        <f t="shared" si="1"/>
        <v/>
      </c>
      <c r="B1245" s="94"/>
      <c r="C1245" s="95"/>
      <c r="D1245" s="96"/>
      <c r="E1245" s="97"/>
      <c r="F1245" s="109"/>
      <c r="G1245" s="99"/>
      <c r="H1245" s="102"/>
      <c r="I1245" s="95"/>
      <c r="J1245" s="93"/>
      <c r="K1245" s="102"/>
      <c r="L1245" s="101"/>
      <c r="M1245" s="102"/>
      <c r="N1245" s="102"/>
      <c r="O1245" s="102"/>
      <c r="P1245" s="102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</row>
    <row r="1246">
      <c r="A1246" s="77" t="str">
        <f t="shared" si="1"/>
        <v/>
      </c>
      <c r="B1246" s="78"/>
      <c r="C1246" s="82"/>
      <c r="D1246" s="83"/>
      <c r="E1246" s="84"/>
      <c r="F1246" s="114"/>
      <c r="G1246" s="86"/>
      <c r="H1246" s="77"/>
      <c r="I1246" s="82"/>
      <c r="J1246" s="87"/>
      <c r="K1246" s="77"/>
      <c r="L1246" s="89"/>
      <c r="M1246" s="77"/>
      <c r="N1246" s="77"/>
      <c r="O1246" s="77"/>
      <c r="P1246" s="77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</row>
    <row r="1247">
      <c r="A1247" s="102" t="str">
        <f t="shared" si="1"/>
        <v/>
      </c>
      <c r="B1247" s="94"/>
      <c r="C1247" s="95"/>
      <c r="D1247" s="96"/>
      <c r="E1247" s="97"/>
      <c r="F1247" s="109"/>
      <c r="G1247" s="99"/>
      <c r="H1247" s="102"/>
      <c r="I1247" s="95"/>
      <c r="J1247" s="93"/>
      <c r="K1247" s="102"/>
      <c r="L1247" s="101"/>
      <c r="M1247" s="102"/>
      <c r="N1247" s="102"/>
      <c r="O1247" s="102"/>
      <c r="P1247" s="102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</row>
    <row r="1248">
      <c r="A1248" s="77" t="str">
        <f t="shared" si="1"/>
        <v/>
      </c>
      <c r="B1248" s="78"/>
      <c r="C1248" s="82"/>
      <c r="D1248" s="83"/>
      <c r="E1248" s="84"/>
      <c r="F1248" s="114"/>
      <c r="G1248" s="86"/>
      <c r="H1248" s="77"/>
      <c r="I1248" s="82"/>
      <c r="J1248" s="87"/>
      <c r="K1248" s="77"/>
      <c r="L1248" s="89"/>
      <c r="M1248" s="77"/>
      <c r="N1248" s="77"/>
      <c r="O1248" s="77"/>
      <c r="P1248" s="77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</row>
    <row r="1249">
      <c r="A1249" s="102" t="str">
        <f t="shared" si="1"/>
        <v/>
      </c>
      <c r="B1249" s="94"/>
      <c r="C1249" s="95"/>
      <c r="D1249" s="96"/>
      <c r="E1249" s="97"/>
      <c r="F1249" s="109"/>
      <c r="G1249" s="99"/>
      <c r="H1249" s="102"/>
      <c r="I1249" s="95"/>
      <c r="J1249" s="93"/>
      <c r="K1249" s="102"/>
      <c r="L1249" s="101"/>
      <c r="M1249" s="102"/>
      <c r="N1249" s="102"/>
      <c r="O1249" s="102"/>
      <c r="P1249" s="102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</row>
    <row r="1250">
      <c r="A1250" s="77" t="str">
        <f t="shared" si="1"/>
        <v/>
      </c>
      <c r="B1250" s="78"/>
      <c r="C1250" s="82"/>
      <c r="D1250" s="83"/>
      <c r="E1250" s="84"/>
      <c r="F1250" s="114"/>
      <c r="G1250" s="86"/>
      <c r="H1250" s="77"/>
      <c r="I1250" s="82"/>
      <c r="J1250" s="87"/>
      <c r="K1250" s="77"/>
      <c r="L1250" s="89"/>
      <c r="M1250" s="77"/>
      <c r="N1250" s="77"/>
      <c r="O1250" s="77"/>
      <c r="P1250" s="77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</row>
    <row r="1251">
      <c r="A1251" s="102" t="str">
        <f t="shared" si="1"/>
        <v/>
      </c>
      <c r="B1251" s="94"/>
      <c r="C1251" s="95"/>
      <c r="D1251" s="96"/>
      <c r="E1251" s="97"/>
      <c r="F1251" s="109"/>
      <c r="G1251" s="99"/>
      <c r="H1251" s="102"/>
      <c r="I1251" s="95"/>
      <c r="J1251" s="93"/>
      <c r="K1251" s="102"/>
      <c r="L1251" s="101"/>
      <c r="M1251" s="102"/>
      <c r="N1251" s="102"/>
      <c r="O1251" s="102"/>
      <c r="P1251" s="102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</row>
    <row r="1252">
      <c r="A1252" s="77" t="str">
        <f t="shared" si="1"/>
        <v/>
      </c>
      <c r="B1252" s="78"/>
      <c r="C1252" s="82"/>
      <c r="D1252" s="83"/>
      <c r="E1252" s="84"/>
      <c r="F1252" s="114"/>
      <c r="G1252" s="86"/>
      <c r="H1252" s="77"/>
      <c r="I1252" s="82"/>
      <c r="J1252" s="87"/>
      <c r="K1252" s="77"/>
      <c r="L1252" s="89"/>
      <c r="M1252" s="77"/>
      <c r="N1252" s="77"/>
      <c r="O1252" s="77"/>
      <c r="P1252" s="77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</row>
    <row r="1253">
      <c r="A1253" s="102" t="str">
        <f t="shared" si="1"/>
        <v/>
      </c>
      <c r="B1253" s="94"/>
      <c r="C1253" s="95"/>
      <c r="D1253" s="96"/>
      <c r="E1253" s="97"/>
      <c r="F1253" s="109"/>
      <c r="G1253" s="99"/>
      <c r="H1253" s="102"/>
      <c r="I1253" s="95"/>
      <c r="J1253" s="93"/>
      <c r="K1253" s="102"/>
      <c r="L1253" s="101"/>
      <c r="M1253" s="102"/>
      <c r="N1253" s="102"/>
      <c r="O1253" s="102"/>
      <c r="P1253" s="102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</row>
    <row r="1254">
      <c r="A1254" s="77" t="str">
        <f t="shared" si="1"/>
        <v/>
      </c>
      <c r="B1254" s="78"/>
      <c r="C1254" s="82"/>
      <c r="D1254" s="83"/>
      <c r="E1254" s="84"/>
      <c r="F1254" s="114"/>
      <c r="G1254" s="86"/>
      <c r="H1254" s="77"/>
      <c r="I1254" s="82"/>
      <c r="J1254" s="87"/>
      <c r="K1254" s="77"/>
      <c r="L1254" s="89"/>
      <c r="M1254" s="77"/>
      <c r="N1254" s="77"/>
      <c r="O1254" s="77"/>
      <c r="P1254" s="77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</row>
    <row r="1255">
      <c r="A1255" s="102" t="str">
        <f t="shared" si="1"/>
        <v/>
      </c>
      <c r="B1255" s="94"/>
      <c r="C1255" s="95"/>
      <c r="D1255" s="96"/>
      <c r="E1255" s="97"/>
      <c r="F1255" s="109"/>
      <c r="G1255" s="99"/>
      <c r="H1255" s="102"/>
      <c r="I1255" s="95"/>
      <c r="J1255" s="93"/>
      <c r="K1255" s="102"/>
      <c r="L1255" s="101"/>
      <c r="M1255" s="102"/>
      <c r="N1255" s="102"/>
      <c r="O1255" s="102"/>
      <c r="P1255" s="102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</row>
    <row r="1256">
      <c r="A1256" s="77" t="str">
        <f t="shared" si="1"/>
        <v/>
      </c>
      <c r="B1256" s="78"/>
      <c r="C1256" s="82"/>
      <c r="D1256" s="83"/>
      <c r="E1256" s="84"/>
      <c r="F1256" s="114"/>
      <c r="G1256" s="86"/>
      <c r="H1256" s="77"/>
      <c r="I1256" s="82"/>
      <c r="J1256" s="87"/>
      <c r="K1256" s="77"/>
      <c r="L1256" s="89"/>
      <c r="M1256" s="77"/>
      <c r="N1256" s="77"/>
      <c r="O1256" s="77"/>
      <c r="P1256" s="77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</row>
    <row r="1257">
      <c r="A1257" s="102" t="str">
        <f t="shared" si="1"/>
        <v/>
      </c>
      <c r="B1257" s="94"/>
      <c r="C1257" s="95"/>
      <c r="D1257" s="96"/>
      <c r="E1257" s="97"/>
      <c r="F1257" s="109"/>
      <c r="G1257" s="99"/>
      <c r="H1257" s="102"/>
      <c r="I1257" s="95"/>
      <c r="J1257" s="93"/>
      <c r="K1257" s="102"/>
      <c r="L1257" s="101"/>
      <c r="M1257" s="102"/>
      <c r="N1257" s="102"/>
      <c r="O1257" s="102"/>
      <c r="P1257" s="102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</row>
    <row r="1258">
      <c r="A1258" s="77" t="str">
        <f t="shared" si="1"/>
        <v/>
      </c>
      <c r="B1258" s="78"/>
      <c r="C1258" s="82"/>
      <c r="D1258" s="83"/>
      <c r="E1258" s="84"/>
      <c r="F1258" s="114"/>
      <c r="G1258" s="86"/>
      <c r="H1258" s="77"/>
      <c r="I1258" s="82"/>
      <c r="J1258" s="87"/>
      <c r="K1258" s="77"/>
      <c r="L1258" s="89"/>
      <c r="M1258" s="77"/>
      <c r="N1258" s="77"/>
      <c r="O1258" s="77"/>
      <c r="P1258" s="77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</row>
    <row r="1259">
      <c r="A1259" s="102" t="str">
        <f t="shared" si="1"/>
        <v/>
      </c>
      <c r="B1259" s="94"/>
      <c r="C1259" s="95"/>
      <c r="D1259" s="96"/>
      <c r="E1259" s="97"/>
      <c r="F1259" s="109"/>
      <c r="G1259" s="99"/>
      <c r="H1259" s="102"/>
      <c r="I1259" s="95"/>
      <c r="J1259" s="93"/>
      <c r="K1259" s="102"/>
      <c r="L1259" s="101"/>
      <c r="M1259" s="102"/>
      <c r="N1259" s="102"/>
      <c r="O1259" s="102"/>
      <c r="P1259" s="102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</row>
    <row r="1260">
      <c r="A1260" s="77" t="str">
        <f t="shared" si="1"/>
        <v/>
      </c>
      <c r="B1260" s="78"/>
      <c r="C1260" s="82"/>
      <c r="D1260" s="83"/>
      <c r="E1260" s="84"/>
      <c r="F1260" s="114"/>
      <c r="G1260" s="86"/>
      <c r="H1260" s="77"/>
      <c r="I1260" s="82"/>
      <c r="J1260" s="87"/>
      <c r="K1260" s="77"/>
      <c r="L1260" s="89"/>
      <c r="M1260" s="77"/>
      <c r="N1260" s="77"/>
      <c r="O1260" s="77"/>
      <c r="P1260" s="77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</row>
    <row r="1261">
      <c r="A1261" s="102" t="str">
        <f t="shared" si="1"/>
        <v/>
      </c>
      <c r="B1261" s="94"/>
      <c r="C1261" s="95"/>
      <c r="D1261" s="96"/>
      <c r="E1261" s="97"/>
      <c r="F1261" s="109"/>
      <c r="G1261" s="99"/>
      <c r="H1261" s="102"/>
      <c r="I1261" s="95"/>
      <c r="J1261" s="93"/>
      <c r="K1261" s="102"/>
      <c r="L1261" s="101"/>
      <c r="M1261" s="102"/>
      <c r="N1261" s="102"/>
      <c r="O1261" s="102"/>
      <c r="P1261" s="102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</row>
    <row r="1262">
      <c r="A1262" s="77" t="str">
        <f t="shared" si="1"/>
        <v/>
      </c>
      <c r="B1262" s="78"/>
      <c r="C1262" s="82"/>
      <c r="D1262" s="83"/>
      <c r="E1262" s="84"/>
      <c r="F1262" s="114"/>
      <c r="G1262" s="86"/>
      <c r="H1262" s="77"/>
      <c r="I1262" s="82"/>
      <c r="J1262" s="87"/>
      <c r="K1262" s="77"/>
      <c r="L1262" s="89"/>
      <c r="M1262" s="77"/>
      <c r="N1262" s="77"/>
      <c r="O1262" s="77"/>
      <c r="P1262" s="77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</row>
    <row r="1263">
      <c r="A1263" s="102" t="str">
        <f t="shared" si="1"/>
        <v/>
      </c>
      <c r="B1263" s="94"/>
      <c r="C1263" s="95"/>
      <c r="D1263" s="96"/>
      <c r="E1263" s="97"/>
      <c r="F1263" s="109"/>
      <c r="G1263" s="99"/>
      <c r="H1263" s="102"/>
      <c r="I1263" s="95"/>
      <c r="J1263" s="93"/>
      <c r="K1263" s="102"/>
      <c r="L1263" s="101"/>
      <c r="M1263" s="102"/>
      <c r="N1263" s="102"/>
      <c r="O1263" s="102"/>
      <c r="P1263" s="102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</row>
    <row r="1264">
      <c r="A1264" s="77" t="str">
        <f t="shared" si="1"/>
        <v/>
      </c>
      <c r="B1264" s="78"/>
      <c r="C1264" s="82"/>
      <c r="D1264" s="83"/>
      <c r="E1264" s="84"/>
      <c r="F1264" s="114"/>
      <c r="G1264" s="86"/>
      <c r="H1264" s="77"/>
      <c r="I1264" s="82"/>
      <c r="J1264" s="87"/>
      <c r="K1264" s="77"/>
      <c r="L1264" s="89"/>
      <c r="M1264" s="77"/>
      <c r="N1264" s="77"/>
      <c r="O1264" s="77"/>
      <c r="P1264" s="77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</row>
    <row r="1265">
      <c r="A1265" s="102" t="str">
        <f t="shared" si="1"/>
        <v/>
      </c>
      <c r="B1265" s="94"/>
      <c r="C1265" s="95"/>
      <c r="D1265" s="96"/>
      <c r="E1265" s="97"/>
      <c r="F1265" s="109"/>
      <c r="G1265" s="99"/>
      <c r="H1265" s="102"/>
      <c r="I1265" s="95"/>
      <c r="J1265" s="93"/>
      <c r="K1265" s="102"/>
      <c r="L1265" s="101"/>
      <c r="M1265" s="102"/>
      <c r="N1265" s="102"/>
      <c r="O1265" s="102"/>
      <c r="P1265" s="102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</row>
    <row r="1266">
      <c r="A1266" s="77" t="str">
        <f t="shared" si="1"/>
        <v/>
      </c>
      <c r="B1266" s="78"/>
      <c r="C1266" s="82"/>
      <c r="D1266" s="83"/>
      <c r="E1266" s="84"/>
      <c r="F1266" s="114"/>
      <c r="G1266" s="86"/>
      <c r="H1266" s="77"/>
      <c r="I1266" s="82"/>
      <c r="J1266" s="87"/>
      <c r="K1266" s="77"/>
      <c r="L1266" s="89"/>
      <c r="M1266" s="77"/>
      <c r="N1266" s="77"/>
      <c r="O1266" s="77"/>
      <c r="P1266" s="77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</row>
    <row r="1267">
      <c r="A1267" s="102" t="str">
        <f t="shared" si="1"/>
        <v/>
      </c>
      <c r="B1267" s="94"/>
      <c r="C1267" s="95"/>
      <c r="D1267" s="96"/>
      <c r="E1267" s="97"/>
      <c r="F1267" s="109"/>
      <c r="G1267" s="99"/>
      <c r="H1267" s="102"/>
      <c r="I1267" s="95"/>
      <c r="J1267" s="93"/>
      <c r="K1267" s="102"/>
      <c r="L1267" s="101"/>
      <c r="M1267" s="102"/>
      <c r="N1267" s="102"/>
      <c r="O1267" s="102"/>
      <c r="P1267" s="102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</row>
    <row r="1268">
      <c r="A1268" s="77" t="str">
        <f t="shared" si="1"/>
        <v/>
      </c>
      <c r="B1268" s="78"/>
      <c r="C1268" s="82"/>
      <c r="D1268" s="83"/>
      <c r="E1268" s="84"/>
      <c r="F1268" s="114"/>
      <c r="G1268" s="86"/>
      <c r="H1268" s="77"/>
      <c r="I1268" s="82"/>
      <c r="J1268" s="87"/>
      <c r="K1268" s="77"/>
      <c r="L1268" s="89"/>
      <c r="M1268" s="77"/>
      <c r="N1268" s="77"/>
      <c r="O1268" s="77"/>
      <c r="P1268" s="77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</row>
    <row r="1269">
      <c r="A1269" s="102" t="str">
        <f t="shared" si="1"/>
        <v/>
      </c>
      <c r="B1269" s="94"/>
      <c r="C1269" s="95"/>
      <c r="D1269" s="96"/>
      <c r="E1269" s="97"/>
      <c r="F1269" s="109"/>
      <c r="G1269" s="99"/>
      <c r="H1269" s="102"/>
      <c r="I1269" s="95"/>
      <c r="J1269" s="93"/>
      <c r="K1269" s="102"/>
      <c r="L1269" s="101"/>
      <c r="M1269" s="102"/>
      <c r="N1269" s="102"/>
      <c r="O1269" s="102"/>
      <c r="P1269" s="102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</row>
    <row r="1270">
      <c r="A1270" s="77" t="str">
        <f t="shared" si="1"/>
        <v/>
      </c>
      <c r="B1270" s="78"/>
      <c r="C1270" s="82"/>
      <c r="D1270" s="83"/>
      <c r="E1270" s="84"/>
      <c r="F1270" s="114"/>
      <c r="G1270" s="86"/>
      <c r="H1270" s="77"/>
      <c r="I1270" s="82"/>
      <c r="J1270" s="87"/>
      <c r="K1270" s="77"/>
      <c r="L1270" s="89"/>
      <c r="M1270" s="77"/>
      <c r="N1270" s="77"/>
      <c r="O1270" s="77"/>
      <c r="P1270" s="77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</row>
    <row r="1271">
      <c r="A1271" s="102" t="str">
        <f t="shared" si="1"/>
        <v/>
      </c>
      <c r="B1271" s="94"/>
      <c r="C1271" s="95"/>
      <c r="D1271" s="96"/>
      <c r="E1271" s="97"/>
      <c r="F1271" s="109"/>
      <c r="G1271" s="99"/>
      <c r="H1271" s="102"/>
      <c r="I1271" s="95"/>
      <c r="J1271" s="93"/>
      <c r="K1271" s="102"/>
      <c r="L1271" s="101"/>
      <c r="M1271" s="102"/>
      <c r="N1271" s="102"/>
      <c r="O1271" s="102"/>
      <c r="P1271" s="102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</row>
    <row r="1272">
      <c r="A1272" s="77" t="str">
        <f t="shared" si="1"/>
        <v/>
      </c>
      <c r="B1272" s="78"/>
      <c r="C1272" s="82"/>
      <c r="D1272" s="83"/>
      <c r="E1272" s="84"/>
      <c r="F1272" s="114"/>
      <c r="G1272" s="86"/>
      <c r="H1272" s="77"/>
      <c r="I1272" s="82"/>
      <c r="J1272" s="87"/>
      <c r="K1272" s="77"/>
      <c r="L1272" s="89"/>
      <c r="M1272" s="77"/>
      <c r="N1272" s="77"/>
      <c r="O1272" s="77"/>
      <c r="P1272" s="77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</row>
    <row r="1273">
      <c r="A1273" s="102" t="str">
        <f t="shared" si="1"/>
        <v/>
      </c>
      <c r="B1273" s="94"/>
      <c r="C1273" s="95"/>
      <c r="D1273" s="96"/>
      <c r="E1273" s="97"/>
      <c r="F1273" s="109"/>
      <c r="G1273" s="99"/>
      <c r="H1273" s="102"/>
      <c r="I1273" s="95"/>
      <c r="J1273" s="93"/>
      <c r="K1273" s="102"/>
      <c r="L1273" s="101"/>
      <c r="M1273" s="102"/>
      <c r="N1273" s="102"/>
      <c r="O1273" s="102"/>
      <c r="P1273" s="102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</row>
    <row r="1274">
      <c r="A1274" s="77" t="str">
        <f t="shared" si="1"/>
        <v/>
      </c>
      <c r="B1274" s="78"/>
      <c r="C1274" s="82"/>
      <c r="D1274" s="83"/>
      <c r="E1274" s="84"/>
      <c r="F1274" s="114"/>
      <c r="G1274" s="86"/>
      <c r="H1274" s="77"/>
      <c r="I1274" s="82"/>
      <c r="J1274" s="87"/>
      <c r="K1274" s="77"/>
      <c r="L1274" s="89"/>
      <c r="M1274" s="77"/>
      <c r="N1274" s="77"/>
      <c r="O1274" s="77"/>
      <c r="P1274" s="77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</row>
    <row r="1275">
      <c r="A1275" s="102" t="str">
        <f t="shared" si="1"/>
        <v/>
      </c>
      <c r="B1275" s="94"/>
      <c r="C1275" s="95"/>
      <c r="D1275" s="96"/>
      <c r="E1275" s="97"/>
      <c r="F1275" s="109"/>
      <c r="G1275" s="99"/>
      <c r="H1275" s="102"/>
      <c r="I1275" s="95"/>
      <c r="J1275" s="93"/>
      <c r="K1275" s="102"/>
      <c r="L1275" s="101"/>
      <c r="M1275" s="102"/>
      <c r="N1275" s="102"/>
      <c r="O1275" s="102"/>
      <c r="P1275" s="102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</row>
    <row r="1276">
      <c r="A1276" s="77" t="str">
        <f t="shared" si="1"/>
        <v/>
      </c>
      <c r="B1276" s="78"/>
      <c r="C1276" s="82"/>
      <c r="D1276" s="83"/>
      <c r="E1276" s="84"/>
      <c r="F1276" s="114"/>
      <c r="G1276" s="86"/>
      <c r="H1276" s="77"/>
      <c r="I1276" s="82"/>
      <c r="J1276" s="87"/>
      <c r="K1276" s="77"/>
      <c r="L1276" s="89"/>
      <c r="M1276" s="77"/>
      <c r="N1276" s="77"/>
      <c r="O1276" s="77"/>
      <c r="P1276" s="77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</row>
    <row r="1277">
      <c r="A1277" s="102" t="str">
        <f t="shared" si="1"/>
        <v/>
      </c>
      <c r="B1277" s="94"/>
      <c r="C1277" s="95"/>
      <c r="D1277" s="96"/>
      <c r="E1277" s="97"/>
      <c r="F1277" s="109"/>
      <c r="G1277" s="99"/>
      <c r="H1277" s="102"/>
      <c r="I1277" s="95"/>
      <c r="J1277" s="93"/>
      <c r="K1277" s="102"/>
      <c r="L1277" s="101"/>
      <c r="M1277" s="102"/>
      <c r="N1277" s="102"/>
      <c r="O1277" s="102"/>
      <c r="P1277" s="102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</row>
    <row r="1278">
      <c r="A1278" s="77" t="str">
        <f t="shared" si="1"/>
        <v/>
      </c>
      <c r="B1278" s="78"/>
      <c r="C1278" s="82"/>
      <c r="D1278" s="83"/>
      <c r="E1278" s="84"/>
      <c r="F1278" s="114"/>
      <c r="G1278" s="86"/>
      <c r="H1278" s="77"/>
      <c r="I1278" s="82"/>
      <c r="J1278" s="87"/>
      <c r="K1278" s="77"/>
      <c r="L1278" s="89"/>
      <c r="M1278" s="77"/>
      <c r="N1278" s="77"/>
      <c r="O1278" s="77"/>
      <c r="P1278" s="77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</row>
    <row r="1279">
      <c r="A1279" s="102" t="str">
        <f t="shared" si="1"/>
        <v/>
      </c>
      <c r="B1279" s="94"/>
      <c r="C1279" s="95"/>
      <c r="D1279" s="96"/>
      <c r="E1279" s="97"/>
      <c r="F1279" s="109"/>
      <c r="G1279" s="99"/>
      <c r="H1279" s="102"/>
      <c r="I1279" s="95"/>
      <c r="J1279" s="93"/>
      <c r="K1279" s="102"/>
      <c r="L1279" s="101"/>
      <c r="M1279" s="102"/>
      <c r="N1279" s="102"/>
      <c r="O1279" s="102"/>
      <c r="P1279" s="102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</row>
    <row r="1280">
      <c r="A1280" s="77" t="str">
        <f t="shared" si="1"/>
        <v/>
      </c>
      <c r="B1280" s="78"/>
      <c r="C1280" s="82"/>
      <c r="D1280" s="83"/>
      <c r="E1280" s="84"/>
      <c r="F1280" s="114"/>
      <c r="G1280" s="86"/>
      <c r="H1280" s="77"/>
      <c r="I1280" s="82"/>
      <c r="J1280" s="87"/>
      <c r="K1280" s="77"/>
      <c r="L1280" s="89"/>
      <c r="M1280" s="77"/>
      <c r="N1280" s="77"/>
      <c r="O1280" s="77"/>
      <c r="P1280" s="77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</row>
    <row r="1281">
      <c r="A1281" s="102" t="str">
        <f t="shared" si="1"/>
        <v/>
      </c>
      <c r="B1281" s="94"/>
      <c r="C1281" s="95"/>
      <c r="D1281" s="96"/>
      <c r="E1281" s="97"/>
      <c r="F1281" s="109"/>
      <c r="G1281" s="99"/>
      <c r="H1281" s="102"/>
      <c r="I1281" s="95"/>
      <c r="J1281" s="93"/>
      <c r="K1281" s="102"/>
      <c r="L1281" s="101"/>
      <c r="M1281" s="102"/>
      <c r="N1281" s="102"/>
      <c r="O1281" s="102"/>
      <c r="P1281" s="102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</row>
    <row r="1282">
      <c r="A1282" s="77" t="str">
        <f t="shared" si="1"/>
        <v/>
      </c>
      <c r="B1282" s="78"/>
      <c r="C1282" s="82"/>
      <c r="D1282" s="83"/>
      <c r="E1282" s="84"/>
      <c r="F1282" s="114"/>
      <c r="G1282" s="86"/>
      <c r="H1282" s="77"/>
      <c r="I1282" s="82"/>
      <c r="J1282" s="87"/>
      <c r="K1282" s="77"/>
      <c r="L1282" s="89"/>
      <c r="M1282" s="77"/>
      <c r="N1282" s="77"/>
      <c r="O1282" s="77"/>
      <c r="P1282" s="77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</row>
    <row r="1283">
      <c r="A1283" s="102" t="str">
        <f t="shared" si="1"/>
        <v/>
      </c>
      <c r="B1283" s="94"/>
      <c r="C1283" s="95"/>
      <c r="D1283" s="96"/>
      <c r="E1283" s="97"/>
      <c r="F1283" s="109"/>
      <c r="G1283" s="99"/>
      <c r="H1283" s="102"/>
      <c r="I1283" s="95"/>
      <c r="J1283" s="93"/>
      <c r="K1283" s="102"/>
      <c r="L1283" s="101"/>
      <c r="M1283" s="102"/>
      <c r="N1283" s="102"/>
      <c r="O1283" s="102"/>
      <c r="P1283" s="102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</row>
    <row r="1284">
      <c r="A1284" s="77" t="str">
        <f t="shared" si="1"/>
        <v/>
      </c>
      <c r="B1284" s="78"/>
      <c r="C1284" s="82"/>
      <c r="D1284" s="83"/>
      <c r="E1284" s="84"/>
      <c r="F1284" s="114"/>
      <c r="G1284" s="86"/>
      <c r="H1284" s="77"/>
      <c r="I1284" s="82"/>
      <c r="J1284" s="87"/>
      <c r="K1284" s="77"/>
      <c r="L1284" s="89"/>
      <c r="M1284" s="77"/>
      <c r="N1284" s="77"/>
      <c r="O1284" s="77"/>
      <c r="P1284" s="77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</row>
    <row r="1285">
      <c r="A1285" s="102" t="str">
        <f t="shared" si="1"/>
        <v/>
      </c>
      <c r="B1285" s="94"/>
      <c r="C1285" s="95"/>
      <c r="D1285" s="96"/>
      <c r="E1285" s="97"/>
      <c r="F1285" s="109"/>
      <c r="G1285" s="99"/>
      <c r="H1285" s="102"/>
      <c r="I1285" s="95"/>
      <c r="J1285" s="93"/>
      <c r="K1285" s="102"/>
      <c r="L1285" s="101"/>
      <c r="M1285" s="102"/>
      <c r="N1285" s="102"/>
      <c r="O1285" s="102"/>
      <c r="P1285" s="102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</row>
    <row r="1286">
      <c r="A1286" s="77" t="str">
        <f t="shared" si="1"/>
        <v/>
      </c>
      <c r="B1286" s="78"/>
      <c r="C1286" s="82"/>
      <c r="D1286" s="83"/>
      <c r="E1286" s="84"/>
      <c r="F1286" s="114"/>
      <c r="G1286" s="86"/>
      <c r="H1286" s="77"/>
      <c r="I1286" s="82"/>
      <c r="J1286" s="87"/>
      <c r="K1286" s="77"/>
      <c r="L1286" s="89"/>
      <c r="M1286" s="77"/>
      <c r="N1286" s="77"/>
      <c r="O1286" s="77"/>
      <c r="P1286" s="77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</row>
    <row r="1287">
      <c r="A1287" s="102" t="str">
        <f t="shared" si="1"/>
        <v/>
      </c>
      <c r="B1287" s="94"/>
      <c r="C1287" s="95"/>
      <c r="D1287" s="96"/>
      <c r="E1287" s="97"/>
      <c r="F1287" s="109"/>
      <c r="G1287" s="99"/>
      <c r="H1287" s="102"/>
      <c r="I1287" s="95"/>
      <c r="J1287" s="93"/>
      <c r="K1287" s="102"/>
      <c r="L1287" s="101"/>
      <c r="M1287" s="102"/>
      <c r="N1287" s="102"/>
      <c r="O1287" s="102"/>
      <c r="P1287" s="102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</row>
    <row r="1288">
      <c r="A1288" s="77" t="str">
        <f t="shared" si="1"/>
        <v/>
      </c>
      <c r="B1288" s="78"/>
      <c r="C1288" s="82"/>
      <c r="D1288" s="83"/>
      <c r="E1288" s="84"/>
      <c r="F1288" s="114"/>
      <c r="G1288" s="86"/>
      <c r="H1288" s="77"/>
      <c r="I1288" s="82"/>
      <c r="J1288" s="87"/>
      <c r="K1288" s="77"/>
      <c r="L1288" s="89"/>
      <c r="M1288" s="77"/>
      <c r="N1288" s="77"/>
      <c r="O1288" s="77"/>
      <c r="P1288" s="77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</row>
    <row r="1289">
      <c r="A1289" s="102" t="str">
        <f t="shared" si="1"/>
        <v/>
      </c>
      <c r="B1289" s="94"/>
      <c r="C1289" s="95"/>
      <c r="D1289" s="96"/>
      <c r="E1289" s="97"/>
      <c r="F1289" s="109"/>
      <c r="G1289" s="99"/>
      <c r="H1289" s="102"/>
      <c r="I1289" s="95"/>
      <c r="J1289" s="93"/>
      <c r="K1289" s="102"/>
      <c r="L1289" s="101"/>
      <c r="M1289" s="102"/>
      <c r="N1289" s="102"/>
      <c r="O1289" s="102"/>
      <c r="P1289" s="102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</row>
    <row r="1290">
      <c r="A1290" s="77" t="str">
        <f t="shared" si="1"/>
        <v/>
      </c>
      <c r="B1290" s="78"/>
      <c r="C1290" s="82"/>
      <c r="D1290" s="83"/>
      <c r="E1290" s="84"/>
      <c r="F1290" s="114"/>
      <c r="G1290" s="86"/>
      <c r="H1290" s="77"/>
      <c r="I1290" s="82"/>
      <c r="J1290" s="87"/>
      <c r="K1290" s="77"/>
      <c r="L1290" s="89"/>
      <c r="M1290" s="77"/>
      <c r="N1290" s="77"/>
      <c r="O1290" s="77"/>
      <c r="P1290" s="77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</row>
    <row r="1291">
      <c r="A1291" s="102" t="str">
        <f t="shared" si="1"/>
        <v/>
      </c>
      <c r="B1291" s="94"/>
      <c r="C1291" s="95"/>
      <c r="D1291" s="96"/>
      <c r="E1291" s="97"/>
      <c r="F1291" s="109"/>
      <c r="G1291" s="99"/>
      <c r="H1291" s="102"/>
      <c r="I1291" s="95"/>
      <c r="J1291" s="93"/>
      <c r="K1291" s="102"/>
      <c r="L1291" s="101"/>
      <c r="M1291" s="102"/>
      <c r="N1291" s="102"/>
      <c r="O1291" s="102"/>
      <c r="P1291" s="102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</row>
    <row r="1292">
      <c r="A1292" s="77" t="str">
        <f t="shared" si="1"/>
        <v/>
      </c>
      <c r="B1292" s="78"/>
      <c r="C1292" s="82"/>
      <c r="D1292" s="83"/>
      <c r="E1292" s="84"/>
      <c r="F1292" s="114"/>
      <c r="G1292" s="86"/>
      <c r="H1292" s="77"/>
      <c r="I1292" s="82"/>
      <c r="J1292" s="87"/>
      <c r="K1292" s="77"/>
      <c r="L1292" s="89"/>
      <c r="M1292" s="77"/>
      <c r="N1292" s="77"/>
      <c r="O1292" s="77"/>
      <c r="P1292" s="77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</row>
    <row r="1293">
      <c r="A1293" s="102" t="str">
        <f t="shared" si="1"/>
        <v/>
      </c>
      <c r="B1293" s="94"/>
      <c r="C1293" s="95"/>
      <c r="D1293" s="96"/>
      <c r="E1293" s="97"/>
      <c r="F1293" s="109"/>
      <c r="G1293" s="99"/>
      <c r="H1293" s="102"/>
      <c r="I1293" s="95"/>
      <c r="J1293" s="93"/>
      <c r="K1293" s="102"/>
      <c r="L1293" s="101"/>
      <c r="M1293" s="102"/>
      <c r="N1293" s="102"/>
      <c r="O1293" s="102"/>
      <c r="P1293" s="102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</row>
    <row r="1294">
      <c r="A1294" s="77" t="str">
        <f t="shared" si="1"/>
        <v/>
      </c>
      <c r="B1294" s="78"/>
      <c r="C1294" s="82"/>
      <c r="D1294" s="83"/>
      <c r="E1294" s="84"/>
      <c r="F1294" s="114"/>
      <c r="G1294" s="86"/>
      <c r="H1294" s="77"/>
      <c r="I1294" s="82"/>
      <c r="J1294" s="87"/>
      <c r="K1294" s="77"/>
      <c r="L1294" s="89"/>
      <c r="M1294" s="77"/>
      <c r="N1294" s="77"/>
      <c r="O1294" s="77"/>
      <c r="P1294" s="77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</row>
    <row r="1295">
      <c r="A1295" s="102" t="str">
        <f t="shared" si="1"/>
        <v/>
      </c>
      <c r="B1295" s="94"/>
      <c r="C1295" s="95"/>
      <c r="D1295" s="96"/>
      <c r="E1295" s="97"/>
      <c r="F1295" s="109"/>
      <c r="G1295" s="99"/>
      <c r="H1295" s="102"/>
      <c r="I1295" s="95"/>
      <c r="J1295" s="93"/>
      <c r="K1295" s="102"/>
      <c r="L1295" s="101"/>
      <c r="M1295" s="102"/>
      <c r="N1295" s="102"/>
      <c r="O1295" s="102"/>
      <c r="P1295" s="102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</row>
    <row r="1296">
      <c r="A1296" s="77" t="str">
        <f t="shared" si="1"/>
        <v/>
      </c>
      <c r="B1296" s="78"/>
      <c r="C1296" s="82"/>
      <c r="D1296" s="83"/>
      <c r="E1296" s="84"/>
      <c r="F1296" s="114"/>
      <c r="G1296" s="86"/>
      <c r="H1296" s="77"/>
      <c r="I1296" s="82"/>
      <c r="J1296" s="87"/>
      <c r="K1296" s="77"/>
      <c r="L1296" s="89"/>
      <c r="M1296" s="77"/>
      <c r="N1296" s="77"/>
      <c r="O1296" s="77"/>
      <c r="P1296" s="77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</row>
    <row r="1297">
      <c r="A1297" s="102" t="str">
        <f t="shared" si="1"/>
        <v/>
      </c>
      <c r="B1297" s="94"/>
      <c r="C1297" s="95"/>
      <c r="D1297" s="96"/>
      <c r="E1297" s="97"/>
      <c r="F1297" s="109"/>
      <c r="G1297" s="99"/>
      <c r="H1297" s="102"/>
      <c r="I1297" s="95"/>
      <c r="J1297" s="93"/>
      <c r="K1297" s="102"/>
      <c r="L1297" s="101"/>
      <c r="M1297" s="102"/>
      <c r="N1297" s="102"/>
      <c r="O1297" s="102"/>
      <c r="P1297" s="102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</row>
    <row r="1298">
      <c r="A1298" s="77" t="str">
        <f t="shared" si="1"/>
        <v/>
      </c>
      <c r="B1298" s="78"/>
      <c r="C1298" s="82"/>
      <c r="D1298" s="83"/>
      <c r="E1298" s="84"/>
      <c r="F1298" s="114"/>
      <c r="G1298" s="86"/>
      <c r="H1298" s="77"/>
      <c r="I1298" s="82"/>
      <c r="J1298" s="87"/>
      <c r="K1298" s="77"/>
      <c r="L1298" s="89"/>
      <c r="M1298" s="77"/>
      <c r="N1298" s="77"/>
      <c r="O1298" s="77"/>
      <c r="P1298" s="77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</row>
    <row r="1299">
      <c r="A1299" s="102" t="str">
        <f t="shared" si="1"/>
        <v/>
      </c>
      <c r="B1299" s="94"/>
      <c r="C1299" s="95"/>
      <c r="D1299" s="96"/>
      <c r="E1299" s="97"/>
      <c r="F1299" s="109"/>
      <c r="G1299" s="99"/>
      <c r="H1299" s="102"/>
      <c r="I1299" s="95"/>
      <c r="J1299" s="93"/>
      <c r="K1299" s="102"/>
      <c r="L1299" s="101"/>
      <c r="M1299" s="102"/>
      <c r="N1299" s="102"/>
      <c r="O1299" s="102"/>
      <c r="P1299" s="102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</row>
    <row r="1300">
      <c r="A1300" s="77" t="str">
        <f t="shared" si="1"/>
        <v/>
      </c>
      <c r="B1300" s="78"/>
      <c r="C1300" s="82"/>
      <c r="D1300" s="83"/>
      <c r="E1300" s="84"/>
      <c r="F1300" s="114"/>
      <c r="G1300" s="86"/>
      <c r="H1300" s="77"/>
      <c r="I1300" s="82"/>
      <c r="J1300" s="87"/>
      <c r="K1300" s="77"/>
      <c r="L1300" s="89"/>
      <c r="M1300" s="77"/>
      <c r="N1300" s="77"/>
      <c r="O1300" s="77"/>
      <c r="P1300" s="77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</row>
    <row r="1301">
      <c r="A1301" s="102" t="str">
        <f t="shared" si="1"/>
        <v/>
      </c>
      <c r="B1301" s="94"/>
      <c r="C1301" s="95"/>
      <c r="D1301" s="96"/>
      <c r="E1301" s="97"/>
      <c r="F1301" s="109"/>
      <c r="G1301" s="99"/>
      <c r="H1301" s="102"/>
      <c r="I1301" s="95"/>
      <c r="J1301" s="93"/>
      <c r="K1301" s="102"/>
      <c r="L1301" s="101"/>
      <c r="M1301" s="102"/>
      <c r="N1301" s="102"/>
      <c r="O1301" s="102"/>
      <c r="P1301" s="102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</row>
    <row r="1302">
      <c r="A1302" s="77" t="str">
        <f t="shared" si="1"/>
        <v/>
      </c>
      <c r="B1302" s="78"/>
      <c r="C1302" s="82"/>
      <c r="D1302" s="83"/>
      <c r="E1302" s="84"/>
      <c r="F1302" s="114"/>
      <c r="G1302" s="86"/>
      <c r="H1302" s="77"/>
      <c r="I1302" s="82"/>
      <c r="J1302" s="87"/>
      <c r="K1302" s="77"/>
      <c r="L1302" s="89"/>
      <c r="M1302" s="77"/>
      <c r="N1302" s="77"/>
      <c r="O1302" s="77"/>
      <c r="P1302" s="77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</row>
    <row r="1303">
      <c r="A1303" s="102" t="str">
        <f t="shared" si="1"/>
        <v/>
      </c>
      <c r="B1303" s="94"/>
      <c r="C1303" s="95"/>
      <c r="D1303" s="96"/>
      <c r="E1303" s="97"/>
      <c r="F1303" s="109"/>
      <c r="G1303" s="99"/>
      <c r="H1303" s="102"/>
      <c r="I1303" s="95"/>
      <c r="J1303" s="93"/>
      <c r="K1303" s="102"/>
      <c r="L1303" s="101"/>
      <c r="M1303" s="102"/>
      <c r="N1303" s="102"/>
      <c r="O1303" s="102"/>
      <c r="P1303" s="102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</row>
    <row r="1304">
      <c r="A1304" s="77" t="str">
        <f t="shared" si="1"/>
        <v/>
      </c>
      <c r="B1304" s="78"/>
      <c r="C1304" s="82"/>
      <c r="D1304" s="83"/>
      <c r="E1304" s="84"/>
      <c r="F1304" s="114"/>
      <c r="G1304" s="86"/>
      <c r="H1304" s="77"/>
      <c r="I1304" s="82"/>
      <c r="J1304" s="87"/>
      <c r="K1304" s="77"/>
      <c r="L1304" s="89"/>
      <c r="M1304" s="77"/>
      <c r="N1304" s="77"/>
      <c r="O1304" s="77"/>
      <c r="P1304" s="77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</row>
    <row r="1305">
      <c r="A1305" s="102" t="str">
        <f t="shared" si="1"/>
        <v/>
      </c>
      <c r="B1305" s="94"/>
      <c r="C1305" s="95"/>
      <c r="D1305" s="96"/>
      <c r="E1305" s="97"/>
      <c r="F1305" s="109"/>
      <c r="G1305" s="99"/>
      <c r="H1305" s="102"/>
      <c r="I1305" s="95"/>
      <c r="J1305" s="93"/>
      <c r="K1305" s="102"/>
      <c r="L1305" s="101"/>
      <c r="M1305" s="102"/>
      <c r="N1305" s="102"/>
      <c r="O1305" s="102"/>
      <c r="P1305" s="102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</row>
    <row r="1306">
      <c r="A1306" s="77" t="str">
        <f t="shared" si="1"/>
        <v/>
      </c>
      <c r="B1306" s="78"/>
      <c r="C1306" s="82"/>
      <c r="D1306" s="83"/>
      <c r="E1306" s="84"/>
      <c r="F1306" s="114"/>
      <c r="G1306" s="86"/>
      <c r="H1306" s="77"/>
      <c r="I1306" s="82"/>
      <c r="J1306" s="87"/>
      <c r="K1306" s="77"/>
      <c r="L1306" s="89"/>
      <c r="M1306" s="77"/>
      <c r="N1306" s="77"/>
      <c r="O1306" s="77"/>
      <c r="P1306" s="77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</row>
    <row r="1307">
      <c r="A1307" s="102" t="str">
        <f t="shared" si="1"/>
        <v/>
      </c>
      <c r="B1307" s="94"/>
      <c r="C1307" s="95"/>
      <c r="D1307" s="96"/>
      <c r="E1307" s="97"/>
      <c r="F1307" s="109"/>
      <c r="G1307" s="99"/>
      <c r="H1307" s="102"/>
      <c r="I1307" s="95"/>
      <c r="J1307" s="93"/>
      <c r="K1307" s="102"/>
      <c r="L1307" s="101"/>
      <c r="M1307" s="102"/>
      <c r="N1307" s="102"/>
      <c r="O1307" s="102"/>
      <c r="P1307" s="102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</row>
    <row r="1308">
      <c r="A1308" s="77" t="str">
        <f t="shared" si="1"/>
        <v/>
      </c>
      <c r="B1308" s="78"/>
      <c r="C1308" s="82"/>
      <c r="D1308" s="83"/>
      <c r="E1308" s="84"/>
      <c r="F1308" s="114"/>
      <c r="G1308" s="86"/>
      <c r="H1308" s="77"/>
      <c r="I1308" s="82"/>
      <c r="J1308" s="87"/>
      <c r="K1308" s="77"/>
      <c r="L1308" s="89"/>
      <c r="M1308" s="77"/>
      <c r="N1308" s="77"/>
      <c r="O1308" s="77"/>
      <c r="P1308" s="77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</row>
    <row r="1309">
      <c r="A1309" s="102" t="str">
        <f t="shared" si="1"/>
        <v/>
      </c>
      <c r="B1309" s="94"/>
      <c r="C1309" s="95"/>
      <c r="D1309" s="96"/>
      <c r="E1309" s="97"/>
      <c r="F1309" s="109"/>
      <c r="G1309" s="99"/>
      <c r="H1309" s="102"/>
      <c r="I1309" s="95"/>
      <c r="J1309" s="93"/>
      <c r="K1309" s="102"/>
      <c r="L1309" s="101"/>
      <c r="M1309" s="102"/>
      <c r="N1309" s="102"/>
      <c r="O1309" s="102"/>
      <c r="P1309" s="102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</row>
    <row r="1310">
      <c r="A1310" s="77" t="str">
        <f t="shared" si="1"/>
        <v/>
      </c>
      <c r="B1310" s="78"/>
      <c r="C1310" s="82"/>
      <c r="D1310" s="83"/>
      <c r="E1310" s="84"/>
      <c r="F1310" s="114"/>
      <c r="G1310" s="86"/>
      <c r="H1310" s="77"/>
      <c r="I1310" s="82"/>
      <c r="J1310" s="87"/>
      <c r="K1310" s="77"/>
      <c r="L1310" s="89"/>
      <c r="M1310" s="77"/>
      <c r="N1310" s="77"/>
      <c r="O1310" s="77"/>
      <c r="P1310" s="77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</row>
    <row r="1311">
      <c r="A1311" s="102" t="str">
        <f t="shared" si="1"/>
        <v/>
      </c>
      <c r="B1311" s="94"/>
      <c r="C1311" s="95"/>
      <c r="D1311" s="96"/>
      <c r="E1311" s="97"/>
      <c r="F1311" s="109"/>
      <c r="G1311" s="99"/>
      <c r="H1311" s="102"/>
      <c r="I1311" s="95"/>
      <c r="J1311" s="93"/>
      <c r="K1311" s="102"/>
      <c r="L1311" s="101"/>
      <c r="M1311" s="102"/>
      <c r="N1311" s="102"/>
      <c r="O1311" s="102"/>
      <c r="P1311" s="102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</row>
    <row r="1312">
      <c r="A1312" s="77" t="str">
        <f t="shared" si="1"/>
        <v/>
      </c>
      <c r="B1312" s="78"/>
      <c r="C1312" s="82"/>
      <c r="D1312" s="83"/>
      <c r="E1312" s="84"/>
      <c r="F1312" s="114"/>
      <c r="G1312" s="86"/>
      <c r="H1312" s="77"/>
      <c r="I1312" s="82"/>
      <c r="J1312" s="87"/>
      <c r="K1312" s="77"/>
      <c r="L1312" s="89"/>
      <c r="M1312" s="77"/>
      <c r="N1312" s="77"/>
      <c r="O1312" s="77"/>
      <c r="P1312" s="77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</row>
    <row r="1313">
      <c r="A1313" s="102" t="str">
        <f t="shared" si="1"/>
        <v/>
      </c>
      <c r="B1313" s="94"/>
      <c r="C1313" s="95"/>
      <c r="D1313" s="96"/>
      <c r="E1313" s="97"/>
      <c r="F1313" s="109"/>
      <c r="G1313" s="99"/>
      <c r="H1313" s="102"/>
      <c r="I1313" s="95"/>
      <c r="J1313" s="93"/>
      <c r="K1313" s="102"/>
      <c r="L1313" s="101"/>
      <c r="M1313" s="102"/>
      <c r="N1313" s="102"/>
      <c r="O1313" s="102"/>
      <c r="P1313" s="102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</row>
    <row r="1314">
      <c r="A1314" s="77" t="str">
        <f t="shared" si="1"/>
        <v/>
      </c>
      <c r="B1314" s="78"/>
      <c r="C1314" s="82"/>
      <c r="D1314" s="83"/>
      <c r="E1314" s="84"/>
      <c r="F1314" s="114"/>
      <c r="G1314" s="86"/>
      <c r="H1314" s="77"/>
      <c r="I1314" s="82"/>
      <c r="J1314" s="87"/>
      <c r="K1314" s="77"/>
      <c r="L1314" s="89"/>
      <c r="M1314" s="77"/>
      <c r="N1314" s="77"/>
      <c r="O1314" s="77"/>
      <c r="P1314" s="77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</row>
    <row r="1315">
      <c r="A1315" s="102" t="str">
        <f t="shared" si="1"/>
        <v/>
      </c>
      <c r="B1315" s="94"/>
      <c r="C1315" s="95"/>
      <c r="D1315" s="96"/>
      <c r="E1315" s="97"/>
      <c r="F1315" s="109"/>
      <c r="G1315" s="99"/>
      <c r="H1315" s="102"/>
      <c r="I1315" s="95"/>
      <c r="J1315" s="93"/>
      <c r="K1315" s="102"/>
      <c r="L1315" s="101"/>
      <c r="M1315" s="102"/>
      <c r="N1315" s="102"/>
      <c r="O1315" s="102"/>
      <c r="P1315" s="102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</row>
    <row r="1316">
      <c r="A1316" s="77" t="str">
        <f t="shared" si="1"/>
        <v/>
      </c>
      <c r="B1316" s="78"/>
      <c r="C1316" s="82"/>
      <c r="D1316" s="83"/>
      <c r="E1316" s="84"/>
      <c r="F1316" s="114"/>
      <c r="G1316" s="86"/>
      <c r="H1316" s="77"/>
      <c r="I1316" s="82"/>
      <c r="J1316" s="87"/>
      <c r="K1316" s="77"/>
      <c r="L1316" s="89"/>
      <c r="M1316" s="77"/>
      <c r="N1316" s="77"/>
      <c r="O1316" s="77"/>
      <c r="P1316" s="77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</row>
    <row r="1317">
      <c r="A1317" s="102" t="str">
        <f t="shared" si="1"/>
        <v/>
      </c>
      <c r="B1317" s="94"/>
      <c r="C1317" s="95"/>
      <c r="D1317" s="96"/>
      <c r="E1317" s="97"/>
      <c r="F1317" s="109"/>
      <c r="G1317" s="99"/>
      <c r="H1317" s="102"/>
      <c r="I1317" s="95"/>
      <c r="J1317" s="93"/>
      <c r="K1317" s="102"/>
      <c r="L1317" s="101"/>
      <c r="M1317" s="102"/>
      <c r="N1317" s="102"/>
      <c r="O1317" s="102"/>
      <c r="P1317" s="102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</row>
    <row r="1318">
      <c r="A1318" s="77" t="str">
        <f t="shared" si="1"/>
        <v/>
      </c>
      <c r="B1318" s="78"/>
      <c r="C1318" s="82"/>
      <c r="D1318" s="83"/>
      <c r="E1318" s="84"/>
      <c r="F1318" s="114"/>
      <c r="G1318" s="86"/>
      <c r="H1318" s="77"/>
      <c r="I1318" s="82"/>
      <c r="J1318" s="87"/>
      <c r="K1318" s="77"/>
      <c r="L1318" s="89"/>
      <c r="M1318" s="77"/>
      <c r="N1318" s="77"/>
      <c r="O1318" s="77"/>
      <c r="P1318" s="77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</row>
    <row r="1319">
      <c r="A1319" s="102" t="str">
        <f t="shared" si="1"/>
        <v/>
      </c>
      <c r="B1319" s="94"/>
      <c r="C1319" s="95"/>
      <c r="D1319" s="96"/>
      <c r="E1319" s="97"/>
      <c r="F1319" s="109"/>
      <c r="G1319" s="99"/>
      <c r="H1319" s="102"/>
      <c r="I1319" s="95"/>
      <c r="J1319" s="93"/>
      <c r="K1319" s="102"/>
      <c r="L1319" s="101"/>
      <c r="M1319" s="102"/>
      <c r="N1319" s="102"/>
      <c r="O1319" s="102"/>
      <c r="P1319" s="102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</row>
    <row r="1320">
      <c r="A1320" s="77" t="str">
        <f t="shared" si="1"/>
        <v/>
      </c>
      <c r="B1320" s="78"/>
      <c r="C1320" s="82"/>
      <c r="D1320" s="83"/>
      <c r="E1320" s="84"/>
      <c r="F1320" s="114"/>
      <c r="G1320" s="86"/>
      <c r="H1320" s="77"/>
      <c r="I1320" s="82"/>
      <c r="J1320" s="87"/>
      <c r="K1320" s="77"/>
      <c r="L1320" s="89"/>
      <c r="M1320" s="77"/>
      <c r="N1320" s="77"/>
      <c r="O1320" s="77"/>
      <c r="P1320" s="77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</row>
    <row r="1321">
      <c r="A1321" s="102" t="str">
        <f t="shared" si="1"/>
        <v/>
      </c>
      <c r="B1321" s="94"/>
      <c r="C1321" s="95"/>
      <c r="D1321" s="96"/>
      <c r="E1321" s="97"/>
      <c r="F1321" s="109"/>
      <c r="G1321" s="99"/>
      <c r="H1321" s="102"/>
      <c r="I1321" s="95"/>
      <c r="J1321" s="93"/>
      <c r="K1321" s="102"/>
      <c r="L1321" s="101"/>
      <c r="M1321" s="102"/>
      <c r="N1321" s="102"/>
      <c r="O1321" s="102"/>
      <c r="P1321" s="102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</row>
    <row r="1322">
      <c r="A1322" s="77" t="str">
        <f t="shared" si="1"/>
        <v/>
      </c>
      <c r="B1322" s="78"/>
      <c r="C1322" s="82"/>
      <c r="D1322" s="83"/>
      <c r="E1322" s="84"/>
      <c r="F1322" s="114"/>
      <c r="G1322" s="86"/>
      <c r="H1322" s="77"/>
      <c r="I1322" s="82"/>
      <c r="J1322" s="87"/>
      <c r="K1322" s="77"/>
      <c r="L1322" s="89"/>
      <c r="M1322" s="77"/>
      <c r="N1322" s="77"/>
      <c r="O1322" s="77"/>
      <c r="P1322" s="77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</row>
    <row r="1323">
      <c r="A1323" s="102" t="str">
        <f t="shared" si="1"/>
        <v/>
      </c>
      <c r="B1323" s="94"/>
      <c r="C1323" s="95"/>
      <c r="D1323" s="96"/>
      <c r="E1323" s="97"/>
      <c r="F1323" s="109"/>
      <c r="G1323" s="99"/>
      <c r="H1323" s="102"/>
      <c r="I1323" s="95"/>
      <c r="J1323" s="93"/>
      <c r="K1323" s="102"/>
      <c r="L1323" s="101"/>
      <c r="M1323" s="102"/>
      <c r="N1323" s="102"/>
      <c r="O1323" s="102"/>
      <c r="P1323" s="102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</row>
    <row r="1324">
      <c r="A1324" s="77" t="str">
        <f t="shared" si="1"/>
        <v/>
      </c>
      <c r="B1324" s="78"/>
      <c r="C1324" s="82"/>
      <c r="D1324" s="83"/>
      <c r="E1324" s="84"/>
      <c r="F1324" s="114"/>
      <c r="G1324" s="86"/>
      <c r="H1324" s="77"/>
      <c r="I1324" s="82"/>
      <c r="J1324" s="87"/>
      <c r="K1324" s="77"/>
      <c r="L1324" s="89"/>
      <c r="M1324" s="77"/>
      <c r="N1324" s="77"/>
      <c r="O1324" s="77"/>
      <c r="P1324" s="77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</row>
    <row r="1325">
      <c r="A1325" s="102" t="str">
        <f t="shared" si="1"/>
        <v/>
      </c>
      <c r="B1325" s="94"/>
      <c r="C1325" s="95"/>
      <c r="D1325" s="96"/>
      <c r="E1325" s="97"/>
      <c r="F1325" s="109"/>
      <c r="G1325" s="99"/>
      <c r="H1325" s="102"/>
      <c r="I1325" s="95"/>
      <c r="J1325" s="93"/>
      <c r="K1325" s="102"/>
      <c r="L1325" s="101"/>
      <c r="M1325" s="102"/>
      <c r="N1325" s="102"/>
      <c r="O1325" s="102"/>
      <c r="P1325" s="102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</row>
    <row r="1326">
      <c r="A1326" s="77" t="str">
        <f t="shared" si="1"/>
        <v/>
      </c>
      <c r="B1326" s="78"/>
      <c r="C1326" s="82"/>
      <c r="D1326" s="83"/>
      <c r="E1326" s="84"/>
      <c r="F1326" s="114"/>
      <c r="G1326" s="86"/>
      <c r="H1326" s="77"/>
      <c r="I1326" s="82"/>
      <c r="J1326" s="87"/>
      <c r="K1326" s="77"/>
      <c r="L1326" s="89"/>
      <c r="M1326" s="77"/>
      <c r="N1326" s="77"/>
      <c r="O1326" s="77"/>
      <c r="P1326" s="77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</row>
    <row r="1327">
      <c r="A1327" s="102" t="str">
        <f t="shared" si="1"/>
        <v/>
      </c>
      <c r="B1327" s="94"/>
      <c r="C1327" s="95"/>
      <c r="D1327" s="96"/>
      <c r="E1327" s="97"/>
      <c r="F1327" s="109"/>
      <c r="G1327" s="99"/>
      <c r="H1327" s="102"/>
      <c r="I1327" s="95"/>
      <c r="J1327" s="93"/>
      <c r="K1327" s="102"/>
      <c r="L1327" s="101"/>
      <c r="M1327" s="102"/>
      <c r="N1327" s="102"/>
      <c r="O1327" s="102"/>
      <c r="P1327" s="102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</row>
    <row r="1328">
      <c r="A1328" s="77" t="str">
        <f t="shared" si="1"/>
        <v/>
      </c>
      <c r="B1328" s="78"/>
      <c r="C1328" s="82"/>
      <c r="D1328" s="83"/>
      <c r="E1328" s="84"/>
      <c r="F1328" s="114"/>
      <c r="G1328" s="86"/>
      <c r="H1328" s="77"/>
      <c r="I1328" s="82"/>
      <c r="J1328" s="87"/>
      <c r="K1328" s="77"/>
      <c r="L1328" s="89"/>
      <c r="M1328" s="77"/>
      <c r="N1328" s="77"/>
      <c r="O1328" s="77"/>
      <c r="P1328" s="77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</row>
    <row r="1329">
      <c r="A1329" s="102" t="str">
        <f t="shared" si="1"/>
        <v/>
      </c>
      <c r="B1329" s="94"/>
      <c r="C1329" s="95"/>
      <c r="D1329" s="96"/>
      <c r="E1329" s="97"/>
      <c r="F1329" s="109"/>
      <c r="G1329" s="99"/>
      <c r="H1329" s="102"/>
      <c r="I1329" s="95"/>
      <c r="J1329" s="93"/>
      <c r="K1329" s="102"/>
      <c r="L1329" s="101"/>
      <c r="M1329" s="102"/>
      <c r="N1329" s="102"/>
      <c r="O1329" s="102"/>
      <c r="P1329" s="102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</row>
    <row r="1330">
      <c r="A1330" s="77" t="str">
        <f t="shared" si="1"/>
        <v/>
      </c>
      <c r="B1330" s="78"/>
      <c r="C1330" s="82"/>
      <c r="D1330" s="83"/>
      <c r="E1330" s="84"/>
      <c r="F1330" s="114"/>
      <c r="G1330" s="86"/>
      <c r="H1330" s="77"/>
      <c r="I1330" s="82"/>
      <c r="J1330" s="87"/>
      <c r="K1330" s="77"/>
      <c r="L1330" s="89"/>
      <c r="M1330" s="77"/>
      <c r="N1330" s="77"/>
      <c r="O1330" s="77"/>
      <c r="P1330" s="77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</row>
    <row r="1331">
      <c r="A1331" s="102" t="str">
        <f t="shared" si="1"/>
        <v/>
      </c>
      <c r="B1331" s="94"/>
      <c r="C1331" s="95"/>
      <c r="D1331" s="96"/>
      <c r="E1331" s="97"/>
      <c r="F1331" s="109"/>
      <c r="G1331" s="99"/>
      <c r="H1331" s="102"/>
      <c r="I1331" s="95"/>
      <c r="J1331" s="93"/>
      <c r="K1331" s="102"/>
      <c r="L1331" s="101"/>
      <c r="M1331" s="102"/>
      <c r="N1331" s="102"/>
      <c r="O1331" s="102"/>
      <c r="P1331" s="102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</row>
    <row r="1332">
      <c r="A1332" s="77" t="str">
        <f t="shared" si="1"/>
        <v/>
      </c>
      <c r="B1332" s="78"/>
      <c r="C1332" s="82"/>
      <c r="D1332" s="83"/>
      <c r="E1332" s="84"/>
      <c r="F1332" s="114"/>
      <c r="G1332" s="86"/>
      <c r="H1332" s="77"/>
      <c r="I1332" s="82"/>
      <c r="J1332" s="87"/>
      <c r="K1332" s="77"/>
      <c r="L1332" s="89"/>
      <c r="M1332" s="77"/>
      <c r="N1332" s="77"/>
      <c r="O1332" s="77"/>
      <c r="P1332" s="77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</row>
    <row r="1333">
      <c r="A1333" s="102" t="str">
        <f t="shared" si="1"/>
        <v/>
      </c>
      <c r="B1333" s="94"/>
      <c r="C1333" s="95"/>
      <c r="D1333" s="96"/>
      <c r="E1333" s="97"/>
      <c r="F1333" s="109"/>
      <c r="G1333" s="99"/>
      <c r="H1333" s="102"/>
      <c r="I1333" s="95"/>
      <c r="J1333" s="93"/>
      <c r="K1333" s="102"/>
      <c r="L1333" s="101"/>
      <c r="M1333" s="102"/>
      <c r="N1333" s="102"/>
      <c r="O1333" s="102"/>
      <c r="P1333" s="102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</row>
    <row r="1334">
      <c r="A1334" s="77" t="str">
        <f t="shared" si="1"/>
        <v/>
      </c>
      <c r="B1334" s="78"/>
      <c r="C1334" s="82"/>
      <c r="D1334" s="83"/>
      <c r="E1334" s="84"/>
      <c r="F1334" s="114"/>
      <c r="G1334" s="86"/>
      <c r="H1334" s="77"/>
      <c r="I1334" s="82"/>
      <c r="J1334" s="87"/>
      <c r="K1334" s="77"/>
      <c r="L1334" s="89"/>
      <c r="M1334" s="77"/>
      <c r="N1334" s="77"/>
      <c r="O1334" s="77"/>
      <c r="P1334" s="77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</row>
    <row r="1335">
      <c r="A1335" s="102" t="str">
        <f t="shared" si="1"/>
        <v/>
      </c>
      <c r="B1335" s="94"/>
      <c r="C1335" s="95"/>
      <c r="D1335" s="96"/>
      <c r="E1335" s="97"/>
      <c r="F1335" s="109"/>
      <c r="G1335" s="99"/>
      <c r="H1335" s="102"/>
      <c r="I1335" s="95"/>
      <c r="J1335" s="93"/>
      <c r="K1335" s="102"/>
      <c r="L1335" s="101"/>
      <c r="M1335" s="102"/>
      <c r="N1335" s="102"/>
      <c r="O1335" s="102"/>
      <c r="P1335" s="102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</row>
    <row r="1336">
      <c r="A1336" s="77" t="str">
        <f t="shared" si="1"/>
        <v/>
      </c>
      <c r="B1336" s="78"/>
      <c r="C1336" s="82"/>
      <c r="D1336" s="83"/>
      <c r="E1336" s="84"/>
      <c r="F1336" s="114"/>
      <c r="G1336" s="86"/>
      <c r="H1336" s="77"/>
      <c r="I1336" s="82"/>
      <c r="J1336" s="87"/>
      <c r="K1336" s="77"/>
      <c r="L1336" s="89"/>
      <c r="M1336" s="77"/>
      <c r="N1336" s="77"/>
      <c r="O1336" s="77"/>
      <c r="P1336" s="77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</row>
    <row r="1337">
      <c r="A1337" s="102" t="str">
        <f t="shared" si="1"/>
        <v/>
      </c>
      <c r="B1337" s="94"/>
      <c r="C1337" s="95"/>
      <c r="D1337" s="96"/>
      <c r="E1337" s="97"/>
      <c r="F1337" s="109"/>
      <c r="G1337" s="99"/>
      <c r="H1337" s="102"/>
      <c r="I1337" s="95"/>
      <c r="J1337" s="93"/>
      <c r="K1337" s="102"/>
      <c r="L1337" s="101"/>
      <c r="M1337" s="102"/>
      <c r="N1337" s="102"/>
      <c r="O1337" s="102"/>
      <c r="P1337" s="102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</row>
    <row r="1338">
      <c r="A1338" s="77" t="str">
        <f t="shared" si="1"/>
        <v/>
      </c>
      <c r="B1338" s="78"/>
      <c r="C1338" s="82"/>
      <c r="D1338" s="83"/>
      <c r="E1338" s="84"/>
      <c r="F1338" s="114"/>
      <c r="G1338" s="86"/>
      <c r="H1338" s="77"/>
      <c r="I1338" s="82"/>
      <c r="J1338" s="87"/>
      <c r="K1338" s="77"/>
      <c r="L1338" s="89"/>
      <c r="M1338" s="77"/>
      <c r="N1338" s="77"/>
      <c r="O1338" s="77"/>
      <c r="P1338" s="77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</row>
    <row r="1339">
      <c r="A1339" s="102" t="str">
        <f t="shared" si="1"/>
        <v/>
      </c>
      <c r="B1339" s="94"/>
      <c r="C1339" s="95"/>
      <c r="D1339" s="96"/>
      <c r="E1339" s="97"/>
      <c r="F1339" s="109"/>
      <c r="G1339" s="99"/>
      <c r="H1339" s="102"/>
      <c r="I1339" s="95"/>
      <c r="J1339" s="93"/>
      <c r="K1339" s="102"/>
      <c r="L1339" s="101"/>
      <c r="M1339" s="102"/>
      <c r="N1339" s="102"/>
      <c r="O1339" s="102"/>
      <c r="P1339" s="102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</row>
    <row r="1340">
      <c r="A1340" s="77" t="str">
        <f t="shared" si="1"/>
        <v/>
      </c>
      <c r="B1340" s="78"/>
      <c r="C1340" s="82"/>
      <c r="D1340" s="83"/>
      <c r="E1340" s="84"/>
      <c r="F1340" s="114"/>
      <c r="G1340" s="86"/>
      <c r="H1340" s="77"/>
      <c r="I1340" s="82"/>
      <c r="J1340" s="87"/>
      <c r="K1340" s="77"/>
      <c r="L1340" s="89"/>
      <c r="M1340" s="77"/>
      <c r="N1340" s="77"/>
      <c r="O1340" s="77"/>
      <c r="P1340" s="77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</row>
    <row r="1341">
      <c r="A1341" s="102" t="str">
        <f t="shared" si="1"/>
        <v/>
      </c>
      <c r="B1341" s="94"/>
      <c r="C1341" s="95"/>
      <c r="D1341" s="96"/>
      <c r="E1341" s="97"/>
      <c r="F1341" s="109"/>
      <c r="G1341" s="99"/>
      <c r="H1341" s="102"/>
      <c r="I1341" s="95"/>
      <c r="J1341" s="93"/>
      <c r="K1341" s="102"/>
      <c r="L1341" s="101"/>
      <c r="M1341" s="102"/>
      <c r="N1341" s="102"/>
      <c r="O1341" s="102"/>
      <c r="P1341" s="102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</row>
    <row r="1342">
      <c r="A1342" s="77" t="str">
        <f t="shared" si="1"/>
        <v/>
      </c>
      <c r="B1342" s="78"/>
      <c r="C1342" s="82"/>
      <c r="D1342" s="83"/>
      <c r="E1342" s="84"/>
      <c r="F1342" s="114"/>
      <c r="G1342" s="86"/>
      <c r="H1342" s="77"/>
      <c r="I1342" s="82"/>
      <c r="J1342" s="87"/>
      <c r="K1342" s="77"/>
      <c r="L1342" s="89"/>
      <c r="M1342" s="77"/>
      <c r="N1342" s="77"/>
      <c r="O1342" s="77"/>
      <c r="P1342" s="77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</row>
    <row r="1343">
      <c r="A1343" s="102" t="str">
        <f t="shared" si="1"/>
        <v/>
      </c>
      <c r="B1343" s="94"/>
      <c r="C1343" s="95"/>
      <c r="D1343" s="96"/>
      <c r="E1343" s="97"/>
      <c r="F1343" s="109"/>
      <c r="G1343" s="99"/>
      <c r="H1343" s="102"/>
      <c r="I1343" s="95"/>
      <c r="J1343" s="93"/>
      <c r="K1343" s="102"/>
      <c r="L1343" s="101"/>
      <c r="M1343" s="102"/>
      <c r="N1343" s="102"/>
      <c r="O1343" s="102"/>
      <c r="P1343" s="102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</row>
    <row r="1344">
      <c r="A1344" s="77" t="str">
        <f t="shared" si="1"/>
        <v/>
      </c>
      <c r="B1344" s="78"/>
      <c r="C1344" s="82"/>
      <c r="D1344" s="83"/>
      <c r="E1344" s="84"/>
      <c r="F1344" s="114"/>
      <c r="G1344" s="86"/>
      <c r="H1344" s="77"/>
      <c r="I1344" s="82"/>
      <c r="J1344" s="87"/>
      <c r="K1344" s="77"/>
      <c r="L1344" s="89"/>
      <c r="M1344" s="77"/>
      <c r="N1344" s="77"/>
      <c r="O1344" s="77"/>
      <c r="P1344" s="77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</row>
    <row r="1345">
      <c r="A1345" s="102" t="str">
        <f t="shared" si="1"/>
        <v/>
      </c>
      <c r="B1345" s="94"/>
      <c r="C1345" s="95"/>
      <c r="D1345" s="96"/>
      <c r="E1345" s="97"/>
      <c r="F1345" s="109"/>
      <c r="G1345" s="99"/>
      <c r="H1345" s="102"/>
      <c r="I1345" s="95"/>
      <c r="J1345" s="93"/>
      <c r="K1345" s="102"/>
      <c r="L1345" s="101"/>
      <c r="M1345" s="102"/>
      <c r="N1345" s="102"/>
      <c r="O1345" s="102"/>
      <c r="P1345" s="102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</row>
    <row r="1346">
      <c r="A1346" s="77" t="str">
        <f t="shared" si="1"/>
        <v/>
      </c>
      <c r="B1346" s="78"/>
      <c r="C1346" s="82"/>
      <c r="D1346" s="83"/>
      <c r="E1346" s="84"/>
      <c r="F1346" s="114"/>
      <c r="G1346" s="86"/>
      <c r="H1346" s="77"/>
      <c r="I1346" s="82"/>
      <c r="J1346" s="87"/>
      <c r="K1346" s="77"/>
      <c r="L1346" s="89"/>
      <c r="M1346" s="77"/>
      <c r="N1346" s="77"/>
      <c r="O1346" s="77"/>
      <c r="P1346" s="77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</row>
    <row r="1347">
      <c r="A1347" s="102" t="str">
        <f t="shared" si="1"/>
        <v/>
      </c>
      <c r="B1347" s="94"/>
      <c r="C1347" s="95"/>
      <c r="D1347" s="96"/>
      <c r="E1347" s="97"/>
      <c r="F1347" s="109"/>
      <c r="G1347" s="99"/>
      <c r="H1347" s="102"/>
      <c r="I1347" s="95"/>
      <c r="J1347" s="93"/>
      <c r="K1347" s="102"/>
      <c r="L1347" s="101"/>
      <c r="M1347" s="102"/>
      <c r="N1347" s="102"/>
      <c r="O1347" s="102"/>
      <c r="P1347" s="102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</row>
    <row r="1348">
      <c r="A1348" s="77" t="str">
        <f t="shared" si="1"/>
        <v/>
      </c>
      <c r="B1348" s="78"/>
      <c r="C1348" s="82"/>
      <c r="D1348" s="83"/>
      <c r="E1348" s="84"/>
      <c r="F1348" s="114"/>
      <c r="G1348" s="86"/>
      <c r="H1348" s="77"/>
      <c r="I1348" s="82"/>
      <c r="J1348" s="87"/>
      <c r="K1348" s="77"/>
      <c r="L1348" s="89"/>
      <c r="M1348" s="77"/>
      <c r="N1348" s="77"/>
      <c r="O1348" s="77"/>
      <c r="P1348" s="77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</row>
    <row r="1349">
      <c r="A1349" s="102" t="str">
        <f t="shared" si="1"/>
        <v/>
      </c>
      <c r="B1349" s="94"/>
      <c r="C1349" s="95"/>
      <c r="D1349" s="96"/>
      <c r="E1349" s="97"/>
      <c r="F1349" s="109"/>
      <c r="G1349" s="99"/>
      <c r="H1349" s="102"/>
      <c r="I1349" s="95"/>
      <c r="J1349" s="93"/>
      <c r="K1349" s="102"/>
      <c r="L1349" s="101"/>
      <c r="M1349" s="102"/>
      <c r="N1349" s="102"/>
      <c r="O1349" s="102"/>
      <c r="P1349" s="102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</row>
    <row r="1350">
      <c r="A1350" s="77" t="str">
        <f t="shared" si="1"/>
        <v/>
      </c>
      <c r="B1350" s="78"/>
      <c r="C1350" s="82"/>
      <c r="D1350" s="83"/>
      <c r="E1350" s="84"/>
      <c r="F1350" s="114"/>
      <c r="G1350" s="86"/>
      <c r="H1350" s="77"/>
      <c r="I1350" s="82"/>
      <c r="J1350" s="87"/>
      <c r="K1350" s="77"/>
      <c r="L1350" s="89"/>
      <c r="M1350" s="77"/>
      <c r="N1350" s="77"/>
      <c r="O1350" s="77"/>
      <c r="P1350" s="77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</row>
    <row r="1351">
      <c r="A1351" s="102" t="str">
        <f t="shared" si="1"/>
        <v/>
      </c>
      <c r="B1351" s="94"/>
      <c r="C1351" s="95"/>
      <c r="D1351" s="96"/>
      <c r="E1351" s="97"/>
      <c r="F1351" s="109"/>
      <c r="G1351" s="99"/>
      <c r="H1351" s="102"/>
      <c r="I1351" s="95"/>
      <c r="J1351" s="93"/>
      <c r="K1351" s="102"/>
      <c r="L1351" s="101"/>
      <c r="M1351" s="102"/>
      <c r="N1351" s="102"/>
      <c r="O1351" s="102"/>
      <c r="P1351" s="102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</row>
    <row r="1352">
      <c r="A1352" s="77" t="str">
        <f t="shared" si="1"/>
        <v/>
      </c>
      <c r="B1352" s="78"/>
      <c r="C1352" s="82"/>
      <c r="D1352" s="83"/>
      <c r="E1352" s="84"/>
      <c r="F1352" s="114"/>
      <c r="G1352" s="86"/>
      <c r="H1352" s="77"/>
      <c r="I1352" s="82"/>
      <c r="J1352" s="87"/>
      <c r="K1352" s="77"/>
      <c r="L1352" s="89"/>
      <c r="M1352" s="77"/>
      <c r="N1352" s="77"/>
      <c r="O1352" s="77"/>
      <c r="P1352" s="77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</row>
    <row r="1353">
      <c r="A1353" s="102" t="str">
        <f t="shared" si="1"/>
        <v/>
      </c>
      <c r="B1353" s="94"/>
      <c r="C1353" s="95"/>
      <c r="D1353" s="96"/>
      <c r="E1353" s="97"/>
      <c r="F1353" s="109"/>
      <c r="G1353" s="99"/>
      <c r="H1353" s="102"/>
      <c r="I1353" s="95"/>
      <c r="J1353" s="93"/>
      <c r="K1353" s="102"/>
      <c r="L1353" s="101"/>
      <c r="M1353" s="102"/>
      <c r="N1353" s="102"/>
      <c r="O1353" s="102"/>
      <c r="P1353" s="102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</row>
    <row r="1354">
      <c r="A1354" s="77" t="str">
        <f t="shared" si="1"/>
        <v/>
      </c>
      <c r="B1354" s="78"/>
      <c r="C1354" s="82"/>
      <c r="D1354" s="83"/>
      <c r="E1354" s="84"/>
      <c r="F1354" s="114"/>
      <c r="G1354" s="86"/>
      <c r="H1354" s="77"/>
      <c r="I1354" s="82"/>
      <c r="J1354" s="87"/>
      <c r="K1354" s="77"/>
      <c r="L1354" s="89"/>
      <c r="M1354" s="77"/>
      <c r="N1354" s="77"/>
      <c r="O1354" s="77"/>
      <c r="P1354" s="77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</row>
    <row r="1355">
      <c r="A1355" s="102" t="str">
        <f t="shared" si="1"/>
        <v/>
      </c>
      <c r="B1355" s="94"/>
      <c r="C1355" s="95"/>
      <c r="D1355" s="96"/>
      <c r="E1355" s="97"/>
      <c r="F1355" s="109"/>
      <c r="G1355" s="99"/>
      <c r="H1355" s="102"/>
      <c r="I1355" s="95"/>
      <c r="J1355" s="93"/>
      <c r="K1355" s="102"/>
      <c r="L1355" s="101"/>
      <c r="M1355" s="102"/>
      <c r="N1355" s="102"/>
      <c r="O1355" s="102"/>
      <c r="P1355" s="102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</row>
    <row r="1356">
      <c r="A1356" s="77" t="str">
        <f t="shared" si="1"/>
        <v/>
      </c>
      <c r="B1356" s="78"/>
      <c r="C1356" s="82"/>
      <c r="D1356" s="83"/>
      <c r="E1356" s="84"/>
      <c r="F1356" s="114"/>
      <c r="G1356" s="86"/>
      <c r="H1356" s="77"/>
      <c r="I1356" s="82"/>
      <c r="J1356" s="87"/>
      <c r="K1356" s="77"/>
      <c r="L1356" s="89"/>
      <c r="M1356" s="77"/>
      <c r="N1356" s="77"/>
      <c r="O1356" s="77"/>
      <c r="P1356" s="77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</row>
    <row r="1357">
      <c r="A1357" s="102" t="str">
        <f t="shared" si="1"/>
        <v/>
      </c>
      <c r="B1357" s="94"/>
      <c r="C1357" s="95"/>
      <c r="D1357" s="96"/>
      <c r="E1357" s="97"/>
      <c r="F1357" s="109"/>
      <c r="G1357" s="99"/>
      <c r="H1357" s="102"/>
      <c r="I1357" s="95"/>
      <c r="J1357" s="93"/>
      <c r="K1357" s="102"/>
      <c r="L1357" s="101"/>
      <c r="M1357" s="102"/>
      <c r="N1357" s="102"/>
      <c r="O1357" s="102"/>
      <c r="P1357" s="102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</row>
    <row r="1358">
      <c r="A1358" s="77" t="str">
        <f t="shared" si="1"/>
        <v/>
      </c>
      <c r="B1358" s="78"/>
      <c r="C1358" s="82"/>
      <c r="D1358" s="83"/>
      <c r="E1358" s="84"/>
      <c r="F1358" s="114"/>
      <c r="G1358" s="86"/>
      <c r="H1358" s="77"/>
      <c r="I1358" s="82"/>
      <c r="J1358" s="87"/>
      <c r="K1358" s="77"/>
      <c r="L1358" s="89"/>
      <c r="M1358" s="77"/>
      <c r="N1358" s="77"/>
      <c r="O1358" s="77"/>
      <c r="P1358" s="77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</row>
    <row r="1359">
      <c r="A1359" s="102" t="str">
        <f t="shared" si="1"/>
        <v/>
      </c>
      <c r="B1359" s="94"/>
      <c r="C1359" s="95"/>
      <c r="D1359" s="96"/>
      <c r="E1359" s="97"/>
      <c r="F1359" s="109"/>
      <c r="G1359" s="99"/>
      <c r="H1359" s="102"/>
      <c r="I1359" s="95"/>
      <c r="J1359" s="93"/>
      <c r="K1359" s="102"/>
      <c r="L1359" s="101"/>
      <c r="M1359" s="102"/>
      <c r="N1359" s="102"/>
      <c r="O1359" s="102"/>
      <c r="P1359" s="102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</row>
    <row r="1360">
      <c r="A1360" s="77" t="str">
        <f t="shared" si="1"/>
        <v/>
      </c>
      <c r="B1360" s="78"/>
      <c r="C1360" s="82"/>
      <c r="D1360" s="83"/>
      <c r="E1360" s="84"/>
      <c r="F1360" s="114"/>
      <c r="G1360" s="86"/>
      <c r="H1360" s="77"/>
      <c r="I1360" s="82"/>
      <c r="J1360" s="87"/>
      <c r="K1360" s="77"/>
      <c r="L1360" s="89"/>
      <c r="M1360" s="77"/>
      <c r="N1360" s="77"/>
      <c r="O1360" s="77"/>
      <c r="P1360" s="77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</row>
    <row r="1361">
      <c r="A1361" s="102" t="str">
        <f t="shared" si="1"/>
        <v/>
      </c>
      <c r="B1361" s="94"/>
      <c r="C1361" s="95"/>
      <c r="D1361" s="96"/>
      <c r="E1361" s="97"/>
      <c r="F1361" s="109"/>
      <c r="G1361" s="99"/>
      <c r="H1361" s="102"/>
      <c r="I1361" s="95"/>
      <c r="J1361" s="93"/>
      <c r="K1361" s="102"/>
      <c r="L1361" s="101"/>
      <c r="M1361" s="102"/>
      <c r="N1361" s="102"/>
      <c r="O1361" s="102"/>
      <c r="P1361" s="102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</row>
    <row r="1362">
      <c r="A1362" s="77" t="str">
        <f t="shared" si="1"/>
        <v/>
      </c>
      <c r="B1362" s="78"/>
      <c r="C1362" s="82"/>
      <c r="D1362" s="83"/>
      <c r="E1362" s="84"/>
      <c r="F1362" s="114"/>
      <c r="G1362" s="86"/>
      <c r="H1362" s="77"/>
      <c r="I1362" s="82"/>
      <c r="J1362" s="87"/>
      <c r="K1362" s="77"/>
      <c r="L1362" s="89"/>
      <c r="M1362" s="77"/>
      <c r="N1362" s="77"/>
      <c r="O1362" s="77"/>
      <c r="P1362" s="77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</row>
    <row r="1363">
      <c r="A1363" s="102" t="str">
        <f t="shared" si="1"/>
        <v/>
      </c>
      <c r="B1363" s="94"/>
      <c r="C1363" s="95"/>
      <c r="D1363" s="96"/>
      <c r="E1363" s="97"/>
      <c r="F1363" s="109"/>
      <c r="G1363" s="99"/>
      <c r="H1363" s="102"/>
      <c r="I1363" s="95"/>
      <c r="J1363" s="93"/>
      <c r="K1363" s="102"/>
      <c r="L1363" s="101"/>
      <c r="M1363" s="102"/>
      <c r="N1363" s="102"/>
      <c r="O1363" s="102"/>
      <c r="P1363" s="102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</row>
    <row r="1364">
      <c r="A1364" s="77" t="str">
        <f t="shared" si="1"/>
        <v/>
      </c>
      <c r="B1364" s="78"/>
      <c r="C1364" s="82"/>
      <c r="D1364" s="83"/>
      <c r="E1364" s="84"/>
      <c r="F1364" s="114"/>
      <c r="G1364" s="86"/>
      <c r="H1364" s="77"/>
      <c r="I1364" s="82"/>
      <c r="J1364" s="87"/>
      <c r="K1364" s="77"/>
      <c r="L1364" s="89"/>
      <c r="M1364" s="77"/>
      <c r="N1364" s="77"/>
      <c r="O1364" s="77"/>
      <c r="P1364" s="77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</row>
    <row r="1365">
      <c r="A1365" s="102" t="str">
        <f t="shared" si="1"/>
        <v/>
      </c>
      <c r="B1365" s="94"/>
      <c r="C1365" s="95"/>
      <c r="D1365" s="96"/>
      <c r="E1365" s="97"/>
      <c r="F1365" s="109"/>
      <c r="G1365" s="99"/>
      <c r="H1365" s="102"/>
      <c r="I1365" s="95"/>
      <c r="J1365" s="93"/>
      <c r="K1365" s="102"/>
      <c r="L1365" s="101"/>
      <c r="M1365" s="102"/>
      <c r="N1365" s="102"/>
      <c r="O1365" s="102"/>
      <c r="P1365" s="102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</row>
    <row r="1366">
      <c r="A1366" s="77" t="str">
        <f t="shared" si="1"/>
        <v/>
      </c>
      <c r="B1366" s="78"/>
      <c r="C1366" s="82"/>
      <c r="D1366" s="83"/>
      <c r="E1366" s="84"/>
      <c r="F1366" s="114"/>
      <c r="G1366" s="86"/>
      <c r="H1366" s="77"/>
      <c r="I1366" s="82"/>
      <c r="J1366" s="87"/>
      <c r="K1366" s="77"/>
      <c r="L1366" s="89"/>
      <c r="M1366" s="77"/>
      <c r="N1366" s="77"/>
      <c r="O1366" s="77"/>
      <c r="P1366" s="77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</row>
    <row r="1367">
      <c r="A1367" s="102" t="str">
        <f t="shared" si="1"/>
        <v/>
      </c>
      <c r="B1367" s="94"/>
      <c r="C1367" s="95"/>
      <c r="D1367" s="96"/>
      <c r="E1367" s="97"/>
      <c r="F1367" s="109"/>
      <c r="G1367" s="99"/>
      <c r="H1367" s="102"/>
      <c r="I1367" s="95"/>
      <c r="J1367" s="93"/>
      <c r="K1367" s="102"/>
      <c r="L1367" s="101"/>
      <c r="M1367" s="102"/>
      <c r="N1367" s="102"/>
      <c r="O1367" s="102"/>
      <c r="P1367" s="102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</row>
    <row r="1368">
      <c r="A1368" s="77" t="str">
        <f t="shared" si="1"/>
        <v/>
      </c>
      <c r="B1368" s="78"/>
      <c r="C1368" s="82"/>
      <c r="D1368" s="83"/>
      <c r="E1368" s="84"/>
      <c r="F1368" s="114"/>
      <c r="G1368" s="86"/>
      <c r="H1368" s="77"/>
      <c r="I1368" s="82"/>
      <c r="J1368" s="87"/>
      <c r="K1368" s="77"/>
      <c r="L1368" s="89"/>
      <c r="M1368" s="77"/>
      <c r="N1368" s="77"/>
      <c r="O1368" s="77"/>
      <c r="P1368" s="77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</row>
    <row r="1369">
      <c r="A1369" s="102" t="str">
        <f t="shared" si="1"/>
        <v/>
      </c>
      <c r="B1369" s="94"/>
      <c r="C1369" s="95"/>
      <c r="D1369" s="96"/>
      <c r="E1369" s="97"/>
      <c r="F1369" s="109"/>
      <c r="G1369" s="99"/>
      <c r="H1369" s="102"/>
      <c r="I1369" s="95"/>
      <c r="J1369" s="93"/>
      <c r="K1369" s="102"/>
      <c r="L1369" s="101"/>
      <c r="M1369" s="102"/>
      <c r="N1369" s="102"/>
      <c r="O1369" s="102"/>
      <c r="P1369" s="102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</row>
    <row r="1370">
      <c r="A1370" s="77" t="str">
        <f t="shared" si="1"/>
        <v/>
      </c>
      <c r="B1370" s="78"/>
      <c r="C1370" s="82"/>
      <c r="D1370" s="83"/>
      <c r="E1370" s="84"/>
      <c r="F1370" s="114"/>
      <c r="G1370" s="86"/>
      <c r="H1370" s="77"/>
      <c r="I1370" s="82"/>
      <c r="J1370" s="87"/>
      <c r="K1370" s="77"/>
      <c r="L1370" s="89"/>
      <c r="M1370" s="77"/>
      <c r="N1370" s="77"/>
      <c r="O1370" s="77"/>
      <c r="P1370" s="77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</row>
    <row r="1371">
      <c r="A1371" s="102" t="str">
        <f t="shared" si="1"/>
        <v/>
      </c>
      <c r="B1371" s="94"/>
      <c r="C1371" s="95"/>
      <c r="D1371" s="96"/>
      <c r="E1371" s="97"/>
      <c r="F1371" s="109"/>
      <c r="G1371" s="99"/>
      <c r="H1371" s="102"/>
      <c r="I1371" s="95"/>
      <c r="J1371" s="93"/>
      <c r="K1371" s="102"/>
      <c r="L1371" s="101"/>
      <c r="M1371" s="102"/>
      <c r="N1371" s="102"/>
      <c r="O1371" s="102"/>
      <c r="P1371" s="102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</row>
    <row r="1372">
      <c r="A1372" s="77" t="str">
        <f t="shared" si="1"/>
        <v/>
      </c>
      <c r="B1372" s="78"/>
      <c r="C1372" s="82"/>
      <c r="D1372" s="83"/>
      <c r="E1372" s="84"/>
      <c r="F1372" s="114"/>
      <c r="G1372" s="86"/>
      <c r="H1372" s="77"/>
      <c r="I1372" s="82"/>
      <c r="J1372" s="87"/>
      <c r="K1372" s="77"/>
      <c r="L1372" s="89"/>
      <c r="M1372" s="77"/>
      <c r="N1372" s="77"/>
      <c r="O1372" s="77"/>
      <c r="P1372" s="77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</row>
    <row r="1373">
      <c r="A1373" s="102" t="str">
        <f t="shared" si="1"/>
        <v/>
      </c>
      <c r="B1373" s="94"/>
      <c r="C1373" s="95"/>
      <c r="D1373" s="96"/>
      <c r="E1373" s="97"/>
      <c r="F1373" s="109"/>
      <c r="G1373" s="99"/>
      <c r="H1373" s="102"/>
      <c r="I1373" s="95"/>
      <c r="J1373" s="93"/>
      <c r="K1373" s="102"/>
      <c r="L1373" s="101"/>
      <c r="M1373" s="102"/>
      <c r="N1373" s="102"/>
      <c r="O1373" s="102"/>
      <c r="P1373" s="102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</row>
    <row r="1374">
      <c r="A1374" s="77" t="str">
        <f t="shared" si="1"/>
        <v/>
      </c>
      <c r="B1374" s="78"/>
      <c r="C1374" s="82"/>
      <c r="D1374" s="83"/>
      <c r="E1374" s="84"/>
      <c r="F1374" s="114"/>
      <c r="G1374" s="86"/>
      <c r="H1374" s="77"/>
      <c r="I1374" s="82"/>
      <c r="J1374" s="87"/>
      <c r="K1374" s="77"/>
      <c r="L1374" s="89"/>
      <c r="M1374" s="77"/>
      <c r="N1374" s="77"/>
      <c r="O1374" s="77"/>
      <c r="P1374" s="77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</row>
    <row r="1375">
      <c r="A1375" s="102" t="str">
        <f t="shared" si="1"/>
        <v/>
      </c>
      <c r="B1375" s="94"/>
      <c r="C1375" s="95"/>
      <c r="D1375" s="96"/>
      <c r="E1375" s="97"/>
      <c r="F1375" s="109"/>
      <c r="G1375" s="99"/>
      <c r="H1375" s="102"/>
      <c r="I1375" s="95"/>
      <c r="J1375" s="93"/>
      <c r="K1375" s="102"/>
      <c r="L1375" s="101"/>
      <c r="M1375" s="102"/>
      <c r="N1375" s="102"/>
      <c r="O1375" s="102"/>
      <c r="P1375" s="102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</row>
    <row r="1376">
      <c r="A1376" s="77" t="str">
        <f t="shared" si="1"/>
        <v/>
      </c>
      <c r="B1376" s="78"/>
      <c r="C1376" s="82"/>
      <c r="D1376" s="83"/>
      <c r="E1376" s="84"/>
      <c r="F1376" s="114"/>
      <c r="G1376" s="86"/>
      <c r="H1376" s="77"/>
      <c r="I1376" s="82"/>
      <c r="J1376" s="87"/>
      <c r="K1376" s="77"/>
      <c r="L1376" s="89"/>
      <c r="M1376" s="77"/>
      <c r="N1376" s="77"/>
      <c r="O1376" s="77"/>
      <c r="P1376" s="77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</row>
    <row r="1377">
      <c r="A1377" s="102" t="str">
        <f t="shared" si="1"/>
        <v/>
      </c>
      <c r="B1377" s="94"/>
      <c r="C1377" s="95"/>
      <c r="D1377" s="96"/>
      <c r="E1377" s="97"/>
      <c r="F1377" s="109"/>
      <c r="G1377" s="99"/>
      <c r="H1377" s="102"/>
      <c r="I1377" s="95"/>
      <c r="J1377" s="93"/>
      <c r="K1377" s="102"/>
      <c r="L1377" s="101"/>
      <c r="M1377" s="102"/>
      <c r="N1377" s="102"/>
      <c r="O1377" s="102"/>
      <c r="P1377" s="102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</row>
    <row r="1378">
      <c r="A1378" s="77" t="str">
        <f t="shared" si="1"/>
        <v/>
      </c>
      <c r="B1378" s="78"/>
      <c r="C1378" s="82"/>
      <c r="D1378" s="83"/>
      <c r="E1378" s="84"/>
      <c r="F1378" s="114"/>
      <c r="G1378" s="86"/>
      <c r="H1378" s="77"/>
      <c r="I1378" s="82"/>
      <c r="J1378" s="87"/>
      <c r="K1378" s="77"/>
      <c r="L1378" s="89"/>
      <c r="M1378" s="77"/>
      <c r="N1378" s="77"/>
      <c r="O1378" s="77"/>
      <c r="P1378" s="77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</row>
    <row r="1379">
      <c r="A1379" s="102" t="str">
        <f t="shared" si="1"/>
        <v/>
      </c>
      <c r="B1379" s="94"/>
      <c r="C1379" s="95"/>
      <c r="D1379" s="96"/>
      <c r="E1379" s="97"/>
      <c r="F1379" s="109"/>
      <c r="G1379" s="99"/>
      <c r="H1379" s="102"/>
      <c r="I1379" s="95"/>
      <c r="J1379" s="93"/>
      <c r="K1379" s="102"/>
      <c r="L1379" s="101"/>
      <c r="M1379" s="102"/>
      <c r="N1379" s="102"/>
      <c r="O1379" s="102"/>
      <c r="P1379" s="102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</row>
    <row r="1380">
      <c r="A1380" s="77" t="str">
        <f t="shared" si="1"/>
        <v/>
      </c>
      <c r="B1380" s="78"/>
      <c r="C1380" s="82"/>
      <c r="D1380" s="83"/>
      <c r="E1380" s="84"/>
      <c r="F1380" s="114"/>
      <c r="G1380" s="86"/>
      <c r="H1380" s="77"/>
      <c r="I1380" s="82"/>
      <c r="J1380" s="87"/>
      <c r="K1380" s="77"/>
      <c r="L1380" s="89"/>
      <c r="M1380" s="77"/>
      <c r="N1380" s="77"/>
      <c r="O1380" s="77"/>
      <c r="P1380" s="77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</row>
    <row r="1381">
      <c r="A1381" s="102" t="str">
        <f t="shared" si="1"/>
        <v/>
      </c>
      <c r="B1381" s="94"/>
      <c r="C1381" s="95"/>
      <c r="D1381" s="96"/>
      <c r="E1381" s="97"/>
      <c r="F1381" s="109"/>
      <c r="G1381" s="99"/>
      <c r="H1381" s="102"/>
      <c r="I1381" s="95"/>
      <c r="J1381" s="93"/>
      <c r="K1381" s="102"/>
      <c r="L1381" s="101"/>
      <c r="M1381" s="102"/>
      <c r="N1381" s="102"/>
      <c r="O1381" s="102"/>
      <c r="P1381" s="102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</row>
    <row r="1382">
      <c r="A1382" s="77" t="str">
        <f t="shared" si="1"/>
        <v/>
      </c>
      <c r="B1382" s="78"/>
      <c r="C1382" s="82"/>
      <c r="D1382" s="83"/>
      <c r="E1382" s="84"/>
      <c r="F1382" s="114"/>
      <c r="G1382" s="86"/>
      <c r="H1382" s="77"/>
      <c r="I1382" s="82"/>
      <c r="J1382" s="87"/>
      <c r="K1382" s="77"/>
      <c r="L1382" s="89"/>
      <c r="M1382" s="77"/>
      <c r="N1382" s="77"/>
      <c r="O1382" s="77"/>
      <c r="P1382" s="77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</row>
    <row r="1383">
      <c r="A1383" s="102" t="str">
        <f t="shared" si="1"/>
        <v/>
      </c>
      <c r="B1383" s="94"/>
      <c r="C1383" s="95"/>
      <c r="D1383" s="96"/>
      <c r="E1383" s="97"/>
      <c r="F1383" s="109"/>
      <c r="G1383" s="99"/>
      <c r="H1383" s="102"/>
      <c r="I1383" s="95"/>
      <c r="J1383" s="93"/>
      <c r="K1383" s="102"/>
      <c r="L1383" s="101"/>
      <c r="M1383" s="102"/>
      <c r="N1383" s="102"/>
      <c r="O1383" s="102"/>
      <c r="P1383" s="102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</row>
    <row r="1384">
      <c r="A1384" s="77" t="str">
        <f t="shared" si="1"/>
        <v/>
      </c>
      <c r="B1384" s="78"/>
      <c r="C1384" s="82"/>
      <c r="D1384" s="83"/>
      <c r="E1384" s="84"/>
      <c r="F1384" s="114"/>
      <c r="G1384" s="86"/>
      <c r="H1384" s="77"/>
      <c r="I1384" s="82"/>
      <c r="J1384" s="87"/>
      <c r="K1384" s="77"/>
      <c r="L1384" s="89"/>
      <c r="M1384" s="77"/>
      <c r="N1384" s="77"/>
      <c r="O1384" s="77"/>
      <c r="P1384" s="77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</row>
    <row r="1385">
      <c r="A1385" s="102" t="str">
        <f t="shared" si="1"/>
        <v/>
      </c>
      <c r="B1385" s="94"/>
      <c r="C1385" s="95"/>
      <c r="D1385" s="96"/>
      <c r="E1385" s="97"/>
      <c r="F1385" s="109"/>
      <c r="G1385" s="99"/>
      <c r="H1385" s="102"/>
      <c r="I1385" s="95"/>
      <c r="J1385" s="93"/>
      <c r="K1385" s="102"/>
      <c r="L1385" s="101"/>
      <c r="M1385" s="102"/>
      <c r="N1385" s="102"/>
      <c r="O1385" s="102"/>
      <c r="P1385" s="102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</row>
    <row r="1386">
      <c r="A1386" s="77" t="str">
        <f t="shared" si="1"/>
        <v/>
      </c>
      <c r="B1386" s="78"/>
      <c r="C1386" s="82"/>
      <c r="D1386" s="83"/>
      <c r="E1386" s="84"/>
      <c r="F1386" s="114"/>
      <c r="G1386" s="86"/>
      <c r="H1386" s="77"/>
      <c r="I1386" s="82"/>
      <c r="J1386" s="87"/>
      <c r="K1386" s="77"/>
      <c r="L1386" s="89"/>
      <c r="M1386" s="77"/>
      <c r="N1386" s="77"/>
      <c r="O1386" s="77"/>
      <c r="P1386" s="77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</row>
    <row r="1387">
      <c r="A1387" s="102" t="str">
        <f t="shared" si="1"/>
        <v/>
      </c>
      <c r="B1387" s="94"/>
      <c r="C1387" s="95"/>
      <c r="D1387" s="96"/>
      <c r="E1387" s="97"/>
      <c r="F1387" s="109"/>
      <c r="G1387" s="99"/>
      <c r="H1387" s="102"/>
      <c r="I1387" s="95"/>
      <c r="J1387" s="93"/>
      <c r="K1387" s="102"/>
      <c r="L1387" s="101"/>
      <c r="M1387" s="102"/>
      <c r="N1387" s="102"/>
      <c r="O1387" s="102"/>
      <c r="P1387" s="102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</row>
    <row r="1388">
      <c r="A1388" s="77" t="str">
        <f t="shared" si="1"/>
        <v/>
      </c>
      <c r="B1388" s="78"/>
      <c r="C1388" s="82"/>
      <c r="D1388" s="83"/>
      <c r="E1388" s="84"/>
      <c r="F1388" s="114"/>
      <c r="G1388" s="86"/>
      <c r="H1388" s="77"/>
      <c r="I1388" s="82"/>
      <c r="J1388" s="87"/>
      <c r="K1388" s="77"/>
      <c r="L1388" s="89"/>
      <c r="M1388" s="77"/>
      <c r="N1388" s="77"/>
      <c r="O1388" s="77"/>
      <c r="P1388" s="77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</row>
    <row r="1389">
      <c r="A1389" s="102" t="str">
        <f t="shared" si="1"/>
        <v/>
      </c>
      <c r="B1389" s="94"/>
      <c r="C1389" s="95"/>
      <c r="D1389" s="96"/>
      <c r="E1389" s="97"/>
      <c r="F1389" s="109"/>
      <c r="G1389" s="99"/>
      <c r="H1389" s="102"/>
      <c r="I1389" s="95"/>
      <c r="J1389" s="93"/>
      <c r="K1389" s="102"/>
      <c r="L1389" s="101"/>
      <c r="M1389" s="102"/>
      <c r="N1389" s="102"/>
      <c r="O1389" s="102"/>
      <c r="P1389" s="102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</row>
    <row r="1390">
      <c r="A1390" s="77" t="str">
        <f t="shared" si="1"/>
        <v/>
      </c>
      <c r="B1390" s="78"/>
      <c r="C1390" s="82"/>
      <c r="D1390" s="83"/>
      <c r="E1390" s="84"/>
      <c r="F1390" s="114"/>
      <c r="G1390" s="86"/>
      <c r="H1390" s="77"/>
      <c r="I1390" s="82"/>
      <c r="J1390" s="87"/>
      <c r="K1390" s="77"/>
      <c r="L1390" s="89"/>
      <c r="M1390" s="77"/>
      <c r="N1390" s="77"/>
      <c r="O1390" s="77"/>
      <c r="P1390" s="77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</row>
    <row r="1391">
      <c r="A1391" s="102" t="str">
        <f t="shared" si="1"/>
        <v/>
      </c>
      <c r="B1391" s="94"/>
      <c r="C1391" s="95"/>
      <c r="D1391" s="96"/>
      <c r="E1391" s="97"/>
      <c r="F1391" s="109"/>
      <c r="G1391" s="99"/>
      <c r="H1391" s="102"/>
      <c r="I1391" s="95"/>
      <c r="J1391" s="93"/>
      <c r="K1391" s="102"/>
      <c r="L1391" s="101"/>
      <c r="M1391" s="102"/>
      <c r="N1391" s="102"/>
      <c r="O1391" s="102"/>
      <c r="P1391" s="102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</row>
    <row r="1392">
      <c r="A1392" s="77" t="str">
        <f t="shared" si="1"/>
        <v/>
      </c>
      <c r="B1392" s="78"/>
      <c r="C1392" s="82"/>
      <c r="D1392" s="83"/>
      <c r="E1392" s="84"/>
      <c r="F1392" s="114"/>
      <c r="G1392" s="86"/>
      <c r="H1392" s="77"/>
      <c r="I1392" s="82"/>
      <c r="J1392" s="87"/>
      <c r="K1392" s="77"/>
      <c r="L1392" s="89"/>
      <c r="M1392" s="77"/>
      <c r="N1392" s="77"/>
      <c r="O1392" s="77"/>
      <c r="P1392" s="77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</row>
    <row r="1393">
      <c r="A1393" s="102" t="str">
        <f t="shared" si="1"/>
        <v/>
      </c>
      <c r="B1393" s="94"/>
      <c r="C1393" s="95"/>
      <c r="D1393" s="96"/>
      <c r="E1393" s="97"/>
      <c r="F1393" s="109"/>
      <c r="G1393" s="99"/>
      <c r="H1393" s="102"/>
      <c r="I1393" s="95"/>
      <c r="J1393" s="93"/>
      <c r="K1393" s="102"/>
      <c r="L1393" s="101"/>
      <c r="M1393" s="102"/>
      <c r="N1393" s="102"/>
      <c r="O1393" s="102"/>
      <c r="P1393" s="102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</row>
    <row r="1394">
      <c r="A1394" s="77" t="str">
        <f t="shared" si="1"/>
        <v/>
      </c>
      <c r="B1394" s="78"/>
      <c r="C1394" s="82"/>
      <c r="D1394" s="83"/>
      <c r="E1394" s="84"/>
      <c r="F1394" s="114"/>
      <c r="G1394" s="86"/>
      <c r="H1394" s="77"/>
      <c r="I1394" s="82"/>
      <c r="J1394" s="87"/>
      <c r="K1394" s="77"/>
      <c r="L1394" s="89"/>
      <c r="M1394" s="77"/>
      <c r="N1394" s="77"/>
      <c r="O1394" s="77"/>
      <c r="P1394" s="77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</row>
    <row r="1395">
      <c r="A1395" s="102" t="str">
        <f t="shared" si="1"/>
        <v/>
      </c>
      <c r="B1395" s="94"/>
      <c r="C1395" s="95"/>
      <c r="D1395" s="96"/>
      <c r="E1395" s="97"/>
      <c r="F1395" s="109"/>
      <c r="G1395" s="99"/>
      <c r="H1395" s="102"/>
      <c r="I1395" s="95"/>
      <c r="J1395" s="93"/>
      <c r="K1395" s="102"/>
      <c r="L1395" s="101"/>
      <c r="M1395" s="102"/>
      <c r="N1395" s="102"/>
      <c r="O1395" s="102"/>
      <c r="P1395" s="102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</row>
    <row r="1396">
      <c r="A1396" s="77" t="str">
        <f t="shared" si="1"/>
        <v/>
      </c>
      <c r="B1396" s="78"/>
      <c r="C1396" s="82"/>
      <c r="D1396" s="83"/>
      <c r="E1396" s="84"/>
      <c r="F1396" s="114"/>
      <c r="G1396" s="86"/>
      <c r="H1396" s="77"/>
      <c r="I1396" s="82"/>
      <c r="J1396" s="87"/>
      <c r="K1396" s="77"/>
      <c r="L1396" s="89"/>
      <c r="M1396" s="77"/>
      <c r="N1396" s="77"/>
      <c r="O1396" s="77"/>
      <c r="P1396" s="77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</row>
    <row r="1397">
      <c r="A1397" s="102" t="str">
        <f t="shared" si="1"/>
        <v/>
      </c>
      <c r="B1397" s="94"/>
      <c r="C1397" s="95"/>
      <c r="D1397" s="96"/>
      <c r="E1397" s="97"/>
      <c r="F1397" s="109"/>
      <c r="G1397" s="99"/>
      <c r="H1397" s="102"/>
      <c r="I1397" s="95"/>
      <c r="J1397" s="93"/>
      <c r="K1397" s="102"/>
      <c r="L1397" s="101"/>
      <c r="M1397" s="102"/>
      <c r="N1397" s="102"/>
      <c r="O1397" s="102"/>
      <c r="P1397" s="102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</row>
    <row r="1398">
      <c r="A1398" s="77" t="str">
        <f t="shared" si="1"/>
        <v/>
      </c>
      <c r="B1398" s="78"/>
      <c r="C1398" s="82"/>
      <c r="D1398" s="83"/>
      <c r="E1398" s="84"/>
      <c r="F1398" s="114"/>
      <c r="G1398" s="86"/>
      <c r="H1398" s="77"/>
      <c r="I1398" s="82"/>
      <c r="J1398" s="87"/>
      <c r="K1398" s="77"/>
      <c r="L1398" s="89"/>
      <c r="M1398" s="77"/>
      <c r="N1398" s="77"/>
      <c r="O1398" s="77"/>
      <c r="P1398" s="77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</row>
    <row r="1399">
      <c r="A1399" s="102" t="str">
        <f t="shared" si="1"/>
        <v/>
      </c>
      <c r="B1399" s="94"/>
      <c r="C1399" s="95"/>
      <c r="D1399" s="96"/>
      <c r="E1399" s="97"/>
      <c r="F1399" s="109"/>
      <c r="G1399" s="99"/>
      <c r="H1399" s="102"/>
      <c r="I1399" s="95"/>
      <c r="J1399" s="93"/>
      <c r="K1399" s="102"/>
      <c r="L1399" s="101"/>
      <c r="M1399" s="102"/>
      <c r="N1399" s="102"/>
      <c r="O1399" s="102"/>
      <c r="P1399" s="102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</row>
    <row r="1400">
      <c r="A1400" s="77" t="str">
        <f t="shared" si="1"/>
        <v/>
      </c>
      <c r="B1400" s="78"/>
      <c r="C1400" s="82"/>
      <c r="D1400" s="83"/>
      <c r="E1400" s="84"/>
      <c r="F1400" s="114"/>
      <c r="G1400" s="86"/>
      <c r="H1400" s="77"/>
      <c r="I1400" s="82"/>
      <c r="J1400" s="87"/>
      <c r="K1400" s="77"/>
      <c r="L1400" s="89"/>
      <c r="M1400" s="77"/>
      <c r="N1400" s="77"/>
      <c r="O1400" s="77"/>
      <c r="P1400" s="77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</row>
    <row r="1401">
      <c r="A1401" s="102" t="str">
        <f t="shared" si="1"/>
        <v/>
      </c>
      <c r="B1401" s="94"/>
      <c r="C1401" s="95"/>
      <c r="D1401" s="96"/>
      <c r="E1401" s="97"/>
      <c r="F1401" s="109"/>
      <c r="G1401" s="99"/>
      <c r="H1401" s="102"/>
      <c r="I1401" s="95"/>
      <c r="J1401" s="93"/>
      <c r="K1401" s="102"/>
      <c r="L1401" s="101"/>
      <c r="M1401" s="102"/>
      <c r="N1401" s="102"/>
      <c r="O1401" s="102"/>
      <c r="P1401" s="102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</row>
    <row r="1402">
      <c r="A1402" s="77" t="str">
        <f t="shared" si="1"/>
        <v/>
      </c>
      <c r="B1402" s="78"/>
      <c r="C1402" s="82"/>
      <c r="D1402" s="83"/>
      <c r="E1402" s="84"/>
      <c r="F1402" s="114"/>
      <c r="G1402" s="86"/>
      <c r="H1402" s="77"/>
      <c r="I1402" s="82"/>
      <c r="J1402" s="87"/>
      <c r="K1402" s="77"/>
      <c r="L1402" s="89"/>
      <c r="M1402" s="77"/>
      <c r="N1402" s="77"/>
      <c r="O1402" s="77"/>
      <c r="P1402" s="77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</row>
    <row r="1403">
      <c r="A1403" s="102" t="str">
        <f t="shared" si="1"/>
        <v/>
      </c>
      <c r="B1403" s="94"/>
      <c r="C1403" s="95"/>
      <c r="D1403" s="96"/>
      <c r="E1403" s="97"/>
      <c r="F1403" s="109"/>
      <c r="G1403" s="99"/>
      <c r="H1403" s="102"/>
      <c r="I1403" s="95"/>
      <c r="J1403" s="93"/>
      <c r="K1403" s="102"/>
      <c r="L1403" s="101"/>
      <c r="M1403" s="102"/>
      <c r="N1403" s="102"/>
      <c r="O1403" s="102"/>
      <c r="P1403" s="102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</row>
    <row r="1404">
      <c r="A1404" s="77" t="str">
        <f t="shared" si="1"/>
        <v/>
      </c>
      <c r="B1404" s="78"/>
      <c r="C1404" s="82"/>
      <c r="D1404" s="83"/>
      <c r="E1404" s="84"/>
      <c r="F1404" s="114"/>
      <c r="G1404" s="86"/>
      <c r="H1404" s="77"/>
      <c r="I1404" s="82"/>
      <c r="J1404" s="87"/>
      <c r="K1404" s="77"/>
      <c r="L1404" s="89"/>
      <c r="M1404" s="77"/>
      <c r="N1404" s="77"/>
      <c r="O1404" s="77"/>
      <c r="P1404" s="77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</row>
    <row r="1405">
      <c r="A1405" s="102" t="str">
        <f t="shared" si="1"/>
        <v/>
      </c>
      <c r="B1405" s="94"/>
      <c r="C1405" s="95"/>
      <c r="D1405" s="96"/>
      <c r="E1405" s="97"/>
      <c r="F1405" s="109"/>
      <c r="G1405" s="99"/>
      <c r="H1405" s="102"/>
      <c r="I1405" s="95"/>
      <c r="J1405" s="93"/>
      <c r="K1405" s="102"/>
      <c r="L1405" s="101"/>
      <c r="M1405" s="102"/>
      <c r="N1405" s="102"/>
      <c r="O1405" s="102"/>
      <c r="P1405" s="102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</row>
    <row r="1406">
      <c r="A1406" s="77" t="str">
        <f t="shared" si="1"/>
        <v/>
      </c>
      <c r="B1406" s="78"/>
      <c r="C1406" s="82"/>
      <c r="D1406" s="83"/>
      <c r="E1406" s="84"/>
      <c r="F1406" s="114"/>
      <c r="G1406" s="86"/>
      <c r="H1406" s="77"/>
      <c r="I1406" s="82"/>
      <c r="J1406" s="87"/>
      <c r="K1406" s="77"/>
      <c r="L1406" s="89"/>
      <c r="M1406" s="77"/>
      <c r="N1406" s="77"/>
      <c r="O1406" s="77"/>
      <c r="P1406" s="77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</row>
    <row r="1407">
      <c r="A1407" s="102" t="str">
        <f t="shared" si="1"/>
        <v/>
      </c>
      <c r="B1407" s="94"/>
      <c r="C1407" s="95"/>
      <c r="D1407" s="96"/>
      <c r="E1407" s="97"/>
      <c r="F1407" s="109"/>
      <c r="G1407" s="99"/>
      <c r="H1407" s="102"/>
      <c r="I1407" s="95"/>
      <c r="J1407" s="93"/>
      <c r="K1407" s="102"/>
      <c r="L1407" s="101"/>
      <c r="M1407" s="102"/>
      <c r="N1407" s="102"/>
      <c r="O1407" s="102"/>
      <c r="P1407" s="102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</row>
    <row r="1408">
      <c r="A1408" s="77" t="str">
        <f t="shared" si="1"/>
        <v/>
      </c>
      <c r="B1408" s="78"/>
      <c r="C1408" s="82"/>
      <c r="D1408" s="83"/>
      <c r="E1408" s="84"/>
      <c r="F1408" s="114"/>
      <c r="G1408" s="86"/>
      <c r="H1408" s="77"/>
      <c r="I1408" s="82"/>
      <c r="J1408" s="87"/>
      <c r="K1408" s="77"/>
      <c r="L1408" s="89"/>
      <c r="M1408" s="77"/>
      <c r="N1408" s="77"/>
      <c r="O1408" s="77"/>
      <c r="P1408" s="77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</row>
    <row r="1409">
      <c r="A1409" s="102" t="str">
        <f t="shared" si="1"/>
        <v/>
      </c>
      <c r="B1409" s="94"/>
      <c r="C1409" s="95"/>
      <c r="D1409" s="96"/>
      <c r="E1409" s="97"/>
      <c r="F1409" s="109"/>
      <c r="G1409" s="99"/>
      <c r="H1409" s="102"/>
      <c r="I1409" s="95"/>
      <c r="J1409" s="93"/>
      <c r="K1409" s="102"/>
      <c r="L1409" s="101"/>
      <c r="M1409" s="102"/>
      <c r="N1409" s="102"/>
      <c r="O1409" s="102"/>
      <c r="P1409" s="102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</row>
    <row r="1410">
      <c r="A1410" s="77" t="str">
        <f t="shared" si="1"/>
        <v/>
      </c>
      <c r="B1410" s="78"/>
      <c r="C1410" s="82"/>
      <c r="D1410" s="83"/>
      <c r="E1410" s="84"/>
      <c r="F1410" s="114"/>
      <c r="G1410" s="86"/>
      <c r="H1410" s="77"/>
      <c r="I1410" s="82"/>
      <c r="J1410" s="87"/>
      <c r="K1410" s="77"/>
      <c r="L1410" s="89"/>
      <c r="M1410" s="77"/>
      <c r="N1410" s="77"/>
      <c r="O1410" s="77"/>
      <c r="P1410" s="77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</row>
    <row r="1411">
      <c r="A1411" s="102" t="str">
        <f t="shared" si="1"/>
        <v/>
      </c>
      <c r="B1411" s="94"/>
      <c r="C1411" s="95"/>
      <c r="D1411" s="96"/>
      <c r="E1411" s="97"/>
      <c r="F1411" s="109"/>
      <c r="G1411" s="99"/>
      <c r="H1411" s="102"/>
      <c r="I1411" s="95"/>
      <c r="J1411" s="93"/>
      <c r="K1411" s="102"/>
      <c r="L1411" s="101"/>
      <c r="M1411" s="102"/>
      <c r="N1411" s="102"/>
      <c r="O1411" s="102"/>
      <c r="P1411" s="102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</row>
    <row r="1412">
      <c r="A1412" s="77" t="str">
        <f t="shared" si="1"/>
        <v/>
      </c>
      <c r="B1412" s="78"/>
      <c r="C1412" s="82"/>
      <c r="D1412" s="83"/>
      <c r="E1412" s="84"/>
      <c r="F1412" s="114"/>
      <c r="G1412" s="86"/>
      <c r="H1412" s="77"/>
      <c r="I1412" s="82"/>
      <c r="J1412" s="87"/>
      <c r="K1412" s="77"/>
      <c r="L1412" s="89"/>
      <c r="M1412" s="77"/>
      <c r="N1412" s="77"/>
      <c r="O1412" s="77"/>
      <c r="P1412" s="77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</row>
    <row r="1413">
      <c r="A1413" s="102" t="str">
        <f t="shared" si="1"/>
        <v/>
      </c>
      <c r="B1413" s="94"/>
      <c r="C1413" s="95"/>
      <c r="D1413" s="96"/>
      <c r="E1413" s="97"/>
      <c r="F1413" s="109"/>
      <c r="G1413" s="99"/>
      <c r="H1413" s="102"/>
      <c r="I1413" s="95"/>
      <c r="J1413" s="93"/>
      <c r="K1413" s="102"/>
      <c r="L1413" s="101"/>
      <c r="M1413" s="102"/>
      <c r="N1413" s="102"/>
      <c r="O1413" s="102"/>
      <c r="P1413" s="102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</row>
    <row r="1414">
      <c r="A1414" s="77" t="str">
        <f t="shared" si="1"/>
        <v/>
      </c>
      <c r="B1414" s="78"/>
      <c r="C1414" s="82"/>
      <c r="D1414" s="83"/>
      <c r="E1414" s="84"/>
      <c r="F1414" s="114"/>
      <c r="G1414" s="86"/>
      <c r="H1414" s="77"/>
      <c r="I1414" s="82"/>
      <c r="J1414" s="87"/>
      <c r="K1414" s="77"/>
      <c r="L1414" s="89"/>
      <c r="M1414" s="77"/>
      <c r="N1414" s="77"/>
      <c r="O1414" s="77"/>
      <c r="P1414" s="77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</row>
    <row r="1415">
      <c r="A1415" s="102" t="str">
        <f t="shared" si="1"/>
        <v/>
      </c>
      <c r="B1415" s="94"/>
      <c r="C1415" s="95"/>
      <c r="D1415" s="96"/>
      <c r="E1415" s="97"/>
      <c r="F1415" s="109"/>
      <c r="G1415" s="99"/>
      <c r="H1415" s="102"/>
      <c r="I1415" s="95"/>
      <c r="J1415" s="93"/>
      <c r="K1415" s="102"/>
      <c r="L1415" s="101"/>
      <c r="M1415" s="102"/>
      <c r="N1415" s="102"/>
      <c r="O1415" s="102"/>
      <c r="P1415" s="102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</row>
    <row r="1416">
      <c r="A1416" s="77" t="str">
        <f t="shared" si="1"/>
        <v/>
      </c>
      <c r="B1416" s="78"/>
      <c r="C1416" s="82"/>
      <c r="D1416" s="83"/>
      <c r="E1416" s="84"/>
      <c r="F1416" s="114"/>
      <c r="G1416" s="86"/>
      <c r="H1416" s="77"/>
      <c r="I1416" s="82"/>
      <c r="J1416" s="87"/>
      <c r="K1416" s="77"/>
      <c r="L1416" s="89"/>
      <c r="M1416" s="77"/>
      <c r="N1416" s="77"/>
      <c r="O1416" s="77"/>
      <c r="P1416" s="77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</row>
    <row r="1417">
      <c r="A1417" s="102" t="str">
        <f t="shared" si="1"/>
        <v/>
      </c>
      <c r="B1417" s="94"/>
      <c r="C1417" s="95"/>
      <c r="D1417" s="96"/>
      <c r="E1417" s="97"/>
      <c r="F1417" s="109"/>
      <c r="G1417" s="99"/>
      <c r="H1417" s="102"/>
      <c r="I1417" s="95"/>
      <c r="J1417" s="93"/>
      <c r="K1417" s="102"/>
      <c r="L1417" s="101"/>
      <c r="M1417" s="102"/>
      <c r="N1417" s="102"/>
      <c r="O1417" s="102"/>
      <c r="P1417" s="102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</row>
    <row r="1418">
      <c r="A1418" s="77" t="str">
        <f t="shared" si="1"/>
        <v/>
      </c>
      <c r="B1418" s="78"/>
      <c r="C1418" s="82"/>
      <c r="D1418" s="83"/>
      <c r="E1418" s="84"/>
      <c r="F1418" s="114"/>
      <c r="G1418" s="86"/>
      <c r="H1418" s="77"/>
      <c r="I1418" s="82"/>
      <c r="J1418" s="87"/>
      <c r="K1418" s="77"/>
      <c r="L1418" s="89"/>
      <c r="M1418" s="77"/>
      <c r="N1418" s="77"/>
      <c r="O1418" s="77"/>
      <c r="P1418" s="77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</row>
    <row r="1419">
      <c r="A1419" s="102" t="str">
        <f t="shared" si="1"/>
        <v/>
      </c>
      <c r="B1419" s="94"/>
      <c r="C1419" s="95"/>
      <c r="D1419" s="96"/>
      <c r="E1419" s="97"/>
      <c r="F1419" s="109"/>
      <c r="G1419" s="99"/>
      <c r="H1419" s="102"/>
      <c r="I1419" s="95"/>
      <c r="J1419" s="93"/>
      <c r="K1419" s="102"/>
      <c r="L1419" s="101"/>
      <c r="M1419" s="102"/>
      <c r="N1419" s="102"/>
      <c r="O1419" s="102"/>
      <c r="P1419" s="102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</row>
    <row r="1420">
      <c r="A1420" s="77" t="str">
        <f t="shared" si="1"/>
        <v/>
      </c>
      <c r="B1420" s="78"/>
      <c r="C1420" s="82"/>
      <c r="D1420" s="83"/>
      <c r="E1420" s="84"/>
      <c r="F1420" s="114"/>
      <c r="G1420" s="86"/>
      <c r="H1420" s="77"/>
      <c r="I1420" s="82"/>
      <c r="J1420" s="87"/>
      <c r="K1420" s="77"/>
      <c r="L1420" s="89"/>
      <c r="M1420" s="77"/>
      <c r="N1420" s="77"/>
      <c r="O1420" s="77"/>
      <c r="P1420" s="77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</row>
    <row r="1421">
      <c r="A1421" s="102" t="str">
        <f t="shared" si="1"/>
        <v/>
      </c>
      <c r="B1421" s="94"/>
      <c r="C1421" s="95"/>
      <c r="D1421" s="96"/>
      <c r="E1421" s="97"/>
      <c r="F1421" s="109"/>
      <c r="G1421" s="99"/>
      <c r="H1421" s="102"/>
      <c r="I1421" s="95"/>
      <c r="J1421" s="93"/>
      <c r="K1421" s="102"/>
      <c r="L1421" s="101"/>
      <c r="M1421" s="102"/>
      <c r="N1421" s="102"/>
      <c r="O1421" s="102"/>
      <c r="P1421" s="102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</row>
    <row r="1422">
      <c r="A1422" s="77" t="str">
        <f t="shared" si="1"/>
        <v/>
      </c>
      <c r="B1422" s="78"/>
      <c r="C1422" s="82"/>
      <c r="D1422" s="83"/>
      <c r="E1422" s="84"/>
      <c r="F1422" s="114"/>
      <c r="G1422" s="86"/>
      <c r="H1422" s="77"/>
      <c r="I1422" s="82"/>
      <c r="J1422" s="87"/>
      <c r="K1422" s="77"/>
      <c r="L1422" s="89"/>
      <c r="M1422" s="77"/>
      <c r="N1422" s="77"/>
      <c r="O1422" s="77"/>
      <c r="P1422" s="77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</row>
    <row r="1423">
      <c r="A1423" s="102" t="str">
        <f t="shared" si="1"/>
        <v/>
      </c>
      <c r="B1423" s="94"/>
      <c r="C1423" s="95"/>
      <c r="D1423" s="96"/>
      <c r="E1423" s="97"/>
      <c r="F1423" s="109"/>
      <c r="G1423" s="99"/>
      <c r="H1423" s="102"/>
      <c r="I1423" s="95"/>
      <c r="J1423" s="93"/>
      <c r="K1423" s="102"/>
      <c r="L1423" s="101"/>
      <c r="M1423" s="102"/>
      <c r="N1423" s="102"/>
      <c r="O1423" s="102"/>
      <c r="P1423" s="102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</row>
    <row r="1424">
      <c r="A1424" s="77" t="str">
        <f t="shared" si="1"/>
        <v/>
      </c>
      <c r="B1424" s="78"/>
      <c r="C1424" s="82"/>
      <c r="D1424" s="83"/>
      <c r="E1424" s="84"/>
      <c r="F1424" s="114"/>
      <c r="G1424" s="86"/>
      <c r="H1424" s="77"/>
      <c r="I1424" s="82"/>
      <c r="J1424" s="87"/>
      <c r="K1424" s="77"/>
      <c r="L1424" s="89"/>
      <c r="M1424" s="77"/>
      <c r="N1424" s="77"/>
      <c r="O1424" s="77"/>
      <c r="P1424" s="77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</row>
    <row r="1425">
      <c r="A1425" s="102" t="str">
        <f t="shared" si="1"/>
        <v/>
      </c>
      <c r="B1425" s="94"/>
      <c r="C1425" s="95"/>
      <c r="D1425" s="96"/>
      <c r="E1425" s="97"/>
      <c r="F1425" s="109"/>
      <c r="G1425" s="99"/>
      <c r="H1425" s="102"/>
      <c r="I1425" s="95"/>
      <c r="J1425" s="93"/>
      <c r="K1425" s="102"/>
      <c r="L1425" s="101"/>
      <c r="M1425" s="102"/>
      <c r="N1425" s="102"/>
      <c r="O1425" s="102"/>
      <c r="P1425" s="102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</row>
    <row r="1426">
      <c r="A1426" s="77" t="str">
        <f t="shared" si="1"/>
        <v/>
      </c>
      <c r="B1426" s="78"/>
      <c r="C1426" s="82"/>
      <c r="D1426" s="83"/>
      <c r="E1426" s="84"/>
      <c r="F1426" s="114"/>
      <c r="G1426" s="86"/>
      <c r="H1426" s="77"/>
      <c r="I1426" s="82"/>
      <c r="J1426" s="87"/>
      <c r="K1426" s="77"/>
      <c r="L1426" s="89"/>
      <c r="M1426" s="77"/>
      <c r="N1426" s="77"/>
      <c r="O1426" s="77"/>
      <c r="P1426" s="77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</row>
    <row r="1427">
      <c r="A1427" s="102" t="str">
        <f t="shared" si="1"/>
        <v/>
      </c>
      <c r="B1427" s="94"/>
      <c r="C1427" s="95"/>
      <c r="D1427" s="96"/>
      <c r="E1427" s="97"/>
      <c r="F1427" s="109"/>
      <c r="G1427" s="99"/>
      <c r="H1427" s="102"/>
      <c r="I1427" s="95"/>
      <c r="J1427" s="93"/>
      <c r="K1427" s="102"/>
      <c r="L1427" s="101"/>
      <c r="M1427" s="102"/>
      <c r="N1427" s="102"/>
      <c r="O1427" s="102"/>
      <c r="P1427" s="102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</row>
    <row r="1428">
      <c r="A1428" s="77" t="str">
        <f t="shared" si="1"/>
        <v/>
      </c>
      <c r="B1428" s="78"/>
      <c r="C1428" s="82"/>
      <c r="D1428" s="83"/>
      <c r="E1428" s="84"/>
      <c r="F1428" s="114"/>
      <c r="G1428" s="86"/>
      <c r="H1428" s="77"/>
      <c r="I1428" s="82"/>
      <c r="J1428" s="87"/>
      <c r="K1428" s="77"/>
      <c r="L1428" s="89"/>
      <c r="M1428" s="77"/>
      <c r="N1428" s="77"/>
      <c r="O1428" s="77"/>
      <c r="P1428" s="77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</row>
    <row r="1429">
      <c r="A1429" s="102" t="str">
        <f t="shared" si="1"/>
        <v/>
      </c>
      <c r="B1429" s="94"/>
      <c r="C1429" s="95"/>
      <c r="D1429" s="96"/>
      <c r="E1429" s="97"/>
      <c r="F1429" s="109"/>
      <c r="G1429" s="99"/>
      <c r="H1429" s="102"/>
      <c r="I1429" s="95"/>
      <c r="J1429" s="93"/>
      <c r="K1429" s="102"/>
      <c r="L1429" s="101"/>
      <c r="M1429" s="102"/>
      <c r="N1429" s="102"/>
      <c r="O1429" s="102"/>
      <c r="P1429" s="102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</row>
    <row r="1430">
      <c r="A1430" s="77" t="str">
        <f t="shared" si="1"/>
        <v/>
      </c>
      <c r="B1430" s="78"/>
      <c r="C1430" s="82"/>
      <c r="D1430" s="83"/>
      <c r="E1430" s="84"/>
      <c r="F1430" s="114"/>
      <c r="G1430" s="86"/>
      <c r="H1430" s="77"/>
      <c r="I1430" s="82"/>
      <c r="J1430" s="87"/>
      <c r="K1430" s="77"/>
      <c r="L1430" s="89"/>
      <c r="M1430" s="77"/>
      <c r="N1430" s="77"/>
      <c r="O1430" s="77"/>
      <c r="P1430" s="77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</row>
    <row r="1431">
      <c r="A1431" s="102" t="str">
        <f t="shared" si="1"/>
        <v/>
      </c>
      <c r="B1431" s="94"/>
      <c r="C1431" s="95"/>
      <c r="D1431" s="96"/>
      <c r="E1431" s="97"/>
      <c r="F1431" s="109"/>
      <c r="G1431" s="99"/>
      <c r="H1431" s="102"/>
      <c r="I1431" s="95"/>
      <c r="J1431" s="93"/>
      <c r="K1431" s="102"/>
      <c r="L1431" s="101"/>
      <c r="M1431" s="102"/>
      <c r="N1431" s="102"/>
      <c r="O1431" s="102"/>
      <c r="P1431" s="102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</row>
    <row r="1432">
      <c r="A1432" s="77" t="str">
        <f t="shared" si="1"/>
        <v/>
      </c>
      <c r="B1432" s="78"/>
      <c r="C1432" s="82"/>
      <c r="D1432" s="83"/>
      <c r="E1432" s="84"/>
      <c r="F1432" s="114"/>
      <c r="G1432" s="86"/>
      <c r="H1432" s="77"/>
      <c r="I1432" s="82"/>
      <c r="J1432" s="87"/>
      <c r="K1432" s="77"/>
      <c r="L1432" s="89"/>
      <c r="M1432" s="77"/>
      <c r="N1432" s="77"/>
      <c r="O1432" s="77"/>
      <c r="P1432" s="77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</row>
    <row r="1433">
      <c r="A1433" s="102" t="str">
        <f t="shared" si="1"/>
        <v/>
      </c>
      <c r="B1433" s="94"/>
      <c r="C1433" s="95"/>
      <c r="D1433" s="96"/>
      <c r="E1433" s="97"/>
      <c r="F1433" s="109"/>
      <c r="G1433" s="99"/>
      <c r="H1433" s="102"/>
      <c r="I1433" s="95"/>
      <c r="J1433" s="93"/>
      <c r="K1433" s="102"/>
      <c r="L1433" s="101"/>
      <c r="M1433" s="102"/>
      <c r="N1433" s="102"/>
      <c r="O1433" s="102"/>
      <c r="P1433" s="102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</row>
    <row r="1434">
      <c r="A1434" s="77" t="str">
        <f t="shared" si="1"/>
        <v/>
      </c>
      <c r="B1434" s="78"/>
      <c r="C1434" s="82"/>
      <c r="D1434" s="83"/>
      <c r="E1434" s="84"/>
      <c r="F1434" s="114"/>
      <c r="G1434" s="86"/>
      <c r="H1434" s="77"/>
      <c r="I1434" s="82"/>
      <c r="J1434" s="87"/>
      <c r="K1434" s="77"/>
      <c r="L1434" s="89"/>
      <c r="M1434" s="77"/>
      <c r="N1434" s="77"/>
      <c r="O1434" s="77"/>
      <c r="P1434" s="77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</row>
    <row r="1435">
      <c r="A1435" s="102" t="str">
        <f t="shared" si="1"/>
        <v/>
      </c>
      <c r="B1435" s="94"/>
      <c r="C1435" s="95"/>
      <c r="D1435" s="96"/>
      <c r="E1435" s="97"/>
      <c r="F1435" s="109"/>
      <c r="G1435" s="99"/>
      <c r="H1435" s="102"/>
      <c r="I1435" s="95"/>
      <c r="J1435" s="93"/>
      <c r="K1435" s="102"/>
      <c r="L1435" s="101"/>
      <c r="M1435" s="102"/>
      <c r="N1435" s="102"/>
      <c r="O1435" s="102"/>
      <c r="P1435" s="102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</row>
    <row r="1436">
      <c r="A1436" s="77" t="str">
        <f t="shared" si="1"/>
        <v/>
      </c>
      <c r="B1436" s="78"/>
      <c r="C1436" s="82"/>
      <c r="D1436" s="83"/>
      <c r="E1436" s="84"/>
      <c r="F1436" s="114"/>
      <c r="G1436" s="86"/>
      <c r="H1436" s="77"/>
      <c r="I1436" s="82"/>
      <c r="J1436" s="87"/>
      <c r="K1436" s="77"/>
      <c r="L1436" s="89"/>
      <c r="M1436" s="77"/>
      <c r="N1436" s="77"/>
      <c r="O1436" s="77"/>
      <c r="P1436" s="77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</row>
    <row r="1437">
      <c r="A1437" s="102" t="str">
        <f t="shared" si="1"/>
        <v/>
      </c>
      <c r="B1437" s="94"/>
      <c r="C1437" s="95"/>
      <c r="D1437" s="96"/>
      <c r="E1437" s="97"/>
      <c r="F1437" s="109"/>
      <c r="G1437" s="99"/>
      <c r="H1437" s="102"/>
      <c r="I1437" s="95"/>
      <c r="J1437" s="93"/>
      <c r="K1437" s="102"/>
      <c r="L1437" s="101"/>
      <c r="M1437" s="102"/>
      <c r="N1437" s="102"/>
      <c r="O1437" s="102"/>
      <c r="P1437" s="102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</row>
    <row r="1438">
      <c r="A1438" s="77" t="str">
        <f t="shared" si="1"/>
        <v/>
      </c>
      <c r="B1438" s="78"/>
      <c r="C1438" s="82"/>
      <c r="D1438" s="83"/>
      <c r="E1438" s="84"/>
      <c r="F1438" s="114"/>
      <c r="G1438" s="86"/>
      <c r="H1438" s="77"/>
      <c r="I1438" s="82"/>
      <c r="J1438" s="87"/>
      <c r="K1438" s="77"/>
      <c r="L1438" s="89"/>
      <c r="M1438" s="77"/>
      <c r="N1438" s="77"/>
      <c r="O1438" s="77"/>
      <c r="P1438" s="77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</row>
    <row r="1439">
      <c r="A1439" s="102" t="str">
        <f t="shared" si="1"/>
        <v/>
      </c>
      <c r="B1439" s="94"/>
      <c r="C1439" s="95"/>
      <c r="D1439" s="96"/>
      <c r="E1439" s="97"/>
      <c r="F1439" s="109"/>
      <c r="G1439" s="99"/>
      <c r="H1439" s="102"/>
      <c r="I1439" s="95"/>
      <c r="J1439" s="93"/>
      <c r="K1439" s="102"/>
      <c r="L1439" s="101"/>
      <c r="M1439" s="102"/>
      <c r="N1439" s="102"/>
      <c r="O1439" s="102"/>
      <c r="P1439" s="102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</row>
    <row r="1440">
      <c r="A1440" s="77" t="str">
        <f t="shared" si="1"/>
        <v/>
      </c>
      <c r="B1440" s="78"/>
      <c r="C1440" s="82"/>
      <c r="D1440" s="83"/>
      <c r="E1440" s="84"/>
      <c r="F1440" s="114"/>
      <c r="G1440" s="86"/>
      <c r="H1440" s="77"/>
      <c r="I1440" s="82"/>
      <c r="J1440" s="87"/>
      <c r="K1440" s="77"/>
      <c r="L1440" s="89"/>
      <c r="M1440" s="77"/>
      <c r="N1440" s="77"/>
      <c r="O1440" s="77"/>
      <c r="P1440" s="77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</row>
    <row r="1441">
      <c r="A1441" s="102" t="str">
        <f t="shared" si="1"/>
        <v/>
      </c>
      <c r="B1441" s="94"/>
      <c r="C1441" s="95"/>
      <c r="D1441" s="96"/>
      <c r="E1441" s="97"/>
      <c r="F1441" s="109"/>
      <c r="G1441" s="99"/>
      <c r="H1441" s="102"/>
      <c r="I1441" s="95"/>
      <c r="J1441" s="93"/>
      <c r="K1441" s="102"/>
      <c r="L1441" s="101"/>
      <c r="M1441" s="102"/>
      <c r="N1441" s="102"/>
      <c r="O1441" s="102"/>
      <c r="P1441" s="102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</row>
    <row r="1442">
      <c r="A1442" s="77" t="str">
        <f t="shared" si="1"/>
        <v/>
      </c>
      <c r="B1442" s="78"/>
      <c r="C1442" s="82"/>
      <c r="D1442" s="83"/>
      <c r="E1442" s="84"/>
      <c r="F1442" s="114"/>
      <c r="G1442" s="86"/>
      <c r="H1442" s="77"/>
      <c r="I1442" s="82"/>
      <c r="J1442" s="87"/>
      <c r="K1442" s="77"/>
      <c r="L1442" s="89"/>
      <c r="M1442" s="77"/>
      <c r="N1442" s="77"/>
      <c r="O1442" s="77"/>
      <c r="P1442" s="77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</row>
    <row r="1443">
      <c r="A1443" s="102" t="str">
        <f t="shared" si="1"/>
        <v/>
      </c>
      <c r="B1443" s="94"/>
      <c r="C1443" s="95"/>
      <c r="D1443" s="96"/>
      <c r="E1443" s="97"/>
      <c r="F1443" s="109"/>
      <c r="G1443" s="99"/>
      <c r="H1443" s="102"/>
      <c r="I1443" s="95"/>
      <c r="J1443" s="93"/>
      <c r="K1443" s="102"/>
      <c r="L1443" s="101"/>
      <c r="M1443" s="102"/>
      <c r="N1443" s="102"/>
      <c r="O1443" s="102"/>
      <c r="P1443" s="102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</row>
    <row r="1444">
      <c r="A1444" s="77" t="str">
        <f t="shared" si="1"/>
        <v/>
      </c>
      <c r="B1444" s="78"/>
      <c r="C1444" s="82"/>
      <c r="D1444" s="83"/>
      <c r="E1444" s="84"/>
      <c r="F1444" s="114"/>
      <c r="G1444" s="86"/>
      <c r="H1444" s="77"/>
      <c r="I1444" s="82"/>
      <c r="J1444" s="87"/>
      <c r="K1444" s="77"/>
      <c r="L1444" s="89"/>
      <c r="M1444" s="77"/>
      <c r="N1444" s="77"/>
      <c r="O1444" s="77"/>
      <c r="P1444" s="77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</row>
    <row r="1445">
      <c r="A1445" s="102" t="str">
        <f t="shared" si="1"/>
        <v/>
      </c>
      <c r="B1445" s="94"/>
      <c r="C1445" s="95"/>
      <c r="D1445" s="96"/>
      <c r="E1445" s="97"/>
      <c r="F1445" s="109"/>
      <c r="G1445" s="99"/>
      <c r="H1445" s="102"/>
      <c r="I1445" s="95"/>
      <c r="J1445" s="93"/>
      <c r="K1445" s="102"/>
      <c r="L1445" s="101"/>
      <c r="M1445" s="102"/>
      <c r="N1445" s="102"/>
      <c r="O1445" s="102"/>
      <c r="P1445" s="102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</row>
    <row r="1446">
      <c r="A1446" s="77" t="str">
        <f t="shared" si="1"/>
        <v/>
      </c>
      <c r="B1446" s="78"/>
      <c r="C1446" s="82"/>
      <c r="D1446" s="83"/>
      <c r="E1446" s="84"/>
      <c r="F1446" s="114"/>
      <c r="G1446" s="86"/>
      <c r="H1446" s="77"/>
      <c r="I1446" s="82"/>
      <c r="J1446" s="87"/>
      <c r="K1446" s="77"/>
      <c r="L1446" s="89"/>
      <c r="M1446" s="77"/>
      <c r="N1446" s="77"/>
      <c r="O1446" s="77"/>
      <c r="P1446" s="77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</row>
    <row r="1447">
      <c r="A1447" s="102" t="str">
        <f t="shared" si="1"/>
        <v/>
      </c>
      <c r="B1447" s="94"/>
      <c r="C1447" s="95"/>
      <c r="D1447" s="96"/>
      <c r="E1447" s="97"/>
      <c r="F1447" s="109"/>
      <c r="G1447" s="99"/>
      <c r="H1447" s="102"/>
      <c r="I1447" s="95"/>
      <c r="J1447" s="93"/>
      <c r="K1447" s="102"/>
      <c r="L1447" s="101"/>
      <c r="M1447" s="102"/>
      <c r="N1447" s="102"/>
      <c r="O1447" s="102"/>
      <c r="P1447" s="102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</row>
    <row r="1448">
      <c r="A1448" s="77" t="str">
        <f t="shared" si="1"/>
        <v/>
      </c>
      <c r="B1448" s="78"/>
      <c r="C1448" s="82"/>
      <c r="D1448" s="83"/>
      <c r="E1448" s="84"/>
      <c r="F1448" s="114"/>
      <c r="G1448" s="86"/>
      <c r="H1448" s="77"/>
      <c r="I1448" s="82"/>
      <c r="J1448" s="87"/>
      <c r="K1448" s="77"/>
      <c r="L1448" s="89"/>
      <c r="M1448" s="77"/>
      <c r="N1448" s="77"/>
      <c r="O1448" s="77"/>
      <c r="P1448" s="77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</row>
    <row r="1449">
      <c r="A1449" s="102" t="str">
        <f t="shared" si="1"/>
        <v/>
      </c>
      <c r="B1449" s="94"/>
      <c r="C1449" s="95"/>
      <c r="D1449" s="96"/>
      <c r="E1449" s="97"/>
      <c r="F1449" s="109"/>
      <c r="G1449" s="99"/>
      <c r="H1449" s="102"/>
      <c r="I1449" s="95"/>
      <c r="J1449" s="93"/>
      <c r="K1449" s="102"/>
      <c r="L1449" s="101"/>
      <c r="M1449" s="102"/>
      <c r="N1449" s="102"/>
      <c r="O1449" s="102"/>
      <c r="P1449" s="102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</row>
    <row r="1450">
      <c r="A1450" s="77" t="str">
        <f t="shared" si="1"/>
        <v/>
      </c>
      <c r="B1450" s="78"/>
      <c r="C1450" s="82"/>
      <c r="D1450" s="83"/>
      <c r="E1450" s="84"/>
      <c r="F1450" s="114"/>
      <c r="G1450" s="86"/>
      <c r="H1450" s="77"/>
      <c r="I1450" s="82"/>
      <c r="J1450" s="87"/>
      <c r="K1450" s="77"/>
      <c r="L1450" s="89"/>
      <c r="M1450" s="77"/>
      <c r="N1450" s="77"/>
      <c r="O1450" s="77"/>
      <c r="P1450" s="77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</row>
    <row r="1451">
      <c r="A1451" s="102" t="str">
        <f t="shared" si="1"/>
        <v/>
      </c>
      <c r="B1451" s="94"/>
      <c r="C1451" s="95"/>
      <c r="D1451" s="96"/>
      <c r="E1451" s="97"/>
      <c r="F1451" s="109"/>
      <c r="G1451" s="99"/>
      <c r="H1451" s="102"/>
      <c r="I1451" s="95"/>
      <c r="J1451" s="93"/>
      <c r="K1451" s="102"/>
      <c r="L1451" s="101"/>
      <c r="M1451" s="102"/>
      <c r="N1451" s="102"/>
      <c r="O1451" s="102"/>
      <c r="P1451" s="102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</row>
    <row r="1452">
      <c r="A1452" s="77" t="str">
        <f t="shared" si="1"/>
        <v/>
      </c>
      <c r="B1452" s="78"/>
      <c r="C1452" s="82"/>
      <c r="D1452" s="83"/>
      <c r="E1452" s="84"/>
      <c r="F1452" s="114"/>
      <c r="G1452" s="86"/>
      <c r="H1452" s="77"/>
      <c r="I1452" s="82"/>
      <c r="J1452" s="87"/>
      <c r="K1452" s="77"/>
      <c r="L1452" s="89"/>
      <c r="M1452" s="77"/>
      <c r="N1452" s="77"/>
      <c r="O1452" s="77"/>
      <c r="P1452" s="77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</row>
    <row r="1453">
      <c r="A1453" s="102" t="str">
        <f t="shared" si="1"/>
        <v/>
      </c>
      <c r="B1453" s="94"/>
      <c r="C1453" s="95"/>
      <c r="D1453" s="96"/>
      <c r="E1453" s="97"/>
      <c r="F1453" s="109"/>
      <c r="G1453" s="99"/>
      <c r="H1453" s="102"/>
      <c r="I1453" s="95"/>
      <c r="J1453" s="93"/>
      <c r="K1453" s="102"/>
      <c r="L1453" s="101"/>
      <c r="M1453" s="102"/>
      <c r="N1453" s="102"/>
      <c r="O1453" s="102"/>
      <c r="P1453" s="102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</row>
    <row r="1454">
      <c r="A1454" s="77" t="str">
        <f t="shared" si="1"/>
        <v/>
      </c>
      <c r="B1454" s="78"/>
      <c r="C1454" s="82"/>
      <c r="D1454" s="83"/>
      <c r="E1454" s="84"/>
      <c r="F1454" s="114"/>
      <c r="G1454" s="86"/>
      <c r="H1454" s="77"/>
      <c r="I1454" s="82"/>
      <c r="J1454" s="87"/>
      <c r="K1454" s="77"/>
      <c r="L1454" s="89"/>
      <c r="M1454" s="77"/>
      <c r="N1454" s="77"/>
      <c r="O1454" s="77"/>
      <c r="P1454" s="77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</row>
    <row r="1455">
      <c r="A1455" s="102" t="str">
        <f t="shared" si="1"/>
        <v/>
      </c>
      <c r="B1455" s="94"/>
      <c r="C1455" s="95"/>
      <c r="D1455" s="96"/>
      <c r="E1455" s="97"/>
      <c r="F1455" s="109"/>
      <c r="G1455" s="99"/>
      <c r="H1455" s="102"/>
      <c r="I1455" s="95"/>
      <c r="J1455" s="93"/>
      <c r="K1455" s="102"/>
      <c r="L1455" s="101"/>
      <c r="M1455" s="102"/>
      <c r="N1455" s="102"/>
      <c r="O1455" s="102"/>
      <c r="P1455" s="102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</row>
    <row r="1456">
      <c r="A1456" s="77" t="str">
        <f t="shared" si="1"/>
        <v/>
      </c>
      <c r="B1456" s="78"/>
      <c r="C1456" s="82"/>
      <c r="D1456" s="83"/>
      <c r="E1456" s="84"/>
      <c r="F1456" s="114"/>
      <c r="G1456" s="86"/>
      <c r="H1456" s="77"/>
      <c r="I1456" s="82"/>
      <c r="J1456" s="87"/>
      <c r="K1456" s="77"/>
      <c r="L1456" s="89"/>
      <c r="M1456" s="77"/>
      <c r="N1456" s="77"/>
      <c r="O1456" s="77"/>
      <c r="P1456" s="77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</row>
    <row r="1457">
      <c r="A1457" s="102" t="str">
        <f t="shared" si="1"/>
        <v/>
      </c>
      <c r="B1457" s="94"/>
      <c r="C1457" s="95"/>
      <c r="D1457" s="96"/>
      <c r="E1457" s="97"/>
      <c r="F1457" s="109"/>
      <c r="G1457" s="99"/>
      <c r="H1457" s="102"/>
      <c r="I1457" s="95"/>
      <c r="J1457" s="93"/>
      <c r="K1457" s="102"/>
      <c r="L1457" s="101"/>
      <c r="M1457" s="102"/>
      <c r="N1457" s="102"/>
      <c r="O1457" s="102"/>
      <c r="P1457" s="102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</row>
    <row r="1458">
      <c r="A1458" s="77" t="str">
        <f t="shared" si="1"/>
        <v/>
      </c>
      <c r="B1458" s="78"/>
      <c r="C1458" s="82"/>
      <c r="D1458" s="83"/>
      <c r="E1458" s="84"/>
      <c r="F1458" s="114"/>
      <c r="G1458" s="86"/>
      <c r="H1458" s="77"/>
      <c r="I1458" s="82"/>
      <c r="J1458" s="87"/>
      <c r="K1458" s="77"/>
      <c r="L1458" s="89"/>
      <c r="M1458" s="77"/>
      <c r="N1458" s="77"/>
      <c r="O1458" s="77"/>
      <c r="P1458" s="77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</row>
    <row r="1459">
      <c r="A1459" s="102" t="str">
        <f t="shared" si="1"/>
        <v/>
      </c>
      <c r="B1459" s="94"/>
      <c r="C1459" s="95"/>
      <c r="D1459" s="96"/>
      <c r="E1459" s="97"/>
      <c r="F1459" s="109"/>
      <c r="G1459" s="99"/>
      <c r="H1459" s="102"/>
      <c r="I1459" s="95"/>
      <c r="J1459" s="93"/>
      <c r="K1459" s="102"/>
      <c r="L1459" s="101"/>
      <c r="M1459" s="102"/>
      <c r="N1459" s="102"/>
      <c r="O1459" s="102"/>
      <c r="P1459" s="102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</row>
    <row r="1460">
      <c r="A1460" s="77" t="str">
        <f t="shared" si="1"/>
        <v/>
      </c>
      <c r="B1460" s="78"/>
      <c r="C1460" s="82"/>
      <c r="D1460" s="83"/>
      <c r="E1460" s="84"/>
      <c r="F1460" s="114"/>
      <c r="G1460" s="86"/>
      <c r="H1460" s="77"/>
      <c r="I1460" s="82"/>
      <c r="J1460" s="87"/>
      <c r="K1460" s="77"/>
      <c r="L1460" s="89"/>
      <c r="M1460" s="77"/>
      <c r="N1460" s="77"/>
      <c r="O1460" s="77"/>
      <c r="P1460" s="77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</row>
    <row r="1461">
      <c r="A1461" s="102" t="str">
        <f t="shared" si="1"/>
        <v/>
      </c>
      <c r="B1461" s="94"/>
      <c r="C1461" s="95"/>
      <c r="D1461" s="96"/>
      <c r="E1461" s="97"/>
      <c r="F1461" s="109"/>
      <c r="G1461" s="99"/>
      <c r="H1461" s="102"/>
      <c r="I1461" s="95"/>
      <c r="J1461" s="93"/>
      <c r="K1461" s="102"/>
      <c r="L1461" s="101"/>
      <c r="M1461" s="102"/>
      <c r="N1461" s="102"/>
      <c r="O1461" s="102"/>
      <c r="P1461" s="102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</row>
    <row r="1462">
      <c r="A1462" s="77" t="str">
        <f t="shared" si="1"/>
        <v/>
      </c>
      <c r="B1462" s="78"/>
      <c r="C1462" s="82"/>
      <c r="D1462" s="83"/>
      <c r="E1462" s="84"/>
      <c r="F1462" s="114"/>
      <c r="G1462" s="86"/>
      <c r="H1462" s="77"/>
      <c r="I1462" s="82"/>
      <c r="J1462" s="87"/>
      <c r="K1462" s="77"/>
      <c r="L1462" s="89"/>
      <c r="M1462" s="77"/>
      <c r="N1462" s="77"/>
      <c r="O1462" s="77"/>
      <c r="P1462" s="77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</row>
    <row r="1463">
      <c r="A1463" s="102" t="str">
        <f t="shared" si="1"/>
        <v/>
      </c>
      <c r="B1463" s="94"/>
      <c r="C1463" s="95"/>
      <c r="D1463" s="96"/>
      <c r="E1463" s="97"/>
      <c r="F1463" s="109"/>
      <c r="G1463" s="99"/>
      <c r="H1463" s="102"/>
      <c r="I1463" s="95"/>
      <c r="J1463" s="93"/>
      <c r="K1463" s="102"/>
      <c r="L1463" s="101"/>
      <c r="M1463" s="102"/>
      <c r="N1463" s="102"/>
      <c r="O1463" s="102"/>
      <c r="P1463" s="102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</row>
    <row r="1464">
      <c r="A1464" s="77" t="str">
        <f t="shared" si="1"/>
        <v/>
      </c>
      <c r="B1464" s="78"/>
      <c r="C1464" s="82"/>
      <c r="D1464" s="83"/>
      <c r="E1464" s="84"/>
      <c r="F1464" s="114"/>
      <c r="G1464" s="86"/>
      <c r="H1464" s="77"/>
      <c r="I1464" s="82"/>
      <c r="J1464" s="87"/>
      <c r="K1464" s="77"/>
      <c r="L1464" s="89"/>
      <c r="M1464" s="77"/>
      <c r="N1464" s="77"/>
      <c r="O1464" s="77"/>
      <c r="P1464" s="77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</row>
    <row r="1465">
      <c r="A1465" s="102" t="str">
        <f t="shared" si="1"/>
        <v/>
      </c>
      <c r="B1465" s="94"/>
      <c r="C1465" s="95"/>
      <c r="D1465" s="96"/>
      <c r="E1465" s="97"/>
      <c r="F1465" s="109"/>
      <c r="G1465" s="99"/>
      <c r="H1465" s="102"/>
      <c r="I1465" s="95"/>
      <c r="J1465" s="93"/>
      <c r="K1465" s="102"/>
      <c r="L1465" s="101"/>
      <c r="M1465" s="102"/>
      <c r="N1465" s="102"/>
      <c r="O1465" s="102"/>
      <c r="P1465" s="102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</row>
    <row r="1466">
      <c r="A1466" s="77" t="str">
        <f t="shared" si="1"/>
        <v/>
      </c>
      <c r="B1466" s="78"/>
      <c r="C1466" s="82"/>
      <c r="D1466" s="83"/>
      <c r="E1466" s="84"/>
      <c r="F1466" s="114"/>
      <c r="G1466" s="86"/>
      <c r="H1466" s="77"/>
      <c r="I1466" s="82"/>
      <c r="J1466" s="87"/>
      <c r="K1466" s="77"/>
      <c r="L1466" s="89"/>
      <c r="M1466" s="77"/>
      <c r="N1466" s="77"/>
      <c r="O1466" s="77"/>
      <c r="P1466" s="77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</row>
    <row r="1467">
      <c r="A1467" s="102" t="str">
        <f t="shared" si="1"/>
        <v/>
      </c>
      <c r="B1467" s="94"/>
      <c r="C1467" s="95"/>
      <c r="D1467" s="96"/>
      <c r="E1467" s="97"/>
      <c r="F1467" s="109"/>
      <c r="G1467" s="99"/>
      <c r="H1467" s="102"/>
      <c r="I1467" s="95"/>
      <c r="J1467" s="93"/>
      <c r="K1467" s="102"/>
      <c r="L1467" s="101"/>
      <c r="M1467" s="102"/>
      <c r="N1467" s="102"/>
      <c r="O1467" s="102"/>
      <c r="P1467" s="102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</row>
    <row r="1468">
      <c r="A1468" s="77" t="str">
        <f t="shared" si="1"/>
        <v/>
      </c>
      <c r="B1468" s="78"/>
      <c r="C1468" s="82"/>
      <c r="D1468" s="83"/>
      <c r="E1468" s="84"/>
      <c r="F1468" s="114"/>
      <c r="G1468" s="86"/>
      <c r="H1468" s="77"/>
      <c r="I1468" s="82"/>
      <c r="J1468" s="87"/>
      <c r="K1468" s="77"/>
      <c r="L1468" s="89"/>
      <c r="M1468" s="77"/>
      <c r="N1468" s="77"/>
      <c r="O1468" s="77"/>
      <c r="P1468" s="77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</row>
    <row r="1469">
      <c r="A1469" s="102" t="str">
        <f t="shared" si="1"/>
        <v/>
      </c>
      <c r="B1469" s="94"/>
      <c r="C1469" s="95"/>
      <c r="D1469" s="96"/>
      <c r="E1469" s="97"/>
      <c r="F1469" s="109"/>
      <c r="G1469" s="99"/>
      <c r="H1469" s="102"/>
      <c r="I1469" s="95"/>
      <c r="J1469" s="93"/>
      <c r="K1469" s="102"/>
      <c r="L1469" s="101"/>
      <c r="M1469" s="102"/>
      <c r="N1469" s="102"/>
      <c r="O1469" s="102"/>
      <c r="P1469" s="102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</row>
    <row r="1470">
      <c r="A1470" s="77" t="str">
        <f t="shared" si="1"/>
        <v/>
      </c>
      <c r="B1470" s="78"/>
      <c r="C1470" s="82"/>
      <c r="D1470" s="83"/>
      <c r="E1470" s="84"/>
      <c r="F1470" s="114"/>
      <c r="G1470" s="86"/>
      <c r="H1470" s="77"/>
      <c r="I1470" s="82"/>
      <c r="J1470" s="87"/>
      <c r="K1470" s="77"/>
      <c r="L1470" s="89"/>
      <c r="M1470" s="77"/>
      <c r="N1470" s="77"/>
      <c r="O1470" s="77"/>
      <c r="P1470" s="77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</row>
    <row r="1471">
      <c r="A1471" s="102" t="str">
        <f t="shared" si="1"/>
        <v/>
      </c>
      <c r="B1471" s="94"/>
      <c r="C1471" s="95"/>
      <c r="D1471" s="96"/>
      <c r="E1471" s="97"/>
      <c r="F1471" s="109"/>
      <c r="G1471" s="99"/>
      <c r="H1471" s="102"/>
      <c r="I1471" s="95"/>
      <c r="J1471" s="93"/>
      <c r="K1471" s="102"/>
      <c r="L1471" s="101"/>
      <c r="M1471" s="102"/>
      <c r="N1471" s="102"/>
      <c r="O1471" s="102"/>
      <c r="P1471" s="102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</row>
    <row r="1472">
      <c r="A1472" s="77" t="str">
        <f t="shared" si="1"/>
        <v/>
      </c>
      <c r="B1472" s="78"/>
      <c r="C1472" s="82"/>
      <c r="D1472" s="83"/>
      <c r="E1472" s="84"/>
      <c r="F1472" s="114"/>
      <c r="G1472" s="86"/>
      <c r="H1472" s="77"/>
      <c r="I1472" s="82"/>
      <c r="J1472" s="87"/>
      <c r="K1472" s="77"/>
      <c r="L1472" s="89"/>
      <c r="M1472" s="77"/>
      <c r="N1472" s="77"/>
      <c r="O1472" s="77"/>
      <c r="P1472" s="77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</row>
    <row r="1473">
      <c r="A1473" s="102" t="str">
        <f t="shared" si="1"/>
        <v/>
      </c>
      <c r="B1473" s="94"/>
      <c r="C1473" s="95"/>
      <c r="D1473" s="96"/>
      <c r="E1473" s="97"/>
      <c r="F1473" s="109"/>
      <c r="G1473" s="99"/>
      <c r="H1473" s="102"/>
      <c r="I1473" s="95"/>
      <c r="J1473" s="93"/>
      <c r="K1473" s="102"/>
      <c r="L1473" s="101"/>
      <c r="M1473" s="102"/>
      <c r="N1473" s="102"/>
      <c r="O1473" s="102"/>
      <c r="P1473" s="102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</row>
    <row r="1474">
      <c r="A1474" s="77" t="str">
        <f t="shared" si="1"/>
        <v/>
      </c>
      <c r="B1474" s="78"/>
      <c r="C1474" s="82"/>
      <c r="D1474" s="83"/>
      <c r="E1474" s="84"/>
      <c r="F1474" s="114"/>
      <c r="G1474" s="86"/>
      <c r="H1474" s="77"/>
      <c r="I1474" s="82"/>
      <c r="J1474" s="87"/>
      <c r="K1474" s="77"/>
      <c r="L1474" s="89"/>
      <c r="M1474" s="77"/>
      <c r="N1474" s="77"/>
      <c r="O1474" s="77"/>
      <c r="P1474" s="77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</row>
    <row r="1475">
      <c r="A1475" s="102" t="str">
        <f t="shared" si="1"/>
        <v/>
      </c>
      <c r="B1475" s="94"/>
      <c r="C1475" s="95"/>
      <c r="D1475" s="96"/>
      <c r="E1475" s="97"/>
      <c r="F1475" s="109"/>
      <c r="G1475" s="99"/>
      <c r="H1475" s="102"/>
      <c r="I1475" s="95"/>
      <c r="J1475" s="93"/>
      <c r="K1475" s="102"/>
      <c r="L1475" s="101"/>
      <c r="M1475" s="102"/>
      <c r="N1475" s="102"/>
      <c r="O1475" s="102"/>
      <c r="P1475" s="102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</row>
    <row r="1476">
      <c r="A1476" s="77" t="str">
        <f t="shared" si="1"/>
        <v/>
      </c>
      <c r="B1476" s="78"/>
      <c r="C1476" s="82"/>
      <c r="D1476" s="83"/>
      <c r="E1476" s="84"/>
      <c r="F1476" s="114"/>
      <c r="G1476" s="86"/>
      <c r="H1476" s="77"/>
      <c r="I1476" s="82"/>
      <c r="J1476" s="87"/>
      <c r="K1476" s="77"/>
      <c r="L1476" s="89"/>
      <c r="M1476" s="77"/>
      <c r="N1476" s="77"/>
      <c r="O1476" s="77"/>
      <c r="P1476" s="77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</row>
    <row r="1477">
      <c r="A1477" s="102" t="str">
        <f t="shared" si="1"/>
        <v/>
      </c>
      <c r="B1477" s="94"/>
      <c r="C1477" s="95"/>
      <c r="D1477" s="96"/>
      <c r="E1477" s="97"/>
      <c r="F1477" s="109"/>
      <c r="G1477" s="99"/>
      <c r="H1477" s="102"/>
      <c r="I1477" s="95"/>
      <c r="J1477" s="93"/>
      <c r="K1477" s="102"/>
      <c r="L1477" s="101"/>
      <c r="M1477" s="102"/>
      <c r="N1477" s="102"/>
      <c r="O1477" s="102"/>
      <c r="P1477" s="102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</row>
    <row r="1478">
      <c r="A1478" s="77" t="str">
        <f t="shared" si="1"/>
        <v/>
      </c>
      <c r="B1478" s="78"/>
      <c r="C1478" s="82"/>
      <c r="D1478" s="83"/>
      <c r="E1478" s="84"/>
      <c r="F1478" s="114"/>
      <c r="G1478" s="86"/>
      <c r="H1478" s="77"/>
      <c r="I1478" s="82"/>
      <c r="J1478" s="87"/>
      <c r="K1478" s="77"/>
      <c r="L1478" s="89"/>
      <c r="M1478" s="77"/>
      <c r="N1478" s="77"/>
      <c r="O1478" s="77"/>
      <c r="P1478" s="77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</row>
    <row r="1479">
      <c r="A1479" s="102" t="str">
        <f t="shared" si="1"/>
        <v/>
      </c>
      <c r="B1479" s="94"/>
      <c r="C1479" s="95"/>
      <c r="D1479" s="96"/>
      <c r="E1479" s="97"/>
      <c r="F1479" s="109"/>
      <c r="G1479" s="99"/>
      <c r="H1479" s="102"/>
      <c r="I1479" s="95"/>
      <c r="J1479" s="93"/>
      <c r="K1479" s="102"/>
      <c r="L1479" s="101"/>
      <c r="M1479" s="102"/>
      <c r="N1479" s="102"/>
      <c r="O1479" s="102"/>
      <c r="P1479" s="102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</row>
    <row r="1480">
      <c r="A1480" s="77" t="str">
        <f t="shared" si="1"/>
        <v/>
      </c>
      <c r="B1480" s="78"/>
      <c r="C1480" s="82"/>
      <c r="D1480" s="83"/>
      <c r="E1480" s="84"/>
      <c r="F1480" s="114"/>
      <c r="G1480" s="86"/>
      <c r="H1480" s="77"/>
      <c r="I1480" s="82"/>
      <c r="J1480" s="87"/>
      <c r="K1480" s="77"/>
      <c r="L1480" s="89"/>
      <c r="M1480" s="77"/>
      <c r="N1480" s="77"/>
      <c r="O1480" s="77"/>
      <c r="P1480" s="77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</row>
    <row r="1481">
      <c r="A1481" s="102" t="str">
        <f t="shared" si="1"/>
        <v/>
      </c>
      <c r="B1481" s="94"/>
      <c r="C1481" s="95"/>
      <c r="D1481" s="96"/>
      <c r="E1481" s="97"/>
      <c r="F1481" s="109"/>
      <c r="G1481" s="99"/>
      <c r="H1481" s="102"/>
      <c r="I1481" s="95"/>
      <c r="J1481" s="93"/>
      <c r="K1481" s="102"/>
      <c r="L1481" s="101"/>
      <c r="M1481" s="102"/>
      <c r="N1481" s="102"/>
      <c r="O1481" s="102"/>
      <c r="P1481" s="102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</row>
    <row r="1482">
      <c r="A1482" s="77" t="str">
        <f t="shared" si="1"/>
        <v/>
      </c>
      <c r="B1482" s="78"/>
      <c r="C1482" s="82"/>
      <c r="D1482" s="83"/>
      <c r="E1482" s="84"/>
      <c r="F1482" s="114"/>
      <c r="G1482" s="86"/>
      <c r="H1482" s="77"/>
      <c r="I1482" s="82"/>
      <c r="J1482" s="87"/>
      <c r="K1482" s="77"/>
      <c r="L1482" s="89"/>
      <c r="M1482" s="77"/>
      <c r="N1482" s="77"/>
      <c r="O1482" s="77"/>
      <c r="P1482" s="77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</row>
    <row r="1483">
      <c r="A1483" s="102" t="str">
        <f t="shared" si="1"/>
        <v/>
      </c>
      <c r="B1483" s="94"/>
      <c r="C1483" s="95"/>
      <c r="D1483" s="96"/>
      <c r="E1483" s="97"/>
      <c r="F1483" s="109"/>
      <c r="G1483" s="99"/>
      <c r="H1483" s="102"/>
      <c r="I1483" s="95"/>
      <c r="J1483" s="93"/>
      <c r="K1483" s="102"/>
      <c r="L1483" s="101"/>
      <c r="M1483" s="102"/>
      <c r="N1483" s="102"/>
      <c r="O1483" s="102"/>
      <c r="P1483" s="102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</row>
    <row r="1484">
      <c r="A1484" s="77" t="str">
        <f t="shared" si="1"/>
        <v/>
      </c>
      <c r="B1484" s="78"/>
      <c r="C1484" s="82"/>
      <c r="D1484" s="83"/>
      <c r="E1484" s="84"/>
      <c r="F1484" s="114"/>
      <c r="G1484" s="86"/>
      <c r="H1484" s="77"/>
      <c r="I1484" s="82"/>
      <c r="J1484" s="87"/>
      <c r="K1484" s="77"/>
      <c r="L1484" s="89"/>
      <c r="M1484" s="77"/>
      <c r="N1484" s="77"/>
      <c r="O1484" s="77"/>
      <c r="P1484" s="77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</row>
    <row r="1485">
      <c r="A1485" s="102" t="str">
        <f t="shared" si="1"/>
        <v/>
      </c>
      <c r="B1485" s="94"/>
      <c r="C1485" s="95"/>
      <c r="D1485" s="96"/>
      <c r="E1485" s="97"/>
      <c r="F1485" s="109"/>
      <c r="G1485" s="99"/>
      <c r="H1485" s="102"/>
      <c r="I1485" s="95"/>
      <c r="J1485" s="93"/>
      <c r="K1485" s="102"/>
      <c r="L1485" s="101"/>
      <c r="M1485" s="102"/>
      <c r="N1485" s="102"/>
      <c r="O1485" s="102"/>
      <c r="P1485" s="102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</row>
    <row r="1486">
      <c r="A1486" s="77" t="str">
        <f t="shared" si="1"/>
        <v/>
      </c>
      <c r="B1486" s="78"/>
      <c r="C1486" s="82"/>
      <c r="D1486" s="83"/>
      <c r="E1486" s="84"/>
      <c r="F1486" s="114"/>
      <c r="G1486" s="86"/>
      <c r="H1486" s="77"/>
      <c r="I1486" s="82"/>
      <c r="J1486" s="87"/>
      <c r="K1486" s="77"/>
      <c r="L1486" s="89"/>
      <c r="M1486" s="77"/>
      <c r="N1486" s="77"/>
      <c r="O1486" s="77"/>
      <c r="P1486" s="77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</row>
    <row r="1487">
      <c r="A1487" s="102" t="str">
        <f t="shared" si="1"/>
        <v/>
      </c>
      <c r="B1487" s="94"/>
      <c r="C1487" s="95"/>
      <c r="D1487" s="96"/>
      <c r="E1487" s="97"/>
      <c r="F1487" s="109"/>
      <c r="G1487" s="99"/>
      <c r="H1487" s="102"/>
      <c r="I1487" s="95"/>
      <c r="J1487" s="93"/>
      <c r="K1487" s="102"/>
      <c r="L1487" s="101"/>
      <c r="M1487" s="102"/>
      <c r="N1487" s="102"/>
      <c r="O1487" s="102"/>
      <c r="P1487" s="102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</row>
    <row r="1488">
      <c r="A1488" s="77" t="str">
        <f t="shared" si="1"/>
        <v/>
      </c>
      <c r="B1488" s="78"/>
      <c r="C1488" s="82"/>
      <c r="D1488" s="83"/>
      <c r="E1488" s="84"/>
      <c r="F1488" s="114"/>
      <c r="G1488" s="86"/>
      <c r="H1488" s="77"/>
      <c r="I1488" s="82"/>
      <c r="J1488" s="87"/>
      <c r="K1488" s="77"/>
      <c r="L1488" s="89"/>
      <c r="M1488" s="77"/>
      <c r="N1488" s="77"/>
      <c r="O1488" s="77"/>
      <c r="P1488" s="77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</row>
    <row r="1489">
      <c r="A1489" s="102" t="str">
        <f t="shared" si="1"/>
        <v/>
      </c>
      <c r="B1489" s="94"/>
      <c r="C1489" s="95"/>
      <c r="D1489" s="96"/>
      <c r="E1489" s="97"/>
      <c r="F1489" s="109"/>
      <c r="G1489" s="99"/>
      <c r="H1489" s="102"/>
      <c r="I1489" s="95"/>
      <c r="J1489" s="93"/>
      <c r="K1489" s="102"/>
      <c r="L1489" s="101"/>
      <c r="M1489" s="102"/>
      <c r="N1489" s="102"/>
      <c r="O1489" s="102"/>
      <c r="P1489" s="102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</row>
    <row r="1490">
      <c r="A1490" s="77" t="str">
        <f t="shared" si="1"/>
        <v/>
      </c>
      <c r="B1490" s="78"/>
      <c r="C1490" s="82"/>
      <c r="D1490" s="83"/>
      <c r="E1490" s="84"/>
      <c r="F1490" s="114"/>
      <c r="G1490" s="86"/>
      <c r="H1490" s="77"/>
      <c r="I1490" s="82"/>
      <c r="J1490" s="87"/>
      <c r="K1490" s="77"/>
      <c r="L1490" s="89"/>
      <c r="M1490" s="77"/>
      <c r="N1490" s="77"/>
      <c r="O1490" s="77"/>
      <c r="P1490" s="77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</row>
    <row r="1491">
      <c r="A1491" s="102" t="str">
        <f t="shared" si="1"/>
        <v/>
      </c>
      <c r="B1491" s="94"/>
      <c r="C1491" s="95"/>
      <c r="D1491" s="96"/>
      <c r="E1491" s="97"/>
      <c r="F1491" s="109"/>
      <c r="G1491" s="99"/>
      <c r="H1491" s="102"/>
      <c r="I1491" s="95"/>
      <c r="J1491" s="93"/>
      <c r="K1491" s="102"/>
      <c r="L1491" s="101"/>
      <c r="M1491" s="102"/>
      <c r="N1491" s="102"/>
      <c r="O1491" s="102"/>
      <c r="P1491" s="102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</row>
    <row r="1492">
      <c r="A1492" s="77" t="str">
        <f t="shared" si="1"/>
        <v/>
      </c>
      <c r="B1492" s="78"/>
      <c r="C1492" s="82"/>
      <c r="D1492" s="83"/>
      <c r="E1492" s="84"/>
      <c r="F1492" s="114"/>
      <c r="G1492" s="86"/>
      <c r="H1492" s="77"/>
      <c r="I1492" s="82"/>
      <c r="J1492" s="87"/>
      <c r="K1492" s="77"/>
      <c r="L1492" s="89"/>
      <c r="M1492" s="77"/>
      <c r="N1492" s="77"/>
      <c r="O1492" s="77"/>
      <c r="P1492" s="77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</row>
    <row r="1493">
      <c r="A1493" s="102" t="str">
        <f t="shared" si="1"/>
        <v/>
      </c>
      <c r="B1493" s="94"/>
      <c r="C1493" s="95"/>
      <c r="D1493" s="96"/>
      <c r="E1493" s="97"/>
      <c r="F1493" s="109"/>
      <c r="G1493" s="99"/>
      <c r="H1493" s="102"/>
      <c r="I1493" s="95"/>
      <c r="J1493" s="93"/>
      <c r="K1493" s="102"/>
      <c r="L1493" s="101"/>
      <c r="M1493" s="102"/>
      <c r="N1493" s="102"/>
      <c r="O1493" s="102"/>
      <c r="P1493" s="102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</row>
    <row r="1494">
      <c r="A1494" s="77" t="str">
        <f t="shared" si="1"/>
        <v/>
      </c>
      <c r="B1494" s="78"/>
      <c r="C1494" s="82"/>
      <c r="D1494" s="83"/>
      <c r="E1494" s="84"/>
      <c r="F1494" s="114"/>
      <c r="G1494" s="86"/>
      <c r="H1494" s="77"/>
      <c r="I1494" s="82"/>
      <c r="J1494" s="87"/>
      <c r="K1494" s="77"/>
      <c r="L1494" s="89"/>
      <c r="M1494" s="77"/>
      <c r="N1494" s="77"/>
      <c r="O1494" s="77"/>
      <c r="P1494" s="77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</row>
    <row r="1495">
      <c r="A1495" s="102" t="str">
        <f t="shared" si="1"/>
        <v/>
      </c>
      <c r="B1495" s="94"/>
      <c r="C1495" s="95"/>
      <c r="D1495" s="96"/>
      <c r="E1495" s="97"/>
      <c r="F1495" s="109"/>
      <c r="G1495" s="99"/>
      <c r="H1495" s="102"/>
      <c r="I1495" s="95"/>
      <c r="J1495" s="93"/>
      <c r="K1495" s="102"/>
      <c r="L1495" s="101"/>
      <c r="M1495" s="102"/>
      <c r="N1495" s="102"/>
      <c r="O1495" s="102"/>
      <c r="P1495" s="102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</row>
    <row r="1496">
      <c r="A1496" s="77" t="str">
        <f t="shared" si="1"/>
        <v/>
      </c>
      <c r="B1496" s="78"/>
      <c r="C1496" s="82"/>
      <c r="D1496" s="83"/>
      <c r="E1496" s="84"/>
      <c r="F1496" s="114"/>
      <c r="G1496" s="86"/>
      <c r="H1496" s="77"/>
      <c r="I1496" s="82"/>
      <c r="J1496" s="87"/>
      <c r="K1496" s="77"/>
      <c r="L1496" s="89"/>
      <c r="M1496" s="77"/>
      <c r="N1496" s="77"/>
      <c r="O1496" s="77"/>
      <c r="P1496" s="77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</row>
    <row r="1497">
      <c r="A1497" s="102" t="str">
        <f t="shared" si="1"/>
        <v/>
      </c>
      <c r="B1497" s="94"/>
      <c r="C1497" s="95"/>
      <c r="D1497" s="96"/>
      <c r="E1497" s="97"/>
      <c r="F1497" s="109"/>
      <c r="G1497" s="99"/>
      <c r="H1497" s="102"/>
      <c r="I1497" s="95"/>
      <c r="J1497" s="93"/>
      <c r="K1497" s="102"/>
      <c r="L1497" s="101"/>
      <c r="M1497" s="102"/>
      <c r="N1497" s="102"/>
      <c r="O1497" s="102"/>
      <c r="P1497" s="102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</row>
    <row r="1498">
      <c r="A1498" s="77" t="str">
        <f t="shared" si="1"/>
        <v/>
      </c>
      <c r="B1498" s="78"/>
      <c r="C1498" s="82"/>
      <c r="D1498" s="83"/>
      <c r="E1498" s="84"/>
      <c r="F1498" s="114"/>
      <c r="G1498" s="86"/>
      <c r="H1498" s="77"/>
      <c r="I1498" s="82"/>
      <c r="J1498" s="87"/>
      <c r="K1498" s="77"/>
      <c r="L1498" s="89"/>
      <c r="M1498" s="77"/>
      <c r="N1498" s="77"/>
      <c r="O1498" s="77"/>
      <c r="P1498" s="77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</row>
    <row r="1499">
      <c r="A1499" s="102" t="str">
        <f t="shared" si="1"/>
        <v/>
      </c>
      <c r="B1499" s="94"/>
      <c r="C1499" s="95"/>
      <c r="D1499" s="96"/>
      <c r="E1499" s="97"/>
      <c r="F1499" s="109"/>
      <c r="G1499" s="99"/>
      <c r="H1499" s="102"/>
      <c r="I1499" s="95"/>
      <c r="J1499" s="93"/>
      <c r="K1499" s="102"/>
      <c r="L1499" s="101"/>
      <c r="M1499" s="102"/>
      <c r="N1499" s="102"/>
      <c r="O1499" s="102"/>
      <c r="P1499" s="102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</row>
    <row r="1500">
      <c r="A1500" s="77" t="str">
        <f t="shared" si="1"/>
        <v/>
      </c>
      <c r="B1500" s="78"/>
      <c r="C1500" s="82"/>
      <c r="D1500" s="83"/>
      <c r="E1500" s="84"/>
      <c r="F1500" s="114"/>
      <c r="G1500" s="86"/>
      <c r="H1500" s="77"/>
      <c r="I1500" s="82"/>
      <c r="J1500" s="87"/>
      <c r="K1500" s="77"/>
      <c r="L1500" s="89"/>
      <c r="M1500" s="77"/>
      <c r="N1500" s="77"/>
      <c r="O1500" s="77"/>
      <c r="P1500" s="77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</row>
    <row r="1501">
      <c r="A1501" s="102" t="str">
        <f t="shared" si="1"/>
        <v/>
      </c>
      <c r="B1501" s="94"/>
      <c r="C1501" s="95"/>
      <c r="D1501" s="96"/>
      <c r="E1501" s="97"/>
      <c r="F1501" s="109"/>
      <c r="G1501" s="99"/>
      <c r="H1501" s="102"/>
      <c r="I1501" s="95"/>
      <c r="J1501" s="93"/>
      <c r="K1501" s="102"/>
      <c r="L1501" s="101"/>
      <c r="M1501" s="102"/>
      <c r="N1501" s="102"/>
      <c r="O1501" s="102"/>
      <c r="P1501" s="102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</row>
    <row r="1502">
      <c r="A1502" s="77" t="str">
        <f t="shared" si="1"/>
        <v/>
      </c>
      <c r="B1502" s="78"/>
      <c r="C1502" s="82"/>
      <c r="D1502" s="83"/>
      <c r="E1502" s="84"/>
      <c r="F1502" s="114"/>
      <c r="G1502" s="86"/>
      <c r="H1502" s="77"/>
      <c r="I1502" s="82"/>
      <c r="J1502" s="87"/>
      <c r="K1502" s="77"/>
      <c r="L1502" s="89"/>
      <c r="M1502" s="77"/>
      <c r="N1502" s="77"/>
      <c r="O1502" s="77"/>
      <c r="P1502" s="77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</row>
    <row r="1503">
      <c r="A1503" s="102" t="str">
        <f t="shared" si="1"/>
        <v/>
      </c>
      <c r="B1503" s="94"/>
      <c r="C1503" s="95"/>
      <c r="D1503" s="96"/>
      <c r="E1503" s="97"/>
      <c r="F1503" s="109"/>
      <c r="G1503" s="99"/>
      <c r="H1503" s="102"/>
      <c r="I1503" s="95"/>
      <c r="J1503" s="93"/>
      <c r="K1503" s="102"/>
      <c r="L1503" s="101"/>
      <c r="M1503" s="102"/>
      <c r="N1503" s="102"/>
      <c r="O1503" s="102"/>
      <c r="P1503" s="102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</row>
    <row r="1504">
      <c r="A1504" s="77" t="str">
        <f t="shared" si="1"/>
        <v/>
      </c>
      <c r="B1504" s="78"/>
      <c r="C1504" s="82"/>
      <c r="D1504" s="83"/>
      <c r="E1504" s="84"/>
      <c r="F1504" s="114"/>
      <c r="G1504" s="86"/>
      <c r="H1504" s="77"/>
      <c r="I1504" s="82"/>
      <c r="J1504" s="87"/>
      <c r="K1504" s="77"/>
      <c r="L1504" s="89"/>
      <c r="M1504" s="77"/>
      <c r="N1504" s="77"/>
      <c r="O1504" s="77"/>
      <c r="P1504" s="77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</row>
    <row r="1505">
      <c r="A1505" s="102" t="str">
        <f t="shared" si="1"/>
        <v/>
      </c>
      <c r="B1505" s="94"/>
      <c r="C1505" s="95"/>
      <c r="D1505" s="96"/>
      <c r="E1505" s="97"/>
      <c r="F1505" s="109"/>
      <c r="G1505" s="99"/>
      <c r="H1505" s="102"/>
      <c r="I1505" s="95"/>
      <c r="J1505" s="93"/>
      <c r="K1505" s="102"/>
      <c r="L1505" s="101"/>
      <c r="M1505" s="102"/>
      <c r="N1505" s="102"/>
      <c r="O1505" s="102"/>
      <c r="P1505" s="102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</row>
    <row r="1506">
      <c r="A1506" s="77" t="str">
        <f t="shared" si="1"/>
        <v/>
      </c>
      <c r="B1506" s="78"/>
      <c r="C1506" s="82"/>
      <c r="D1506" s="83"/>
      <c r="E1506" s="84"/>
      <c r="F1506" s="114"/>
      <c r="G1506" s="86"/>
      <c r="H1506" s="77"/>
      <c r="I1506" s="82"/>
      <c r="J1506" s="87"/>
      <c r="K1506" s="77"/>
      <c r="L1506" s="89"/>
      <c r="M1506" s="77"/>
      <c r="N1506" s="77"/>
      <c r="O1506" s="77"/>
      <c r="P1506" s="77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</row>
    <row r="1507">
      <c r="A1507" s="102" t="str">
        <f t="shared" si="1"/>
        <v/>
      </c>
      <c r="B1507" s="94"/>
      <c r="C1507" s="95"/>
      <c r="D1507" s="96"/>
      <c r="E1507" s="97"/>
      <c r="F1507" s="109"/>
      <c r="G1507" s="99"/>
      <c r="H1507" s="102"/>
      <c r="I1507" s="95"/>
      <c r="J1507" s="93"/>
      <c r="K1507" s="102"/>
      <c r="L1507" s="101"/>
      <c r="M1507" s="102"/>
      <c r="N1507" s="102"/>
      <c r="O1507" s="102"/>
      <c r="P1507" s="102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</row>
    <row r="1508">
      <c r="A1508" s="77" t="str">
        <f t="shared" si="1"/>
        <v/>
      </c>
      <c r="B1508" s="78"/>
      <c r="C1508" s="82"/>
      <c r="D1508" s="83"/>
      <c r="E1508" s="84"/>
      <c r="F1508" s="114"/>
      <c r="G1508" s="86"/>
      <c r="H1508" s="77"/>
      <c r="I1508" s="82"/>
      <c r="J1508" s="87"/>
      <c r="K1508" s="77"/>
      <c r="L1508" s="89"/>
      <c r="M1508" s="77"/>
      <c r="N1508" s="77"/>
      <c r="O1508" s="77"/>
      <c r="P1508" s="77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</row>
    <row r="1509">
      <c r="A1509" s="102" t="str">
        <f t="shared" si="1"/>
        <v/>
      </c>
      <c r="B1509" s="94"/>
      <c r="C1509" s="95"/>
      <c r="D1509" s="96"/>
      <c r="E1509" s="97"/>
      <c r="F1509" s="109"/>
      <c r="G1509" s="99"/>
      <c r="H1509" s="102"/>
      <c r="I1509" s="95"/>
      <c r="J1509" s="93"/>
      <c r="K1509" s="102"/>
      <c r="L1509" s="101"/>
      <c r="M1509" s="102"/>
      <c r="N1509" s="102"/>
      <c r="O1509" s="102"/>
      <c r="P1509" s="102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</row>
    <row r="1510">
      <c r="A1510" s="77" t="str">
        <f t="shared" si="1"/>
        <v/>
      </c>
      <c r="B1510" s="78"/>
      <c r="C1510" s="82"/>
      <c r="D1510" s="83"/>
      <c r="E1510" s="84"/>
      <c r="F1510" s="114"/>
      <c r="G1510" s="86"/>
      <c r="H1510" s="77"/>
      <c r="I1510" s="82"/>
      <c r="J1510" s="87"/>
      <c r="K1510" s="77"/>
      <c r="L1510" s="89"/>
      <c r="M1510" s="77"/>
      <c r="N1510" s="77"/>
      <c r="O1510" s="77"/>
      <c r="P1510" s="77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</row>
    <row r="1511">
      <c r="A1511" s="102" t="str">
        <f t="shared" si="1"/>
        <v/>
      </c>
      <c r="B1511" s="94"/>
      <c r="C1511" s="95"/>
      <c r="D1511" s="96"/>
      <c r="E1511" s="97"/>
      <c r="F1511" s="109"/>
      <c r="G1511" s="99"/>
      <c r="H1511" s="102"/>
      <c r="I1511" s="95"/>
      <c r="J1511" s="93"/>
      <c r="K1511" s="102"/>
      <c r="L1511" s="101"/>
      <c r="M1511" s="102"/>
      <c r="N1511" s="102"/>
      <c r="O1511" s="102"/>
      <c r="P1511" s="102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</row>
    <row r="1512">
      <c r="A1512" s="77" t="str">
        <f t="shared" si="1"/>
        <v/>
      </c>
      <c r="B1512" s="78"/>
      <c r="C1512" s="82"/>
      <c r="D1512" s="83"/>
      <c r="E1512" s="84"/>
      <c r="F1512" s="114"/>
      <c r="G1512" s="86"/>
      <c r="H1512" s="77"/>
      <c r="I1512" s="82"/>
      <c r="J1512" s="87"/>
      <c r="K1512" s="77"/>
      <c r="L1512" s="89"/>
      <c r="M1512" s="77"/>
      <c r="N1512" s="77"/>
      <c r="O1512" s="77"/>
      <c r="P1512" s="77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</row>
    <row r="1513">
      <c r="A1513" s="102" t="str">
        <f t="shared" si="1"/>
        <v/>
      </c>
      <c r="B1513" s="94"/>
      <c r="C1513" s="95"/>
      <c r="D1513" s="96"/>
      <c r="E1513" s="97"/>
      <c r="F1513" s="109"/>
      <c r="G1513" s="99"/>
      <c r="H1513" s="102"/>
      <c r="I1513" s="95"/>
      <c r="J1513" s="93"/>
      <c r="K1513" s="102"/>
      <c r="L1513" s="101"/>
      <c r="M1513" s="102"/>
      <c r="N1513" s="102"/>
      <c r="O1513" s="102"/>
      <c r="P1513" s="102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</row>
    <row r="1514">
      <c r="A1514" s="77" t="str">
        <f t="shared" si="1"/>
        <v/>
      </c>
      <c r="B1514" s="78"/>
      <c r="C1514" s="82"/>
      <c r="D1514" s="83"/>
      <c r="E1514" s="84"/>
      <c r="F1514" s="114"/>
      <c r="G1514" s="86"/>
      <c r="H1514" s="77"/>
      <c r="I1514" s="82"/>
      <c r="J1514" s="87"/>
      <c r="K1514" s="77"/>
      <c r="L1514" s="89"/>
      <c r="M1514" s="77"/>
      <c r="N1514" s="77"/>
      <c r="O1514" s="77"/>
      <c r="P1514" s="77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</row>
    <row r="1515">
      <c r="A1515" s="102" t="str">
        <f t="shared" si="1"/>
        <v/>
      </c>
      <c r="B1515" s="94"/>
      <c r="C1515" s="95"/>
      <c r="D1515" s="96"/>
      <c r="E1515" s="97"/>
      <c r="F1515" s="109"/>
      <c r="G1515" s="99"/>
      <c r="H1515" s="102"/>
      <c r="I1515" s="95"/>
      <c r="J1515" s="93"/>
      <c r="K1515" s="102"/>
      <c r="L1515" s="101"/>
      <c r="M1515" s="102"/>
      <c r="N1515" s="102"/>
      <c r="O1515" s="102"/>
      <c r="P1515" s="102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</row>
    <row r="1516">
      <c r="A1516" s="77" t="str">
        <f t="shared" si="1"/>
        <v/>
      </c>
      <c r="B1516" s="78"/>
      <c r="C1516" s="82"/>
      <c r="D1516" s="83"/>
      <c r="E1516" s="84"/>
      <c r="F1516" s="114"/>
      <c r="G1516" s="86"/>
      <c r="H1516" s="77"/>
      <c r="I1516" s="82"/>
      <c r="J1516" s="87"/>
      <c r="K1516" s="77"/>
      <c r="L1516" s="89"/>
      <c r="M1516" s="77"/>
      <c r="N1516" s="77"/>
      <c r="O1516" s="77"/>
      <c r="P1516" s="77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</row>
    <row r="1517">
      <c r="A1517" s="102" t="str">
        <f t="shared" si="1"/>
        <v/>
      </c>
      <c r="B1517" s="94"/>
      <c r="C1517" s="95"/>
      <c r="D1517" s="96"/>
      <c r="E1517" s="97"/>
      <c r="F1517" s="109"/>
      <c r="G1517" s="99"/>
      <c r="H1517" s="102"/>
      <c r="I1517" s="95"/>
      <c r="J1517" s="93"/>
      <c r="K1517" s="102"/>
      <c r="L1517" s="101"/>
      <c r="M1517" s="102"/>
      <c r="N1517" s="102"/>
      <c r="O1517" s="102"/>
      <c r="P1517" s="102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</row>
    <row r="1518">
      <c r="A1518" s="77" t="str">
        <f t="shared" si="1"/>
        <v/>
      </c>
      <c r="B1518" s="78"/>
      <c r="C1518" s="82"/>
      <c r="D1518" s="83"/>
      <c r="E1518" s="84"/>
      <c r="F1518" s="114"/>
      <c r="G1518" s="86"/>
      <c r="H1518" s="77"/>
      <c r="I1518" s="82"/>
      <c r="J1518" s="87"/>
      <c r="K1518" s="77"/>
      <c r="L1518" s="89"/>
      <c r="M1518" s="77"/>
      <c r="N1518" s="77"/>
      <c r="O1518" s="77"/>
      <c r="P1518" s="77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</row>
    <row r="1519">
      <c r="A1519" s="102" t="str">
        <f t="shared" si="1"/>
        <v/>
      </c>
      <c r="B1519" s="94"/>
      <c r="C1519" s="95"/>
      <c r="D1519" s="96"/>
      <c r="E1519" s="97"/>
      <c r="F1519" s="109"/>
      <c r="G1519" s="99"/>
      <c r="H1519" s="102"/>
      <c r="I1519" s="95"/>
      <c r="J1519" s="93"/>
      <c r="K1519" s="102"/>
      <c r="L1519" s="101"/>
      <c r="M1519" s="102"/>
      <c r="N1519" s="102"/>
      <c r="O1519" s="102"/>
      <c r="P1519" s="102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</row>
    <row r="1520">
      <c r="A1520" s="77" t="str">
        <f t="shared" si="1"/>
        <v/>
      </c>
      <c r="B1520" s="78"/>
      <c r="C1520" s="82"/>
      <c r="D1520" s="83"/>
      <c r="E1520" s="84"/>
      <c r="F1520" s="114"/>
      <c r="G1520" s="86"/>
      <c r="H1520" s="77"/>
      <c r="I1520" s="82"/>
      <c r="J1520" s="87"/>
      <c r="K1520" s="77"/>
      <c r="L1520" s="89"/>
      <c r="M1520" s="77"/>
      <c r="N1520" s="77"/>
      <c r="O1520" s="77"/>
      <c r="P1520" s="77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</row>
    <row r="1521">
      <c r="A1521" s="102" t="str">
        <f t="shared" si="1"/>
        <v/>
      </c>
      <c r="B1521" s="94"/>
      <c r="C1521" s="95"/>
      <c r="D1521" s="96"/>
      <c r="E1521" s="97"/>
      <c r="F1521" s="109"/>
      <c r="G1521" s="99"/>
      <c r="H1521" s="102"/>
      <c r="I1521" s="95"/>
      <c r="J1521" s="93"/>
      <c r="K1521" s="102"/>
      <c r="L1521" s="101"/>
      <c r="M1521" s="102"/>
      <c r="N1521" s="102"/>
      <c r="O1521" s="102"/>
      <c r="P1521" s="102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</row>
    <row r="1522">
      <c r="A1522" s="77" t="str">
        <f t="shared" si="1"/>
        <v/>
      </c>
      <c r="B1522" s="78"/>
      <c r="C1522" s="82"/>
      <c r="D1522" s="83"/>
      <c r="E1522" s="84"/>
      <c r="F1522" s="114"/>
      <c r="G1522" s="86"/>
      <c r="H1522" s="77"/>
      <c r="I1522" s="82"/>
      <c r="J1522" s="87"/>
      <c r="K1522" s="77"/>
      <c r="L1522" s="89"/>
      <c r="M1522" s="77"/>
      <c r="N1522" s="77"/>
      <c r="O1522" s="77"/>
      <c r="P1522" s="77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</row>
    <row r="1523">
      <c r="A1523" s="102" t="str">
        <f t="shared" si="1"/>
        <v/>
      </c>
      <c r="B1523" s="94"/>
      <c r="C1523" s="95"/>
      <c r="D1523" s="96"/>
      <c r="E1523" s="97"/>
      <c r="F1523" s="109"/>
      <c r="G1523" s="99"/>
      <c r="H1523" s="102"/>
      <c r="I1523" s="95"/>
      <c r="J1523" s="93"/>
      <c r="K1523" s="102"/>
      <c r="L1523" s="101"/>
      <c r="M1523" s="102"/>
      <c r="N1523" s="102"/>
      <c r="O1523" s="102"/>
      <c r="P1523" s="102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</row>
    <row r="1524">
      <c r="A1524" s="77" t="str">
        <f t="shared" si="1"/>
        <v/>
      </c>
      <c r="B1524" s="78"/>
      <c r="C1524" s="82"/>
      <c r="D1524" s="83"/>
      <c r="E1524" s="84"/>
      <c r="F1524" s="114"/>
      <c r="G1524" s="86"/>
      <c r="H1524" s="77"/>
      <c r="I1524" s="82"/>
      <c r="J1524" s="87"/>
      <c r="K1524" s="77"/>
      <c r="L1524" s="89"/>
      <c r="M1524" s="77"/>
      <c r="N1524" s="77"/>
      <c r="O1524" s="77"/>
      <c r="P1524" s="77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</row>
    <row r="1525">
      <c r="A1525" s="102" t="str">
        <f t="shared" si="1"/>
        <v/>
      </c>
      <c r="B1525" s="94"/>
      <c r="C1525" s="95"/>
      <c r="D1525" s="96"/>
      <c r="E1525" s="97"/>
      <c r="F1525" s="109"/>
      <c r="G1525" s="99"/>
      <c r="H1525" s="102"/>
      <c r="I1525" s="95"/>
      <c r="J1525" s="93"/>
      <c r="K1525" s="102"/>
      <c r="L1525" s="101"/>
      <c r="M1525" s="102"/>
      <c r="N1525" s="102"/>
      <c r="O1525" s="102"/>
      <c r="P1525" s="102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</row>
    <row r="1526">
      <c r="A1526" s="77" t="str">
        <f t="shared" si="1"/>
        <v/>
      </c>
      <c r="B1526" s="78"/>
      <c r="C1526" s="82"/>
      <c r="D1526" s="83"/>
      <c r="E1526" s="84"/>
      <c r="F1526" s="114"/>
      <c r="G1526" s="86"/>
      <c r="H1526" s="77"/>
      <c r="I1526" s="82"/>
      <c r="J1526" s="87"/>
      <c r="K1526" s="77"/>
      <c r="L1526" s="89"/>
      <c r="M1526" s="77"/>
      <c r="N1526" s="77"/>
      <c r="O1526" s="77"/>
      <c r="P1526" s="77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</row>
    <row r="1527">
      <c r="A1527" s="102" t="str">
        <f t="shared" si="1"/>
        <v/>
      </c>
      <c r="B1527" s="94"/>
      <c r="C1527" s="95"/>
      <c r="D1527" s="96"/>
      <c r="E1527" s="97"/>
      <c r="F1527" s="109"/>
      <c r="G1527" s="99"/>
      <c r="H1527" s="102"/>
      <c r="I1527" s="95"/>
      <c r="J1527" s="93"/>
      <c r="K1527" s="102"/>
      <c r="L1527" s="101"/>
      <c r="M1527" s="102"/>
      <c r="N1527" s="102"/>
      <c r="O1527" s="102"/>
      <c r="P1527" s="102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</row>
    <row r="1528">
      <c r="A1528" s="77" t="str">
        <f t="shared" si="1"/>
        <v/>
      </c>
      <c r="B1528" s="78"/>
      <c r="C1528" s="82"/>
      <c r="D1528" s="83"/>
      <c r="E1528" s="84"/>
      <c r="F1528" s="114"/>
      <c r="G1528" s="86"/>
      <c r="H1528" s="77"/>
      <c r="I1528" s="82"/>
      <c r="J1528" s="87"/>
      <c r="K1528" s="77"/>
      <c r="L1528" s="89"/>
      <c r="M1528" s="77"/>
      <c r="N1528" s="77"/>
      <c r="O1528" s="77"/>
      <c r="P1528" s="77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</row>
    <row r="1529">
      <c r="A1529" s="102" t="str">
        <f t="shared" si="1"/>
        <v/>
      </c>
      <c r="B1529" s="94"/>
      <c r="C1529" s="95"/>
      <c r="D1529" s="96"/>
      <c r="E1529" s="97"/>
      <c r="F1529" s="109"/>
      <c r="G1529" s="99"/>
      <c r="H1529" s="102"/>
      <c r="I1529" s="95"/>
      <c r="J1529" s="93"/>
      <c r="K1529" s="102"/>
      <c r="L1529" s="101"/>
      <c r="M1529" s="102"/>
      <c r="N1529" s="102"/>
      <c r="O1529" s="102"/>
      <c r="P1529" s="102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</row>
    <row r="1530">
      <c r="A1530" s="77" t="str">
        <f t="shared" si="1"/>
        <v/>
      </c>
      <c r="B1530" s="78"/>
      <c r="C1530" s="82"/>
      <c r="D1530" s="83"/>
      <c r="E1530" s="84"/>
      <c r="F1530" s="114"/>
      <c r="G1530" s="86"/>
      <c r="H1530" s="77"/>
      <c r="I1530" s="82"/>
      <c r="J1530" s="87"/>
      <c r="K1530" s="77"/>
      <c r="L1530" s="89"/>
      <c r="M1530" s="77"/>
      <c r="N1530" s="77"/>
      <c r="O1530" s="77"/>
      <c r="P1530" s="77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</row>
    <row r="1531">
      <c r="A1531" s="102" t="str">
        <f t="shared" si="1"/>
        <v/>
      </c>
      <c r="B1531" s="94"/>
      <c r="C1531" s="95"/>
      <c r="D1531" s="96"/>
      <c r="E1531" s="97"/>
      <c r="F1531" s="109"/>
      <c r="G1531" s="99"/>
      <c r="H1531" s="102"/>
      <c r="I1531" s="95"/>
      <c r="J1531" s="93"/>
      <c r="K1531" s="102"/>
      <c r="L1531" s="101"/>
      <c r="M1531" s="102"/>
      <c r="N1531" s="102"/>
      <c r="O1531" s="102"/>
      <c r="P1531" s="102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</row>
    <row r="1532">
      <c r="A1532" s="77" t="str">
        <f t="shared" si="1"/>
        <v/>
      </c>
      <c r="B1532" s="78"/>
      <c r="C1532" s="82"/>
      <c r="D1532" s="83"/>
      <c r="E1532" s="84"/>
      <c r="F1532" s="114"/>
      <c r="G1532" s="86"/>
      <c r="H1532" s="77"/>
      <c r="I1532" s="82"/>
      <c r="J1532" s="87"/>
      <c r="K1532" s="77"/>
      <c r="L1532" s="89"/>
      <c r="M1532" s="77"/>
      <c r="N1532" s="77"/>
      <c r="O1532" s="77"/>
      <c r="P1532" s="77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</row>
    <row r="1533">
      <c r="A1533" s="102" t="str">
        <f t="shared" si="1"/>
        <v/>
      </c>
      <c r="B1533" s="94"/>
      <c r="C1533" s="95"/>
      <c r="D1533" s="96"/>
      <c r="E1533" s="97"/>
      <c r="F1533" s="109"/>
      <c r="G1533" s="99"/>
      <c r="H1533" s="102"/>
      <c r="I1533" s="95"/>
      <c r="J1533" s="93"/>
      <c r="K1533" s="102"/>
      <c r="L1533" s="101"/>
      <c r="M1533" s="102"/>
      <c r="N1533" s="102"/>
      <c r="O1533" s="102"/>
      <c r="P1533" s="102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</row>
    <row r="1534">
      <c r="A1534" s="77" t="str">
        <f t="shared" si="1"/>
        <v/>
      </c>
      <c r="B1534" s="78"/>
      <c r="C1534" s="82"/>
      <c r="D1534" s="83"/>
      <c r="E1534" s="84"/>
      <c r="F1534" s="114"/>
      <c r="G1534" s="86"/>
      <c r="H1534" s="77"/>
      <c r="I1534" s="82"/>
      <c r="J1534" s="87"/>
      <c r="K1534" s="77"/>
      <c r="L1534" s="89"/>
      <c r="M1534" s="77"/>
      <c r="N1534" s="77"/>
      <c r="O1534" s="77"/>
      <c r="P1534" s="77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</row>
    <row r="1535">
      <c r="A1535" s="102" t="str">
        <f t="shared" si="1"/>
        <v/>
      </c>
      <c r="B1535" s="94"/>
      <c r="C1535" s="95"/>
      <c r="D1535" s="96"/>
      <c r="E1535" s="97"/>
      <c r="F1535" s="109"/>
      <c r="G1535" s="99"/>
      <c r="H1535" s="102"/>
      <c r="I1535" s="95"/>
      <c r="J1535" s="93"/>
      <c r="K1535" s="102"/>
      <c r="L1535" s="101"/>
      <c r="M1535" s="102"/>
      <c r="N1535" s="102"/>
      <c r="O1535" s="102"/>
      <c r="P1535" s="102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</row>
    <row r="1536">
      <c r="A1536" s="77" t="str">
        <f t="shared" si="1"/>
        <v/>
      </c>
      <c r="B1536" s="78"/>
      <c r="C1536" s="82"/>
      <c r="D1536" s="83"/>
      <c r="E1536" s="84"/>
      <c r="F1536" s="114"/>
      <c r="G1536" s="86"/>
      <c r="H1536" s="77"/>
      <c r="I1536" s="82"/>
      <c r="J1536" s="87"/>
      <c r="K1536" s="77"/>
      <c r="L1536" s="89"/>
      <c r="M1536" s="77"/>
      <c r="N1536" s="77"/>
      <c r="O1536" s="77"/>
      <c r="P1536" s="77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</row>
    <row r="1537">
      <c r="A1537" s="102" t="str">
        <f t="shared" si="1"/>
        <v/>
      </c>
      <c r="B1537" s="94"/>
      <c r="C1537" s="95"/>
      <c r="D1537" s="96"/>
      <c r="E1537" s="97"/>
      <c r="F1537" s="109"/>
      <c r="G1537" s="99"/>
      <c r="H1537" s="102"/>
      <c r="I1537" s="95"/>
      <c r="J1537" s="93"/>
      <c r="K1537" s="102"/>
      <c r="L1537" s="101"/>
      <c r="M1537" s="102"/>
      <c r="N1537" s="102"/>
      <c r="O1537" s="102"/>
      <c r="P1537" s="102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</row>
    <row r="1538">
      <c r="A1538" s="77" t="str">
        <f t="shared" si="1"/>
        <v/>
      </c>
      <c r="B1538" s="78"/>
      <c r="C1538" s="82"/>
      <c r="D1538" s="83"/>
      <c r="E1538" s="84"/>
      <c r="F1538" s="114"/>
      <c r="G1538" s="86"/>
      <c r="H1538" s="77"/>
      <c r="I1538" s="82"/>
      <c r="J1538" s="87"/>
      <c r="K1538" s="77"/>
      <c r="L1538" s="89"/>
      <c r="M1538" s="77"/>
      <c r="N1538" s="77"/>
      <c r="O1538" s="77"/>
      <c r="P1538" s="77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</row>
    <row r="1539">
      <c r="A1539" s="102" t="str">
        <f t="shared" si="1"/>
        <v/>
      </c>
      <c r="B1539" s="94"/>
      <c r="C1539" s="95"/>
      <c r="D1539" s="96"/>
      <c r="E1539" s="97"/>
      <c r="F1539" s="109"/>
      <c r="G1539" s="99"/>
      <c r="H1539" s="102"/>
      <c r="I1539" s="95"/>
      <c r="J1539" s="93"/>
      <c r="K1539" s="102"/>
      <c r="L1539" s="101"/>
      <c r="M1539" s="102"/>
      <c r="N1539" s="102"/>
      <c r="O1539" s="102"/>
      <c r="P1539" s="102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</row>
    <row r="1540">
      <c r="A1540" s="77" t="str">
        <f t="shared" si="1"/>
        <v/>
      </c>
      <c r="B1540" s="78"/>
      <c r="C1540" s="82"/>
      <c r="D1540" s="83"/>
      <c r="E1540" s="84"/>
      <c r="F1540" s="114"/>
      <c r="G1540" s="86"/>
      <c r="H1540" s="77"/>
      <c r="I1540" s="82"/>
      <c r="J1540" s="87"/>
      <c r="K1540" s="77"/>
      <c r="L1540" s="89"/>
      <c r="M1540" s="77"/>
      <c r="N1540" s="77"/>
      <c r="O1540" s="77"/>
      <c r="P1540" s="77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</row>
    <row r="1541">
      <c r="A1541" s="102" t="str">
        <f t="shared" si="1"/>
        <v/>
      </c>
      <c r="B1541" s="94"/>
      <c r="C1541" s="95"/>
      <c r="D1541" s="96"/>
      <c r="E1541" s="97"/>
      <c r="F1541" s="109"/>
      <c r="G1541" s="99"/>
      <c r="H1541" s="102"/>
      <c r="I1541" s="95"/>
      <c r="J1541" s="93"/>
      <c r="K1541" s="102"/>
      <c r="L1541" s="101"/>
      <c r="M1541" s="102"/>
      <c r="N1541" s="102"/>
      <c r="O1541" s="102"/>
      <c r="P1541" s="102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</row>
    <row r="1542">
      <c r="A1542" s="77" t="str">
        <f t="shared" si="1"/>
        <v/>
      </c>
      <c r="B1542" s="78"/>
      <c r="C1542" s="82"/>
      <c r="D1542" s="83"/>
      <c r="E1542" s="84"/>
      <c r="F1542" s="114"/>
      <c r="G1542" s="86"/>
      <c r="H1542" s="77"/>
      <c r="I1542" s="82"/>
      <c r="J1542" s="87"/>
      <c r="K1542" s="77"/>
      <c r="L1542" s="89"/>
      <c r="M1542" s="77"/>
      <c r="N1542" s="77"/>
      <c r="O1542" s="77"/>
      <c r="P1542" s="77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</row>
    <row r="1543">
      <c r="A1543" s="102" t="str">
        <f t="shared" si="1"/>
        <v/>
      </c>
      <c r="B1543" s="94"/>
      <c r="C1543" s="95"/>
      <c r="D1543" s="96"/>
      <c r="E1543" s="97"/>
      <c r="F1543" s="109"/>
      <c r="G1543" s="99"/>
      <c r="H1543" s="102"/>
      <c r="I1543" s="95"/>
      <c r="J1543" s="93"/>
      <c r="K1543" s="102"/>
      <c r="L1543" s="101"/>
      <c r="M1543" s="102"/>
      <c r="N1543" s="102"/>
      <c r="O1543" s="102"/>
      <c r="P1543" s="102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</row>
    <row r="1544">
      <c r="A1544" s="77" t="str">
        <f t="shared" si="1"/>
        <v/>
      </c>
      <c r="B1544" s="78"/>
      <c r="C1544" s="82"/>
      <c r="D1544" s="83"/>
      <c r="E1544" s="84"/>
      <c r="F1544" s="114"/>
      <c r="G1544" s="86"/>
      <c r="H1544" s="77"/>
      <c r="I1544" s="82"/>
      <c r="J1544" s="87"/>
      <c r="K1544" s="77"/>
      <c r="L1544" s="89"/>
      <c r="M1544" s="77"/>
      <c r="N1544" s="77"/>
      <c r="O1544" s="77"/>
      <c r="P1544" s="77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</row>
    <row r="1545">
      <c r="A1545" s="102" t="str">
        <f t="shared" si="1"/>
        <v/>
      </c>
      <c r="B1545" s="94"/>
      <c r="C1545" s="95"/>
      <c r="D1545" s="96"/>
      <c r="E1545" s="97"/>
      <c r="F1545" s="109"/>
      <c r="G1545" s="99"/>
      <c r="H1545" s="102"/>
      <c r="I1545" s="95"/>
      <c r="J1545" s="93"/>
      <c r="K1545" s="102"/>
      <c r="L1545" s="101"/>
      <c r="M1545" s="102"/>
      <c r="N1545" s="102"/>
      <c r="O1545" s="102"/>
      <c r="P1545" s="102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</row>
    <row r="1546">
      <c r="A1546" s="77" t="str">
        <f t="shared" si="1"/>
        <v/>
      </c>
      <c r="B1546" s="78"/>
      <c r="C1546" s="82"/>
      <c r="D1546" s="83"/>
      <c r="E1546" s="84"/>
      <c r="F1546" s="114"/>
      <c r="G1546" s="86"/>
      <c r="H1546" s="77"/>
      <c r="I1546" s="82"/>
      <c r="J1546" s="87"/>
      <c r="K1546" s="77"/>
      <c r="L1546" s="89"/>
      <c r="M1546" s="77"/>
      <c r="N1546" s="77"/>
      <c r="O1546" s="77"/>
      <c r="P1546" s="77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</row>
    <row r="1547">
      <c r="A1547" s="102" t="str">
        <f t="shared" si="1"/>
        <v/>
      </c>
      <c r="B1547" s="94"/>
      <c r="C1547" s="95"/>
      <c r="D1547" s="96"/>
      <c r="E1547" s="97"/>
      <c r="F1547" s="109"/>
      <c r="G1547" s="99"/>
      <c r="H1547" s="102"/>
      <c r="I1547" s="95"/>
      <c r="J1547" s="93"/>
      <c r="K1547" s="102"/>
      <c r="L1547" s="101"/>
      <c r="M1547" s="102"/>
      <c r="N1547" s="102"/>
      <c r="O1547" s="102"/>
      <c r="P1547" s="102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</row>
    <row r="1548">
      <c r="A1548" s="77" t="str">
        <f t="shared" si="1"/>
        <v/>
      </c>
      <c r="B1548" s="78"/>
      <c r="C1548" s="82"/>
      <c r="D1548" s="83"/>
      <c r="E1548" s="84"/>
      <c r="F1548" s="114"/>
      <c r="G1548" s="86"/>
      <c r="H1548" s="77"/>
      <c r="I1548" s="82"/>
      <c r="J1548" s="87"/>
      <c r="K1548" s="77"/>
      <c r="L1548" s="89"/>
      <c r="M1548" s="77"/>
      <c r="N1548" s="77"/>
      <c r="O1548" s="77"/>
      <c r="P1548" s="77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</row>
    <row r="1549">
      <c r="A1549" s="102" t="str">
        <f t="shared" si="1"/>
        <v/>
      </c>
      <c r="B1549" s="94"/>
      <c r="C1549" s="95"/>
      <c r="D1549" s="96"/>
      <c r="E1549" s="97"/>
      <c r="F1549" s="109"/>
      <c r="G1549" s="99"/>
      <c r="H1549" s="102"/>
      <c r="I1549" s="95"/>
      <c r="J1549" s="93"/>
      <c r="K1549" s="102"/>
      <c r="L1549" s="101"/>
      <c r="M1549" s="102"/>
      <c r="N1549" s="102"/>
      <c r="O1549" s="102"/>
      <c r="P1549" s="102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</row>
    <row r="1550">
      <c r="A1550" s="77" t="str">
        <f t="shared" si="1"/>
        <v/>
      </c>
      <c r="B1550" s="78"/>
      <c r="C1550" s="82"/>
      <c r="D1550" s="83"/>
      <c r="E1550" s="84"/>
      <c r="F1550" s="114"/>
      <c r="G1550" s="86"/>
      <c r="H1550" s="77"/>
      <c r="I1550" s="82"/>
      <c r="J1550" s="87"/>
      <c r="K1550" s="77"/>
      <c r="L1550" s="89"/>
      <c r="M1550" s="77"/>
      <c r="N1550" s="77"/>
      <c r="O1550" s="77"/>
      <c r="P1550" s="77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</row>
    <row r="1551">
      <c r="A1551" s="102" t="str">
        <f t="shared" si="1"/>
        <v/>
      </c>
      <c r="B1551" s="94"/>
      <c r="C1551" s="95"/>
      <c r="D1551" s="96"/>
      <c r="E1551" s="97"/>
      <c r="F1551" s="109"/>
      <c r="G1551" s="99"/>
      <c r="H1551" s="102"/>
      <c r="I1551" s="95"/>
      <c r="J1551" s="93"/>
      <c r="K1551" s="102"/>
      <c r="L1551" s="101"/>
      <c r="M1551" s="102"/>
      <c r="N1551" s="102"/>
      <c r="O1551" s="102"/>
      <c r="P1551" s="102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</row>
    <row r="1552">
      <c r="A1552" s="77" t="str">
        <f t="shared" si="1"/>
        <v/>
      </c>
      <c r="B1552" s="78"/>
      <c r="C1552" s="82"/>
      <c r="D1552" s="83"/>
      <c r="E1552" s="84"/>
      <c r="F1552" s="114"/>
      <c r="G1552" s="86"/>
      <c r="H1552" s="77"/>
      <c r="I1552" s="82"/>
      <c r="J1552" s="87"/>
      <c r="K1552" s="77"/>
      <c r="L1552" s="89"/>
      <c r="M1552" s="77"/>
      <c r="N1552" s="77"/>
      <c r="O1552" s="77"/>
      <c r="P1552" s="77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</row>
    <row r="1553">
      <c r="A1553" s="102" t="str">
        <f t="shared" si="1"/>
        <v/>
      </c>
      <c r="B1553" s="94"/>
      <c r="C1553" s="95"/>
      <c r="D1553" s="96"/>
      <c r="E1553" s="97"/>
      <c r="F1553" s="109"/>
      <c r="G1553" s="99"/>
      <c r="H1553" s="102"/>
      <c r="I1553" s="95"/>
      <c r="J1553" s="93"/>
      <c r="K1553" s="102"/>
      <c r="L1553" s="101"/>
      <c r="M1553" s="102"/>
      <c r="N1553" s="102"/>
      <c r="O1553" s="102"/>
      <c r="P1553" s="102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</row>
    <row r="1554">
      <c r="A1554" s="77" t="str">
        <f t="shared" si="1"/>
        <v/>
      </c>
      <c r="B1554" s="78"/>
      <c r="C1554" s="82"/>
      <c r="D1554" s="83"/>
      <c r="E1554" s="84"/>
      <c r="F1554" s="114"/>
      <c r="G1554" s="86"/>
      <c r="H1554" s="77"/>
      <c r="I1554" s="82"/>
      <c r="J1554" s="87"/>
      <c r="K1554" s="77"/>
      <c r="L1554" s="89"/>
      <c r="M1554" s="77"/>
      <c r="N1554" s="77"/>
      <c r="O1554" s="77"/>
      <c r="P1554" s="77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</row>
    <row r="1555">
      <c r="A1555" s="102" t="str">
        <f t="shared" si="1"/>
        <v/>
      </c>
      <c r="B1555" s="94"/>
      <c r="C1555" s="95"/>
      <c r="D1555" s="96"/>
      <c r="E1555" s="97"/>
      <c r="F1555" s="109"/>
      <c r="G1555" s="99"/>
      <c r="H1555" s="102"/>
      <c r="I1555" s="95"/>
      <c r="J1555" s="93"/>
      <c r="K1555" s="102"/>
      <c r="L1555" s="101"/>
      <c r="M1555" s="102"/>
      <c r="N1555" s="102"/>
      <c r="O1555" s="102"/>
      <c r="P1555" s="102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</row>
    <row r="1556">
      <c r="A1556" s="77" t="str">
        <f t="shared" si="1"/>
        <v/>
      </c>
      <c r="B1556" s="78"/>
      <c r="C1556" s="82"/>
      <c r="D1556" s="83"/>
      <c r="E1556" s="84"/>
      <c r="F1556" s="114"/>
      <c r="G1556" s="86"/>
      <c r="H1556" s="77"/>
      <c r="I1556" s="82"/>
      <c r="J1556" s="87"/>
      <c r="K1556" s="77"/>
      <c r="L1556" s="89"/>
      <c r="M1556" s="77"/>
      <c r="N1556" s="77"/>
      <c r="O1556" s="77"/>
      <c r="P1556" s="77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</row>
    <row r="1557">
      <c r="A1557" s="102" t="str">
        <f t="shared" si="1"/>
        <v/>
      </c>
      <c r="B1557" s="94"/>
      <c r="C1557" s="95"/>
      <c r="D1557" s="96"/>
      <c r="E1557" s="97"/>
      <c r="F1557" s="109"/>
      <c r="G1557" s="99"/>
      <c r="H1557" s="102"/>
      <c r="I1557" s="95"/>
      <c r="J1557" s="93"/>
      <c r="K1557" s="102"/>
      <c r="L1557" s="101"/>
      <c r="M1557" s="102"/>
      <c r="N1557" s="102"/>
      <c r="O1557" s="102"/>
      <c r="P1557" s="102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</row>
    <row r="1558">
      <c r="A1558" s="77" t="str">
        <f t="shared" si="1"/>
        <v/>
      </c>
      <c r="B1558" s="78"/>
      <c r="C1558" s="82"/>
      <c r="D1558" s="83"/>
      <c r="E1558" s="84"/>
      <c r="F1558" s="114"/>
      <c r="G1558" s="86"/>
      <c r="H1558" s="77"/>
      <c r="I1558" s="82"/>
      <c r="J1558" s="87"/>
      <c r="K1558" s="77"/>
      <c r="L1558" s="89"/>
      <c r="M1558" s="77"/>
      <c r="N1558" s="77"/>
      <c r="O1558" s="77"/>
      <c r="P1558" s="77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</row>
    <row r="1559">
      <c r="A1559" s="102" t="str">
        <f t="shared" si="1"/>
        <v/>
      </c>
      <c r="B1559" s="94"/>
      <c r="C1559" s="95"/>
      <c r="D1559" s="96"/>
      <c r="E1559" s="97"/>
      <c r="F1559" s="109"/>
      <c r="G1559" s="99"/>
      <c r="H1559" s="102"/>
      <c r="I1559" s="95"/>
      <c r="J1559" s="93"/>
      <c r="K1559" s="102"/>
      <c r="L1559" s="101"/>
      <c r="M1559" s="102"/>
      <c r="N1559" s="102"/>
      <c r="O1559" s="102"/>
      <c r="P1559" s="102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</row>
    <row r="1560">
      <c r="A1560" s="77" t="str">
        <f t="shared" si="1"/>
        <v/>
      </c>
      <c r="B1560" s="78"/>
      <c r="C1560" s="82"/>
      <c r="D1560" s="83"/>
      <c r="E1560" s="84"/>
      <c r="F1560" s="114"/>
      <c r="G1560" s="86"/>
      <c r="H1560" s="77"/>
      <c r="I1560" s="82"/>
      <c r="J1560" s="87"/>
      <c r="K1560" s="77"/>
      <c r="L1560" s="89"/>
      <c r="M1560" s="77"/>
      <c r="N1560" s="77"/>
      <c r="O1560" s="77"/>
      <c r="P1560" s="77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</row>
    <row r="1561">
      <c r="A1561" s="102" t="str">
        <f t="shared" si="1"/>
        <v/>
      </c>
      <c r="B1561" s="94"/>
      <c r="C1561" s="95"/>
      <c r="D1561" s="96"/>
      <c r="E1561" s="97"/>
      <c r="F1561" s="109"/>
      <c r="G1561" s="99"/>
      <c r="H1561" s="102"/>
      <c r="I1561" s="95"/>
      <c r="J1561" s="93"/>
      <c r="K1561" s="102"/>
      <c r="L1561" s="101"/>
      <c r="M1561" s="102"/>
      <c r="N1561" s="102"/>
      <c r="O1561" s="102"/>
      <c r="P1561" s="102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</row>
    <row r="1562">
      <c r="A1562" s="77" t="str">
        <f t="shared" si="1"/>
        <v/>
      </c>
      <c r="B1562" s="78"/>
      <c r="C1562" s="82"/>
      <c r="D1562" s="83"/>
      <c r="E1562" s="84"/>
      <c r="F1562" s="114"/>
      <c r="G1562" s="86"/>
      <c r="H1562" s="77"/>
      <c r="I1562" s="82"/>
      <c r="J1562" s="87"/>
      <c r="K1562" s="77"/>
      <c r="L1562" s="89"/>
      <c r="M1562" s="77"/>
      <c r="N1562" s="77"/>
      <c r="O1562" s="77"/>
      <c r="P1562" s="77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</row>
    <row r="1563">
      <c r="A1563" s="102" t="str">
        <f t="shared" si="1"/>
        <v/>
      </c>
      <c r="B1563" s="94"/>
      <c r="C1563" s="95"/>
      <c r="D1563" s="96"/>
      <c r="E1563" s="97"/>
      <c r="F1563" s="109"/>
      <c r="G1563" s="99"/>
      <c r="H1563" s="102"/>
      <c r="I1563" s="95"/>
      <c r="J1563" s="93"/>
      <c r="K1563" s="102"/>
      <c r="L1563" s="101"/>
      <c r="M1563" s="102"/>
      <c r="N1563" s="102"/>
      <c r="O1563" s="102"/>
      <c r="P1563" s="102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</row>
    <row r="1564">
      <c r="A1564" s="77" t="str">
        <f t="shared" si="1"/>
        <v/>
      </c>
      <c r="B1564" s="78"/>
      <c r="C1564" s="82"/>
      <c r="D1564" s="83"/>
      <c r="E1564" s="84"/>
      <c r="F1564" s="114"/>
      <c r="G1564" s="86"/>
      <c r="H1564" s="77"/>
      <c r="I1564" s="82"/>
      <c r="J1564" s="87"/>
      <c r="K1564" s="77"/>
      <c r="L1564" s="89"/>
      <c r="M1564" s="77"/>
      <c r="N1564" s="77"/>
      <c r="O1564" s="77"/>
      <c r="P1564" s="77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</row>
    <row r="1565">
      <c r="A1565" s="102" t="str">
        <f t="shared" si="1"/>
        <v/>
      </c>
      <c r="B1565" s="94"/>
      <c r="C1565" s="95"/>
      <c r="D1565" s="96"/>
      <c r="E1565" s="97"/>
      <c r="F1565" s="109"/>
      <c r="G1565" s="99"/>
      <c r="H1565" s="102"/>
      <c r="I1565" s="95"/>
      <c r="J1565" s="93"/>
      <c r="K1565" s="102"/>
      <c r="L1565" s="101"/>
      <c r="M1565" s="102"/>
      <c r="N1565" s="102"/>
      <c r="O1565" s="102"/>
      <c r="P1565" s="102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</row>
    <row r="1566">
      <c r="A1566" s="77" t="str">
        <f t="shared" si="1"/>
        <v/>
      </c>
      <c r="B1566" s="78"/>
      <c r="C1566" s="82"/>
      <c r="D1566" s="83"/>
      <c r="E1566" s="84"/>
      <c r="F1566" s="114"/>
      <c r="G1566" s="86"/>
      <c r="H1566" s="77"/>
      <c r="I1566" s="82"/>
      <c r="J1566" s="87"/>
      <c r="K1566" s="77"/>
      <c r="L1566" s="89"/>
      <c r="M1566" s="77"/>
      <c r="N1566" s="77"/>
      <c r="O1566" s="77"/>
      <c r="P1566" s="77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</row>
    <row r="1567">
      <c r="A1567" s="102" t="str">
        <f t="shared" si="1"/>
        <v/>
      </c>
      <c r="B1567" s="94"/>
      <c r="C1567" s="95"/>
      <c r="D1567" s="96"/>
      <c r="E1567" s="97"/>
      <c r="F1567" s="109"/>
      <c r="G1567" s="99"/>
      <c r="H1567" s="102"/>
      <c r="I1567" s="95"/>
      <c r="J1567" s="93"/>
      <c r="K1567" s="102"/>
      <c r="L1567" s="101"/>
      <c r="M1567" s="102"/>
      <c r="N1567" s="102"/>
      <c r="O1567" s="102"/>
      <c r="P1567" s="102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</row>
    <row r="1568">
      <c r="A1568" s="77" t="str">
        <f t="shared" si="1"/>
        <v/>
      </c>
      <c r="B1568" s="78"/>
      <c r="C1568" s="82"/>
      <c r="D1568" s="83"/>
      <c r="E1568" s="84"/>
      <c r="F1568" s="114"/>
      <c r="G1568" s="86"/>
      <c r="H1568" s="77"/>
      <c r="I1568" s="82"/>
      <c r="J1568" s="87"/>
      <c r="K1568" s="77"/>
      <c r="L1568" s="89"/>
      <c r="M1568" s="77"/>
      <c r="N1568" s="77"/>
      <c r="O1568" s="77"/>
      <c r="P1568" s="77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</row>
    <row r="1569">
      <c r="A1569" s="102" t="str">
        <f t="shared" si="1"/>
        <v/>
      </c>
      <c r="B1569" s="94"/>
      <c r="C1569" s="95"/>
      <c r="D1569" s="96"/>
      <c r="E1569" s="97"/>
      <c r="F1569" s="109"/>
      <c r="G1569" s="99"/>
      <c r="H1569" s="102"/>
      <c r="I1569" s="95"/>
      <c r="J1569" s="93"/>
      <c r="K1569" s="102"/>
      <c r="L1569" s="101"/>
      <c r="M1569" s="102"/>
      <c r="N1569" s="102"/>
      <c r="O1569" s="102"/>
      <c r="P1569" s="102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</row>
    <row r="1570">
      <c r="A1570" s="77" t="str">
        <f t="shared" si="1"/>
        <v/>
      </c>
      <c r="B1570" s="78"/>
      <c r="C1570" s="82"/>
      <c r="D1570" s="83"/>
      <c r="E1570" s="84"/>
      <c r="F1570" s="114"/>
      <c r="G1570" s="86"/>
      <c r="H1570" s="77"/>
      <c r="I1570" s="82"/>
      <c r="J1570" s="87"/>
      <c r="K1570" s="77"/>
      <c r="L1570" s="89"/>
      <c r="M1570" s="77"/>
      <c r="N1570" s="77"/>
      <c r="O1570" s="77"/>
      <c r="P1570" s="77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</row>
    <row r="1571">
      <c r="A1571" s="102" t="str">
        <f t="shared" si="1"/>
        <v/>
      </c>
      <c r="B1571" s="94"/>
      <c r="C1571" s="95"/>
      <c r="D1571" s="96"/>
      <c r="E1571" s="97"/>
      <c r="F1571" s="109"/>
      <c r="G1571" s="99"/>
      <c r="H1571" s="102"/>
      <c r="I1571" s="95"/>
      <c r="J1571" s="93"/>
      <c r="K1571" s="102"/>
      <c r="L1571" s="101"/>
      <c r="M1571" s="102"/>
      <c r="N1571" s="102"/>
      <c r="O1571" s="102"/>
      <c r="P1571" s="102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</row>
    <row r="1572">
      <c r="A1572" s="77" t="str">
        <f t="shared" si="1"/>
        <v/>
      </c>
      <c r="B1572" s="78"/>
      <c r="C1572" s="82"/>
      <c r="D1572" s="83"/>
      <c r="E1572" s="84"/>
      <c r="F1572" s="114"/>
      <c r="G1572" s="86"/>
      <c r="H1572" s="77"/>
      <c r="I1572" s="82"/>
      <c r="J1572" s="87"/>
      <c r="K1572" s="77"/>
      <c r="L1572" s="89"/>
      <c r="M1572" s="77"/>
      <c r="N1572" s="77"/>
      <c r="O1572" s="77"/>
      <c r="P1572" s="77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</row>
    <row r="1573">
      <c r="A1573" s="102" t="str">
        <f t="shared" si="1"/>
        <v/>
      </c>
      <c r="B1573" s="94"/>
      <c r="C1573" s="95"/>
      <c r="D1573" s="96"/>
      <c r="E1573" s="97"/>
      <c r="F1573" s="109"/>
      <c r="G1573" s="99"/>
      <c r="H1573" s="102"/>
      <c r="I1573" s="95"/>
      <c r="J1573" s="93"/>
      <c r="K1573" s="102"/>
      <c r="L1573" s="101"/>
      <c r="M1573" s="102"/>
      <c r="N1573" s="102"/>
      <c r="O1573" s="102"/>
      <c r="P1573" s="102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</row>
    <row r="1574">
      <c r="A1574" s="77" t="str">
        <f t="shared" si="1"/>
        <v/>
      </c>
      <c r="B1574" s="78"/>
      <c r="C1574" s="82"/>
      <c r="D1574" s="83"/>
      <c r="E1574" s="84"/>
      <c r="F1574" s="114"/>
      <c r="G1574" s="86"/>
      <c r="H1574" s="77"/>
      <c r="I1574" s="82"/>
      <c r="J1574" s="87"/>
      <c r="K1574" s="77"/>
      <c r="L1574" s="89"/>
      <c r="M1574" s="77"/>
      <c r="N1574" s="77"/>
      <c r="O1574" s="77"/>
      <c r="P1574" s="77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</row>
    <row r="1575">
      <c r="A1575" s="102" t="str">
        <f t="shared" si="1"/>
        <v/>
      </c>
      <c r="B1575" s="94"/>
      <c r="C1575" s="95"/>
      <c r="D1575" s="96"/>
      <c r="E1575" s="97"/>
      <c r="F1575" s="109"/>
      <c r="G1575" s="99"/>
      <c r="H1575" s="102"/>
      <c r="I1575" s="95"/>
      <c r="J1575" s="93"/>
      <c r="K1575" s="102"/>
      <c r="L1575" s="101"/>
      <c r="M1575" s="102"/>
      <c r="N1575" s="102"/>
      <c r="O1575" s="102"/>
      <c r="P1575" s="102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</row>
    <row r="1576">
      <c r="A1576" s="77" t="str">
        <f t="shared" si="1"/>
        <v/>
      </c>
      <c r="B1576" s="78"/>
      <c r="C1576" s="82"/>
      <c r="D1576" s="83"/>
      <c r="E1576" s="84"/>
      <c r="F1576" s="114"/>
      <c r="G1576" s="86"/>
      <c r="H1576" s="77"/>
      <c r="I1576" s="82"/>
      <c r="J1576" s="87"/>
      <c r="K1576" s="77"/>
      <c r="L1576" s="89"/>
      <c r="M1576" s="77"/>
      <c r="N1576" s="77"/>
      <c r="O1576" s="77"/>
      <c r="P1576" s="77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</row>
    <row r="1577">
      <c r="A1577" s="102" t="str">
        <f t="shared" si="1"/>
        <v/>
      </c>
      <c r="B1577" s="94"/>
      <c r="C1577" s="95"/>
      <c r="D1577" s="96"/>
      <c r="E1577" s="97"/>
      <c r="F1577" s="109"/>
      <c r="G1577" s="99"/>
      <c r="H1577" s="102"/>
      <c r="I1577" s="95"/>
      <c r="J1577" s="93"/>
      <c r="K1577" s="102"/>
      <c r="L1577" s="101"/>
      <c r="M1577" s="102"/>
      <c r="N1577" s="102"/>
      <c r="O1577" s="102"/>
      <c r="P1577" s="102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</row>
    <row r="1578">
      <c r="A1578" s="77" t="str">
        <f t="shared" si="1"/>
        <v/>
      </c>
      <c r="B1578" s="78"/>
      <c r="C1578" s="82"/>
      <c r="D1578" s="83"/>
      <c r="E1578" s="84"/>
      <c r="F1578" s="114"/>
      <c r="G1578" s="86"/>
      <c r="H1578" s="77"/>
      <c r="I1578" s="82"/>
      <c r="J1578" s="87"/>
      <c r="K1578" s="77"/>
      <c r="L1578" s="89"/>
      <c r="M1578" s="77"/>
      <c r="N1578" s="77"/>
      <c r="O1578" s="77"/>
      <c r="P1578" s="77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</row>
    <row r="1579">
      <c r="A1579" s="102" t="str">
        <f t="shared" si="1"/>
        <v/>
      </c>
      <c r="B1579" s="94"/>
      <c r="C1579" s="95"/>
      <c r="D1579" s="96"/>
      <c r="E1579" s="97"/>
      <c r="F1579" s="109"/>
      <c r="G1579" s="99"/>
      <c r="H1579" s="102"/>
      <c r="I1579" s="95"/>
      <c r="J1579" s="93"/>
      <c r="K1579" s="102"/>
      <c r="L1579" s="101"/>
      <c r="M1579" s="102"/>
      <c r="N1579" s="102"/>
      <c r="O1579" s="102"/>
      <c r="P1579" s="102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</row>
    <row r="1580">
      <c r="A1580" s="77" t="str">
        <f t="shared" si="1"/>
        <v/>
      </c>
      <c r="B1580" s="78"/>
      <c r="C1580" s="82"/>
      <c r="D1580" s="83"/>
      <c r="E1580" s="84"/>
      <c r="F1580" s="114"/>
      <c r="G1580" s="86"/>
      <c r="H1580" s="77"/>
      <c r="I1580" s="82"/>
      <c r="J1580" s="87"/>
      <c r="K1580" s="77"/>
      <c r="L1580" s="89"/>
      <c r="M1580" s="77"/>
      <c r="N1580" s="77"/>
      <c r="O1580" s="77"/>
      <c r="P1580" s="77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</row>
    <row r="1581">
      <c r="A1581" s="102" t="str">
        <f t="shared" si="1"/>
        <v/>
      </c>
      <c r="B1581" s="94"/>
      <c r="C1581" s="95"/>
      <c r="D1581" s="96"/>
      <c r="E1581" s="97"/>
      <c r="F1581" s="109"/>
      <c r="G1581" s="99"/>
      <c r="H1581" s="102"/>
      <c r="I1581" s="95"/>
      <c r="J1581" s="93"/>
      <c r="K1581" s="102"/>
      <c r="L1581" s="101"/>
      <c r="M1581" s="102"/>
      <c r="N1581" s="102"/>
      <c r="O1581" s="102"/>
      <c r="P1581" s="102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</row>
    <row r="1582">
      <c r="A1582" s="77" t="str">
        <f t="shared" si="1"/>
        <v/>
      </c>
      <c r="B1582" s="78"/>
      <c r="C1582" s="82"/>
      <c r="D1582" s="83"/>
      <c r="E1582" s="84"/>
      <c r="F1582" s="114"/>
      <c r="G1582" s="86"/>
      <c r="H1582" s="77"/>
      <c r="I1582" s="82"/>
      <c r="J1582" s="87"/>
      <c r="K1582" s="77"/>
      <c r="L1582" s="89"/>
      <c r="M1582" s="77"/>
      <c r="N1582" s="77"/>
      <c r="O1582" s="77"/>
      <c r="P1582" s="77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</row>
    <row r="1583">
      <c r="A1583" s="102" t="str">
        <f t="shared" si="1"/>
        <v/>
      </c>
      <c r="B1583" s="94"/>
      <c r="C1583" s="95"/>
      <c r="D1583" s="96"/>
      <c r="E1583" s="97"/>
      <c r="F1583" s="109"/>
      <c r="G1583" s="99"/>
      <c r="H1583" s="102"/>
      <c r="I1583" s="95"/>
      <c r="J1583" s="93"/>
      <c r="K1583" s="102"/>
      <c r="L1583" s="101"/>
      <c r="M1583" s="102"/>
      <c r="N1583" s="102"/>
      <c r="O1583" s="102"/>
      <c r="P1583" s="102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</row>
    <row r="1584">
      <c r="A1584" s="77" t="str">
        <f t="shared" si="1"/>
        <v/>
      </c>
      <c r="B1584" s="78"/>
      <c r="C1584" s="82"/>
      <c r="D1584" s="83"/>
      <c r="E1584" s="84"/>
      <c r="F1584" s="114"/>
      <c r="G1584" s="86"/>
      <c r="H1584" s="77"/>
      <c r="I1584" s="82"/>
      <c r="J1584" s="87"/>
      <c r="K1584" s="77"/>
      <c r="L1584" s="89"/>
      <c r="M1584" s="77"/>
      <c r="N1584" s="77"/>
      <c r="O1584" s="77"/>
      <c r="P1584" s="77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</row>
    <row r="1585">
      <c r="A1585" s="102" t="str">
        <f t="shared" si="1"/>
        <v/>
      </c>
      <c r="B1585" s="94"/>
      <c r="C1585" s="95"/>
      <c r="D1585" s="96"/>
      <c r="E1585" s="97"/>
      <c r="F1585" s="109"/>
      <c r="G1585" s="99"/>
      <c r="H1585" s="102"/>
      <c r="I1585" s="95"/>
      <c r="J1585" s="93"/>
      <c r="K1585" s="102"/>
      <c r="L1585" s="101"/>
      <c r="M1585" s="102"/>
      <c r="N1585" s="102"/>
      <c r="O1585" s="102"/>
      <c r="P1585" s="102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</row>
    <row r="1586">
      <c r="A1586" s="77" t="str">
        <f t="shared" si="1"/>
        <v/>
      </c>
      <c r="B1586" s="78"/>
      <c r="C1586" s="82"/>
      <c r="D1586" s="83"/>
      <c r="E1586" s="84"/>
      <c r="F1586" s="114"/>
      <c r="G1586" s="86"/>
      <c r="H1586" s="77"/>
      <c r="I1586" s="82"/>
      <c r="J1586" s="87"/>
      <c r="K1586" s="77"/>
      <c r="L1586" s="89"/>
      <c r="M1586" s="77"/>
      <c r="N1586" s="77"/>
      <c r="O1586" s="77"/>
      <c r="P1586" s="77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</row>
    <row r="1587">
      <c r="A1587" s="102" t="str">
        <f t="shared" si="1"/>
        <v/>
      </c>
      <c r="B1587" s="94"/>
      <c r="C1587" s="95"/>
      <c r="D1587" s="96"/>
      <c r="E1587" s="97"/>
      <c r="F1587" s="109"/>
      <c r="G1587" s="99"/>
      <c r="H1587" s="102"/>
      <c r="I1587" s="95"/>
      <c r="J1587" s="93"/>
      <c r="K1587" s="102"/>
      <c r="L1587" s="101"/>
      <c r="M1587" s="102"/>
      <c r="N1587" s="102"/>
      <c r="O1587" s="102"/>
      <c r="P1587" s="102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</row>
    <row r="1588">
      <c r="A1588" s="77" t="str">
        <f t="shared" si="1"/>
        <v/>
      </c>
      <c r="B1588" s="78"/>
      <c r="C1588" s="82"/>
      <c r="D1588" s="83"/>
      <c r="E1588" s="84"/>
      <c r="F1588" s="114"/>
      <c r="G1588" s="86"/>
      <c r="H1588" s="77"/>
      <c r="I1588" s="82"/>
      <c r="J1588" s="87"/>
      <c r="K1588" s="77"/>
      <c r="L1588" s="89"/>
      <c r="M1588" s="77"/>
      <c r="N1588" s="77"/>
      <c r="O1588" s="77"/>
      <c r="P1588" s="77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</row>
    <row r="1589">
      <c r="A1589" s="102" t="str">
        <f t="shared" si="1"/>
        <v/>
      </c>
      <c r="B1589" s="94"/>
      <c r="C1589" s="95"/>
      <c r="D1589" s="96"/>
      <c r="E1589" s="97"/>
      <c r="F1589" s="109"/>
      <c r="G1589" s="99"/>
      <c r="H1589" s="102"/>
      <c r="I1589" s="95"/>
      <c r="J1589" s="93"/>
      <c r="K1589" s="102"/>
      <c r="L1589" s="101"/>
      <c r="M1589" s="102"/>
      <c r="N1589" s="102"/>
      <c r="O1589" s="102"/>
      <c r="P1589" s="102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</row>
    <row r="1590">
      <c r="A1590" s="77" t="str">
        <f t="shared" si="1"/>
        <v/>
      </c>
      <c r="B1590" s="78"/>
      <c r="C1590" s="82"/>
      <c r="D1590" s="83"/>
      <c r="E1590" s="84"/>
      <c r="F1590" s="114"/>
      <c r="G1590" s="86"/>
      <c r="H1590" s="77"/>
      <c r="I1590" s="82"/>
      <c r="J1590" s="87"/>
      <c r="K1590" s="77"/>
      <c r="L1590" s="89"/>
      <c r="M1590" s="77"/>
      <c r="N1590" s="77"/>
      <c r="O1590" s="77"/>
      <c r="P1590" s="77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</row>
    <row r="1591">
      <c r="A1591" s="102" t="str">
        <f t="shared" si="1"/>
        <v/>
      </c>
      <c r="B1591" s="94"/>
      <c r="C1591" s="95"/>
      <c r="D1591" s="96"/>
      <c r="E1591" s="97"/>
      <c r="F1591" s="109"/>
      <c r="G1591" s="99"/>
      <c r="H1591" s="102"/>
      <c r="I1591" s="95"/>
      <c r="J1591" s="93"/>
      <c r="K1591" s="102"/>
      <c r="L1591" s="101"/>
      <c r="M1591" s="102"/>
      <c r="N1591" s="102"/>
      <c r="O1591" s="102"/>
      <c r="P1591" s="102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</row>
    <row r="1592">
      <c r="A1592" s="77" t="str">
        <f t="shared" si="1"/>
        <v/>
      </c>
      <c r="B1592" s="78"/>
      <c r="C1592" s="82"/>
      <c r="D1592" s="83"/>
      <c r="E1592" s="84"/>
      <c r="F1592" s="114"/>
      <c r="G1592" s="86"/>
      <c r="H1592" s="77"/>
      <c r="I1592" s="82"/>
      <c r="J1592" s="87"/>
      <c r="K1592" s="77"/>
      <c r="L1592" s="89"/>
      <c r="M1592" s="77"/>
      <c r="N1592" s="77"/>
      <c r="O1592" s="77"/>
      <c r="P1592" s="77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</row>
    <row r="1593">
      <c r="A1593" s="102" t="str">
        <f t="shared" si="1"/>
        <v/>
      </c>
      <c r="B1593" s="94"/>
      <c r="C1593" s="95"/>
      <c r="D1593" s="96"/>
      <c r="E1593" s="97"/>
      <c r="F1593" s="109"/>
      <c r="G1593" s="99"/>
      <c r="H1593" s="102"/>
      <c r="I1593" s="95"/>
      <c r="J1593" s="93"/>
      <c r="K1593" s="102"/>
      <c r="L1593" s="101"/>
      <c r="M1593" s="102"/>
      <c r="N1593" s="102"/>
      <c r="O1593" s="102"/>
      <c r="P1593" s="102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</row>
    <row r="1594">
      <c r="A1594" s="77" t="str">
        <f t="shared" si="1"/>
        <v/>
      </c>
      <c r="B1594" s="78"/>
      <c r="C1594" s="82"/>
      <c r="D1594" s="83"/>
      <c r="E1594" s="84"/>
      <c r="F1594" s="114"/>
      <c r="G1594" s="86"/>
      <c r="H1594" s="77"/>
      <c r="I1594" s="82"/>
      <c r="J1594" s="87"/>
      <c r="K1594" s="77"/>
      <c r="L1594" s="89"/>
      <c r="M1594" s="77"/>
      <c r="N1594" s="77"/>
      <c r="O1594" s="77"/>
      <c r="P1594" s="77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</row>
    <row r="1595">
      <c r="A1595" s="102" t="str">
        <f t="shared" si="1"/>
        <v/>
      </c>
      <c r="B1595" s="94"/>
      <c r="C1595" s="95"/>
      <c r="D1595" s="96"/>
      <c r="E1595" s="97"/>
      <c r="F1595" s="109"/>
      <c r="G1595" s="99"/>
      <c r="H1595" s="102"/>
      <c r="I1595" s="95"/>
      <c r="J1595" s="93"/>
      <c r="K1595" s="102"/>
      <c r="L1595" s="101"/>
      <c r="M1595" s="102"/>
      <c r="N1595" s="102"/>
      <c r="O1595" s="102"/>
      <c r="P1595" s="102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</row>
    <row r="1596">
      <c r="A1596" s="77" t="str">
        <f t="shared" si="1"/>
        <v/>
      </c>
      <c r="B1596" s="78"/>
      <c r="C1596" s="82"/>
      <c r="D1596" s="83"/>
      <c r="E1596" s="84"/>
      <c r="F1596" s="114"/>
      <c r="G1596" s="86"/>
      <c r="H1596" s="77"/>
      <c r="I1596" s="82"/>
      <c r="J1596" s="87"/>
      <c r="K1596" s="77"/>
      <c r="L1596" s="89"/>
      <c r="M1596" s="77"/>
      <c r="N1596" s="77"/>
      <c r="O1596" s="77"/>
      <c r="P1596" s="77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</row>
    <row r="1597">
      <c r="A1597" s="102" t="str">
        <f t="shared" si="1"/>
        <v/>
      </c>
      <c r="B1597" s="94"/>
      <c r="C1597" s="95"/>
      <c r="D1597" s="96"/>
      <c r="E1597" s="97"/>
      <c r="F1597" s="109"/>
      <c r="G1597" s="99"/>
      <c r="H1597" s="102"/>
      <c r="I1597" s="95"/>
      <c r="J1597" s="93"/>
      <c r="K1597" s="102"/>
      <c r="L1597" s="101"/>
      <c r="M1597" s="102"/>
      <c r="N1597" s="102"/>
      <c r="O1597" s="102"/>
      <c r="P1597" s="102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</row>
    <row r="1598">
      <c r="A1598" s="77" t="str">
        <f t="shared" si="1"/>
        <v/>
      </c>
      <c r="B1598" s="78"/>
      <c r="C1598" s="82"/>
      <c r="D1598" s="83"/>
      <c r="E1598" s="84"/>
      <c r="F1598" s="114"/>
      <c r="G1598" s="86"/>
      <c r="H1598" s="77"/>
      <c r="I1598" s="82"/>
      <c r="J1598" s="87"/>
      <c r="K1598" s="77"/>
      <c r="L1598" s="89"/>
      <c r="M1598" s="77"/>
      <c r="N1598" s="77"/>
      <c r="O1598" s="77"/>
      <c r="P1598" s="77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</row>
    <row r="1599">
      <c r="A1599" s="102" t="str">
        <f t="shared" si="1"/>
        <v/>
      </c>
      <c r="B1599" s="94"/>
      <c r="C1599" s="95"/>
      <c r="D1599" s="96"/>
      <c r="E1599" s="97"/>
      <c r="F1599" s="109"/>
      <c r="G1599" s="99"/>
      <c r="H1599" s="102"/>
      <c r="I1599" s="95"/>
      <c r="J1599" s="93"/>
      <c r="K1599" s="102"/>
      <c r="L1599" s="101"/>
      <c r="M1599" s="102"/>
      <c r="N1599" s="102"/>
      <c r="O1599" s="102"/>
      <c r="P1599" s="102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</row>
    <row r="1600">
      <c r="A1600" s="77" t="str">
        <f t="shared" si="1"/>
        <v/>
      </c>
      <c r="B1600" s="78"/>
      <c r="C1600" s="82"/>
      <c r="D1600" s="83"/>
      <c r="E1600" s="84"/>
      <c r="F1600" s="114"/>
      <c r="G1600" s="86"/>
      <c r="H1600" s="77"/>
      <c r="I1600" s="82"/>
      <c r="J1600" s="87"/>
      <c r="K1600" s="77"/>
      <c r="L1600" s="89"/>
      <c r="M1600" s="77"/>
      <c r="N1600" s="77"/>
      <c r="O1600" s="77"/>
      <c r="P1600" s="77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</row>
    <row r="1601">
      <c r="A1601" s="102" t="str">
        <f t="shared" si="1"/>
        <v/>
      </c>
      <c r="B1601" s="94"/>
      <c r="C1601" s="95"/>
      <c r="D1601" s="96"/>
      <c r="E1601" s="97"/>
      <c r="F1601" s="109"/>
      <c r="G1601" s="99"/>
      <c r="H1601" s="102"/>
      <c r="I1601" s="95"/>
      <c r="J1601" s="93"/>
      <c r="K1601" s="102"/>
      <c r="L1601" s="101"/>
      <c r="M1601" s="102"/>
      <c r="N1601" s="102"/>
      <c r="O1601" s="102"/>
      <c r="P1601" s="102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</row>
    <row r="1602">
      <c r="A1602" s="77" t="str">
        <f t="shared" si="1"/>
        <v/>
      </c>
      <c r="B1602" s="78"/>
      <c r="C1602" s="82"/>
      <c r="D1602" s="83"/>
      <c r="E1602" s="84"/>
      <c r="F1602" s="114"/>
      <c r="G1602" s="86"/>
      <c r="H1602" s="77"/>
      <c r="I1602" s="82"/>
      <c r="J1602" s="87"/>
      <c r="K1602" s="77"/>
      <c r="L1602" s="89"/>
      <c r="M1602" s="77"/>
      <c r="N1602" s="77"/>
      <c r="O1602" s="77"/>
      <c r="P1602" s="77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</row>
    <row r="1603">
      <c r="A1603" s="102" t="str">
        <f t="shared" si="1"/>
        <v/>
      </c>
      <c r="B1603" s="94"/>
      <c r="C1603" s="95"/>
      <c r="D1603" s="96"/>
      <c r="E1603" s="97"/>
      <c r="F1603" s="109"/>
      <c r="G1603" s="99"/>
      <c r="H1603" s="102"/>
      <c r="I1603" s="95"/>
      <c r="J1603" s="93"/>
      <c r="K1603" s="102"/>
      <c r="L1603" s="101"/>
      <c r="M1603" s="102"/>
      <c r="N1603" s="102"/>
      <c r="O1603" s="102"/>
      <c r="P1603" s="102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</row>
    <row r="1604">
      <c r="A1604" s="77" t="str">
        <f t="shared" si="1"/>
        <v/>
      </c>
      <c r="B1604" s="78"/>
      <c r="C1604" s="82"/>
      <c r="D1604" s="83"/>
      <c r="E1604" s="84"/>
      <c r="F1604" s="114"/>
      <c r="G1604" s="86"/>
      <c r="H1604" s="77"/>
      <c r="I1604" s="82"/>
      <c r="J1604" s="87"/>
      <c r="K1604" s="77"/>
      <c r="L1604" s="89"/>
      <c r="M1604" s="77"/>
      <c r="N1604" s="77"/>
      <c r="O1604" s="77"/>
      <c r="P1604" s="77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</row>
    <row r="1605">
      <c r="A1605" s="102" t="str">
        <f t="shared" si="1"/>
        <v/>
      </c>
      <c r="B1605" s="94"/>
      <c r="C1605" s="95"/>
      <c r="D1605" s="96"/>
      <c r="E1605" s="97"/>
      <c r="F1605" s="109"/>
      <c r="G1605" s="99"/>
      <c r="H1605" s="102"/>
      <c r="I1605" s="95"/>
      <c r="J1605" s="93"/>
      <c r="K1605" s="102"/>
      <c r="L1605" s="101"/>
      <c r="M1605" s="102"/>
      <c r="N1605" s="102"/>
      <c r="O1605" s="102"/>
      <c r="P1605" s="102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</row>
    <row r="1606">
      <c r="A1606" s="77" t="str">
        <f t="shared" si="1"/>
        <v/>
      </c>
      <c r="B1606" s="78"/>
      <c r="C1606" s="82"/>
      <c r="D1606" s="83"/>
      <c r="E1606" s="84"/>
      <c r="F1606" s="114"/>
      <c r="G1606" s="86"/>
      <c r="H1606" s="77"/>
      <c r="I1606" s="82"/>
      <c r="J1606" s="87"/>
      <c r="K1606" s="77"/>
      <c r="L1606" s="89"/>
      <c r="M1606" s="77"/>
      <c r="N1606" s="77"/>
      <c r="O1606" s="77"/>
      <c r="P1606" s="77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</row>
    <row r="1607">
      <c r="A1607" s="102" t="str">
        <f t="shared" si="1"/>
        <v/>
      </c>
      <c r="B1607" s="94"/>
      <c r="C1607" s="95"/>
      <c r="D1607" s="96"/>
      <c r="E1607" s="97"/>
      <c r="F1607" s="109"/>
      <c r="G1607" s="99"/>
      <c r="H1607" s="102"/>
      <c r="I1607" s="95"/>
      <c r="J1607" s="93"/>
      <c r="K1607" s="102"/>
      <c r="L1607" s="101"/>
      <c r="M1607" s="102"/>
      <c r="N1607" s="102"/>
      <c r="O1607" s="102"/>
      <c r="P1607" s="102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</row>
    <row r="1608">
      <c r="A1608" s="77" t="str">
        <f t="shared" si="1"/>
        <v/>
      </c>
      <c r="B1608" s="78"/>
      <c r="C1608" s="82"/>
      <c r="D1608" s="83"/>
      <c r="E1608" s="84"/>
      <c r="F1608" s="114"/>
      <c r="G1608" s="86"/>
      <c r="H1608" s="77"/>
      <c r="I1608" s="82"/>
      <c r="J1608" s="87"/>
      <c r="K1608" s="77"/>
      <c r="L1608" s="89"/>
      <c r="M1608" s="77"/>
      <c r="N1608" s="77"/>
      <c r="O1608" s="77"/>
      <c r="P1608" s="77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</row>
    <row r="1609">
      <c r="A1609" s="102" t="str">
        <f t="shared" si="1"/>
        <v/>
      </c>
      <c r="B1609" s="94"/>
      <c r="C1609" s="95"/>
      <c r="D1609" s="96"/>
      <c r="E1609" s="97"/>
      <c r="F1609" s="109"/>
      <c r="G1609" s="99"/>
      <c r="H1609" s="102"/>
      <c r="I1609" s="95"/>
      <c r="J1609" s="93"/>
      <c r="K1609" s="102"/>
      <c r="L1609" s="101"/>
      <c r="M1609" s="102"/>
      <c r="N1609" s="102"/>
      <c r="O1609" s="102"/>
      <c r="P1609" s="102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</row>
    <row r="1610">
      <c r="A1610" s="77" t="str">
        <f t="shared" si="1"/>
        <v/>
      </c>
      <c r="B1610" s="78"/>
      <c r="C1610" s="82"/>
      <c r="D1610" s="83"/>
      <c r="E1610" s="84"/>
      <c r="F1610" s="114"/>
      <c r="G1610" s="86"/>
      <c r="H1610" s="77"/>
      <c r="I1610" s="82"/>
      <c r="J1610" s="87"/>
      <c r="K1610" s="77"/>
      <c r="L1610" s="89"/>
      <c r="M1610" s="77"/>
      <c r="N1610" s="77"/>
      <c r="O1610" s="77"/>
      <c r="P1610" s="77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</row>
    <row r="1611">
      <c r="A1611" s="102" t="str">
        <f t="shared" si="1"/>
        <v/>
      </c>
      <c r="B1611" s="94"/>
      <c r="C1611" s="95"/>
      <c r="D1611" s="96"/>
      <c r="E1611" s="97"/>
      <c r="F1611" s="109"/>
      <c r="G1611" s="99"/>
      <c r="H1611" s="102"/>
      <c r="I1611" s="95"/>
      <c r="J1611" s="93"/>
      <c r="K1611" s="102"/>
      <c r="L1611" s="101"/>
      <c r="M1611" s="102"/>
      <c r="N1611" s="102"/>
      <c r="O1611" s="102"/>
      <c r="P1611" s="102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</row>
    <row r="1612">
      <c r="A1612" s="77" t="str">
        <f t="shared" si="1"/>
        <v/>
      </c>
      <c r="B1612" s="78"/>
      <c r="C1612" s="82"/>
      <c r="D1612" s="83"/>
      <c r="E1612" s="84"/>
      <c r="F1612" s="114"/>
      <c r="G1612" s="86"/>
      <c r="H1612" s="77"/>
      <c r="I1612" s="82"/>
      <c r="J1612" s="87"/>
      <c r="K1612" s="77"/>
      <c r="L1612" s="89"/>
      <c r="M1612" s="77"/>
      <c r="N1612" s="77"/>
      <c r="O1612" s="77"/>
      <c r="P1612" s="77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</row>
    <row r="1613">
      <c r="A1613" s="102" t="str">
        <f t="shared" si="1"/>
        <v/>
      </c>
      <c r="B1613" s="94"/>
      <c r="C1613" s="95"/>
      <c r="D1613" s="96"/>
      <c r="E1613" s="97"/>
      <c r="F1613" s="109"/>
      <c r="G1613" s="99"/>
      <c r="H1613" s="102"/>
      <c r="I1613" s="95"/>
      <c r="J1613" s="93"/>
      <c r="K1613" s="102"/>
      <c r="L1613" s="101"/>
      <c r="M1613" s="102"/>
      <c r="N1613" s="102"/>
      <c r="O1613" s="102"/>
      <c r="P1613" s="102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</row>
    <row r="1614">
      <c r="A1614" s="77" t="str">
        <f t="shared" si="1"/>
        <v/>
      </c>
      <c r="B1614" s="78"/>
      <c r="C1614" s="82"/>
      <c r="D1614" s="83"/>
      <c r="E1614" s="84"/>
      <c r="F1614" s="114"/>
      <c r="G1614" s="86"/>
      <c r="H1614" s="77"/>
      <c r="I1614" s="82"/>
      <c r="J1614" s="87"/>
      <c r="K1614" s="77"/>
      <c r="L1614" s="89"/>
      <c r="M1614" s="77"/>
      <c r="N1614" s="77"/>
      <c r="O1614" s="77"/>
      <c r="P1614" s="77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</row>
    <row r="1615">
      <c r="A1615" s="102" t="str">
        <f t="shared" si="1"/>
        <v/>
      </c>
      <c r="B1615" s="94"/>
      <c r="C1615" s="95"/>
      <c r="D1615" s="96"/>
      <c r="E1615" s="97"/>
      <c r="F1615" s="109"/>
      <c r="G1615" s="99"/>
      <c r="H1615" s="102"/>
      <c r="I1615" s="95"/>
      <c r="J1615" s="93"/>
      <c r="K1615" s="102"/>
      <c r="L1615" s="101"/>
      <c r="M1615" s="102"/>
      <c r="N1615" s="102"/>
      <c r="O1615" s="102"/>
      <c r="P1615" s="102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</row>
    <row r="1616">
      <c r="A1616" s="77" t="str">
        <f t="shared" si="1"/>
        <v/>
      </c>
      <c r="B1616" s="78"/>
      <c r="C1616" s="82"/>
      <c r="D1616" s="83"/>
      <c r="E1616" s="84"/>
      <c r="F1616" s="114"/>
      <c r="G1616" s="86"/>
      <c r="H1616" s="77"/>
      <c r="I1616" s="82"/>
      <c r="J1616" s="87"/>
      <c r="K1616" s="77"/>
      <c r="L1616" s="89"/>
      <c r="M1616" s="77"/>
      <c r="N1616" s="77"/>
      <c r="O1616" s="77"/>
      <c r="P1616" s="77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</row>
    <row r="1617">
      <c r="A1617" s="102" t="str">
        <f t="shared" si="1"/>
        <v/>
      </c>
      <c r="B1617" s="94"/>
      <c r="C1617" s="95"/>
      <c r="D1617" s="96"/>
      <c r="E1617" s="97"/>
      <c r="F1617" s="109"/>
      <c r="G1617" s="99"/>
      <c r="H1617" s="102"/>
      <c r="I1617" s="95"/>
      <c r="J1617" s="93"/>
      <c r="K1617" s="102"/>
      <c r="L1617" s="101"/>
      <c r="M1617" s="102"/>
      <c r="N1617" s="102"/>
      <c r="O1617" s="102"/>
      <c r="P1617" s="102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</row>
    <row r="1618">
      <c r="A1618" s="77" t="str">
        <f t="shared" si="1"/>
        <v/>
      </c>
      <c r="B1618" s="78"/>
      <c r="C1618" s="82"/>
      <c r="D1618" s="83"/>
      <c r="E1618" s="84"/>
      <c r="F1618" s="114"/>
      <c r="G1618" s="86"/>
      <c r="H1618" s="77"/>
      <c r="I1618" s="82"/>
      <c r="J1618" s="87"/>
      <c r="K1618" s="77"/>
      <c r="L1618" s="89"/>
      <c r="M1618" s="77"/>
      <c r="N1618" s="77"/>
      <c r="O1618" s="77"/>
      <c r="P1618" s="77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</row>
    <row r="1619">
      <c r="A1619" s="102" t="str">
        <f t="shared" si="1"/>
        <v/>
      </c>
      <c r="B1619" s="94"/>
      <c r="C1619" s="95"/>
      <c r="D1619" s="96"/>
      <c r="E1619" s="97"/>
      <c r="F1619" s="109"/>
      <c r="G1619" s="99"/>
      <c r="H1619" s="102"/>
      <c r="I1619" s="95"/>
      <c r="J1619" s="93"/>
      <c r="K1619" s="102"/>
      <c r="L1619" s="101"/>
      <c r="M1619" s="102"/>
      <c r="N1619" s="102"/>
      <c r="O1619" s="102"/>
      <c r="P1619" s="102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</row>
    <row r="1620">
      <c r="A1620" s="77" t="str">
        <f t="shared" si="1"/>
        <v/>
      </c>
      <c r="B1620" s="78"/>
      <c r="C1620" s="82"/>
      <c r="D1620" s="83"/>
      <c r="E1620" s="84"/>
      <c r="F1620" s="114"/>
      <c r="G1620" s="86"/>
      <c r="H1620" s="77"/>
      <c r="I1620" s="82"/>
      <c r="J1620" s="87"/>
      <c r="K1620" s="77"/>
      <c r="L1620" s="89"/>
      <c r="M1620" s="77"/>
      <c r="N1620" s="77"/>
      <c r="O1620" s="77"/>
      <c r="P1620" s="77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</row>
    <row r="1621">
      <c r="A1621" s="102" t="str">
        <f t="shared" si="1"/>
        <v/>
      </c>
      <c r="B1621" s="94"/>
      <c r="C1621" s="95"/>
      <c r="D1621" s="96"/>
      <c r="E1621" s="97"/>
      <c r="F1621" s="109"/>
      <c r="G1621" s="99"/>
      <c r="H1621" s="102"/>
      <c r="I1621" s="95"/>
      <c r="J1621" s="93"/>
      <c r="K1621" s="102"/>
      <c r="L1621" s="101"/>
      <c r="M1621" s="102"/>
      <c r="N1621" s="102"/>
      <c r="O1621" s="102"/>
      <c r="P1621" s="102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</row>
    <row r="1622">
      <c r="A1622" s="77" t="str">
        <f t="shared" si="1"/>
        <v/>
      </c>
      <c r="B1622" s="78"/>
      <c r="C1622" s="82"/>
      <c r="D1622" s="83"/>
      <c r="E1622" s="84"/>
      <c r="F1622" s="114"/>
      <c r="G1622" s="86"/>
      <c r="H1622" s="77"/>
      <c r="I1622" s="82"/>
      <c r="J1622" s="87"/>
      <c r="K1622" s="77"/>
      <c r="L1622" s="89"/>
      <c r="M1622" s="77"/>
      <c r="N1622" s="77"/>
      <c r="O1622" s="77"/>
      <c r="P1622" s="77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</row>
    <row r="1623">
      <c r="A1623" s="102" t="str">
        <f t="shared" si="1"/>
        <v/>
      </c>
      <c r="B1623" s="94"/>
      <c r="C1623" s="95"/>
      <c r="D1623" s="96"/>
      <c r="E1623" s="97"/>
      <c r="F1623" s="109"/>
      <c r="G1623" s="99"/>
      <c r="H1623" s="102"/>
      <c r="I1623" s="95"/>
      <c r="J1623" s="93"/>
      <c r="K1623" s="102"/>
      <c r="L1623" s="101"/>
      <c r="M1623" s="102"/>
      <c r="N1623" s="102"/>
      <c r="O1623" s="102"/>
      <c r="P1623" s="102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</row>
    <row r="1624">
      <c r="A1624" s="77" t="str">
        <f t="shared" si="1"/>
        <v/>
      </c>
      <c r="B1624" s="78"/>
      <c r="C1624" s="82"/>
      <c r="D1624" s="83"/>
      <c r="E1624" s="84"/>
      <c r="F1624" s="114"/>
      <c r="G1624" s="86"/>
      <c r="H1624" s="77"/>
      <c r="I1624" s="82"/>
      <c r="J1624" s="87"/>
      <c r="K1624" s="77"/>
      <c r="L1624" s="89"/>
      <c r="M1624" s="77"/>
      <c r="N1624" s="77"/>
      <c r="O1624" s="77"/>
      <c r="P1624" s="77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</row>
    <row r="1625">
      <c r="A1625" s="102" t="str">
        <f t="shared" si="1"/>
        <v/>
      </c>
      <c r="B1625" s="94"/>
      <c r="C1625" s="95"/>
      <c r="D1625" s="96"/>
      <c r="E1625" s="97"/>
      <c r="F1625" s="109"/>
      <c r="G1625" s="99"/>
      <c r="H1625" s="102"/>
      <c r="I1625" s="95"/>
      <c r="J1625" s="93"/>
      <c r="K1625" s="102"/>
      <c r="L1625" s="101"/>
      <c r="M1625" s="102"/>
      <c r="N1625" s="102"/>
      <c r="O1625" s="102"/>
      <c r="P1625" s="102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</row>
    <row r="1626">
      <c r="A1626" s="77" t="str">
        <f t="shared" si="1"/>
        <v/>
      </c>
      <c r="B1626" s="78"/>
      <c r="C1626" s="82"/>
      <c r="D1626" s="83"/>
      <c r="E1626" s="84"/>
      <c r="F1626" s="114"/>
      <c r="G1626" s="86"/>
      <c r="H1626" s="77"/>
      <c r="I1626" s="82"/>
      <c r="J1626" s="87"/>
      <c r="K1626" s="77"/>
      <c r="L1626" s="89"/>
      <c r="M1626" s="77"/>
      <c r="N1626" s="77"/>
      <c r="O1626" s="77"/>
      <c r="P1626" s="77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</row>
    <row r="1627">
      <c r="A1627" s="102" t="str">
        <f t="shared" si="1"/>
        <v/>
      </c>
      <c r="B1627" s="94"/>
      <c r="C1627" s="95"/>
      <c r="D1627" s="96"/>
      <c r="E1627" s="97"/>
      <c r="F1627" s="109"/>
      <c r="G1627" s="99"/>
      <c r="H1627" s="102"/>
      <c r="I1627" s="95"/>
      <c r="J1627" s="93"/>
      <c r="K1627" s="102"/>
      <c r="L1627" s="101"/>
      <c r="M1627" s="102"/>
      <c r="N1627" s="102"/>
      <c r="O1627" s="102"/>
      <c r="P1627" s="102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</row>
    <row r="1628">
      <c r="A1628" s="77" t="str">
        <f t="shared" si="1"/>
        <v/>
      </c>
      <c r="B1628" s="78"/>
      <c r="C1628" s="82"/>
      <c r="D1628" s="83"/>
      <c r="E1628" s="84"/>
      <c r="F1628" s="114"/>
      <c r="G1628" s="86"/>
      <c r="H1628" s="77"/>
      <c r="I1628" s="82"/>
      <c r="J1628" s="87"/>
      <c r="K1628" s="77"/>
      <c r="L1628" s="89"/>
      <c r="M1628" s="77"/>
      <c r="N1628" s="77"/>
      <c r="O1628" s="77"/>
      <c r="P1628" s="77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</row>
    <row r="1629">
      <c r="A1629" s="102" t="str">
        <f t="shared" si="1"/>
        <v/>
      </c>
      <c r="B1629" s="94"/>
      <c r="C1629" s="95"/>
      <c r="D1629" s="96"/>
      <c r="E1629" s="97"/>
      <c r="F1629" s="109"/>
      <c r="G1629" s="99"/>
      <c r="H1629" s="102"/>
      <c r="I1629" s="95"/>
      <c r="J1629" s="93"/>
      <c r="K1629" s="102"/>
      <c r="L1629" s="101"/>
      <c r="M1629" s="102"/>
      <c r="N1629" s="102"/>
      <c r="O1629" s="102"/>
      <c r="P1629" s="102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</row>
    <row r="1630">
      <c r="A1630" s="77" t="str">
        <f t="shared" si="1"/>
        <v/>
      </c>
      <c r="B1630" s="78"/>
      <c r="C1630" s="82"/>
      <c r="D1630" s="83"/>
      <c r="E1630" s="84"/>
      <c r="F1630" s="114"/>
      <c r="G1630" s="86"/>
      <c r="H1630" s="77"/>
      <c r="I1630" s="82"/>
      <c r="J1630" s="87"/>
      <c r="K1630" s="77"/>
      <c r="L1630" s="89"/>
      <c r="M1630" s="77"/>
      <c r="N1630" s="77"/>
      <c r="O1630" s="77"/>
      <c r="P1630" s="77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</row>
    <row r="1631">
      <c r="A1631" s="102" t="str">
        <f t="shared" si="1"/>
        <v/>
      </c>
      <c r="B1631" s="94"/>
      <c r="C1631" s="95"/>
      <c r="D1631" s="96"/>
      <c r="E1631" s="97"/>
      <c r="F1631" s="109"/>
      <c r="G1631" s="99"/>
      <c r="H1631" s="102"/>
      <c r="I1631" s="95"/>
      <c r="J1631" s="93"/>
      <c r="K1631" s="102"/>
      <c r="L1631" s="101"/>
      <c r="M1631" s="102"/>
      <c r="N1631" s="102"/>
      <c r="O1631" s="102"/>
      <c r="P1631" s="102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</row>
    <row r="1632">
      <c r="A1632" s="77" t="str">
        <f t="shared" si="1"/>
        <v/>
      </c>
      <c r="B1632" s="78"/>
      <c r="C1632" s="82"/>
      <c r="D1632" s="83"/>
      <c r="E1632" s="84"/>
      <c r="F1632" s="114"/>
      <c r="G1632" s="86"/>
      <c r="H1632" s="77"/>
      <c r="I1632" s="82"/>
      <c r="J1632" s="87"/>
      <c r="K1632" s="77"/>
      <c r="L1632" s="89"/>
      <c r="M1632" s="77"/>
      <c r="N1632" s="77"/>
      <c r="O1632" s="77"/>
      <c r="P1632" s="77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</row>
    <row r="1633">
      <c r="A1633" s="102" t="str">
        <f t="shared" si="1"/>
        <v/>
      </c>
      <c r="B1633" s="94"/>
      <c r="C1633" s="95"/>
      <c r="D1633" s="96"/>
      <c r="E1633" s="97"/>
      <c r="F1633" s="109"/>
      <c r="G1633" s="99"/>
      <c r="H1633" s="102"/>
      <c r="I1633" s="95"/>
      <c r="J1633" s="93"/>
      <c r="K1633" s="102"/>
      <c r="L1633" s="101"/>
      <c r="M1633" s="102"/>
      <c r="N1633" s="102"/>
      <c r="O1633" s="102"/>
      <c r="P1633" s="102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</row>
    <row r="1634">
      <c r="A1634" s="77" t="str">
        <f t="shared" si="1"/>
        <v/>
      </c>
      <c r="B1634" s="78"/>
      <c r="C1634" s="82"/>
      <c r="D1634" s="83"/>
      <c r="E1634" s="84"/>
      <c r="F1634" s="114"/>
      <c r="G1634" s="86"/>
      <c r="H1634" s="77"/>
      <c r="I1634" s="82"/>
      <c r="J1634" s="87"/>
      <c r="K1634" s="77"/>
      <c r="L1634" s="89"/>
      <c r="M1634" s="77"/>
      <c r="N1634" s="77"/>
      <c r="O1634" s="77"/>
      <c r="P1634" s="77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</row>
    <row r="1635">
      <c r="A1635" s="102" t="str">
        <f t="shared" si="1"/>
        <v/>
      </c>
      <c r="B1635" s="94"/>
      <c r="C1635" s="95"/>
      <c r="D1635" s="96"/>
      <c r="E1635" s="97"/>
      <c r="F1635" s="109"/>
      <c r="G1635" s="99"/>
      <c r="H1635" s="102"/>
      <c r="I1635" s="95"/>
      <c r="J1635" s="93"/>
      <c r="K1635" s="102"/>
      <c r="L1635" s="101"/>
      <c r="M1635" s="102"/>
      <c r="N1635" s="102"/>
      <c r="O1635" s="102"/>
      <c r="P1635" s="102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</row>
    <row r="1636">
      <c r="A1636" s="77" t="str">
        <f t="shared" si="1"/>
        <v/>
      </c>
      <c r="B1636" s="78"/>
      <c r="C1636" s="82"/>
      <c r="D1636" s="83"/>
      <c r="E1636" s="84"/>
      <c r="F1636" s="114"/>
      <c r="G1636" s="86"/>
      <c r="H1636" s="77"/>
      <c r="I1636" s="82"/>
      <c r="J1636" s="87"/>
      <c r="K1636" s="77"/>
      <c r="L1636" s="89"/>
      <c r="M1636" s="77"/>
      <c r="N1636" s="77"/>
      <c r="O1636" s="77"/>
      <c r="P1636" s="77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</row>
    <row r="1637">
      <c r="A1637" s="102" t="str">
        <f t="shared" si="1"/>
        <v/>
      </c>
      <c r="B1637" s="94"/>
      <c r="C1637" s="95"/>
      <c r="D1637" s="96"/>
      <c r="E1637" s="97"/>
      <c r="F1637" s="109"/>
      <c r="G1637" s="99"/>
      <c r="H1637" s="102"/>
      <c r="I1637" s="95"/>
      <c r="J1637" s="93"/>
      <c r="K1637" s="102"/>
      <c r="L1637" s="101"/>
      <c r="M1637" s="102"/>
      <c r="N1637" s="102"/>
      <c r="O1637" s="102"/>
      <c r="P1637" s="102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</row>
    <row r="1638">
      <c r="A1638" s="77" t="str">
        <f t="shared" si="1"/>
        <v/>
      </c>
      <c r="B1638" s="78"/>
      <c r="C1638" s="82"/>
      <c r="D1638" s="83"/>
      <c r="E1638" s="84"/>
      <c r="F1638" s="114"/>
      <c r="G1638" s="86"/>
      <c r="H1638" s="77"/>
      <c r="I1638" s="82"/>
      <c r="J1638" s="87"/>
      <c r="K1638" s="77"/>
      <c r="L1638" s="89"/>
      <c r="M1638" s="77"/>
      <c r="N1638" s="77"/>
      <c r="O1638" s="77"/>
      <c r="P1638" s="77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</row>
    <row r="1639">
      <c r="A1639" s="102" t="str">
        <f t="shared" si="1"/>
        <v/>
      </c>
      <c r="B1639" s="94"/>
      <c r="C1639" s="95"/>
      <c r="D1639" s="96"/>
      <c r="E1639" s="97"/>
      <c r="F1639" s="109"/>
      <c r="G1639" s="99"/>
      <c r="H1639" s="102"/>
      <c r="I1639" s="95"/>
      <c r="J1639" s="93"/>
      <c r="K1639" s="102"/>
      <c r="L1639" s="101"/>
      <c r="M1639" s="102"/>
      <c r="N1639" s="102"/>
      <c r="O1639" s="102"/>
      <c r="P1639" s="102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</row>
    <row r="1640">
      <c r="A1640" s="77" t="str">
        <f t="shared" si="1"/>
        <v/>
      </c>
      <c r="B1640" s="78"/>
      <c r="C1640" s="82"/>
      <c r="D1640" s="83"/>
      <c r="E1640" s="84"/>
      <c r="F1640" s="114"/>
      <c r="G1640" s="86"/>
      <c r="H1640" s="77"/>
      <c r="I1640" s="82"/>
      <c r="J1640" s="87"/>
      <c r="K1640" s="77"/>
      <c r="L1640" s="89"/>
      <c r="M1640" s="77"/>
      <c r="N1640" s="77"/>
      <c r="O1640" s="77"/>
      <c r="P1640" s="77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</row>
    <row r="1641">
      <c r="A1641" s="102" t="str">
        <f t="shared" si="1"/>
        <v/>
      </c>
      <c r="B1641" s="94"/>
      <c r="C1641" s="95"/>
      <c r="D1641" s="96"/>
      <c r="E1641" s="97"/>
      <c r="F1641" s="109"/>
      <c r="G1641" s="99"/>
      <c r="H1641" s="102"/>
      <c r="I1641" s="95"/>
      <c r="J1641" s="93"/>
      <c r="K1641" s="102"/>
      <c r="L1641" s="101"/>
      <c r="M1641" s="102"/>
      <c r="N1641" s="102"/>
      <c r="O1641" s="102"/>
      <c r="P1641" s="102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</row>
    <row r="1642">
      <c r="A1642" s="77" t="str">
        <f t="shared" si="1"/>
        <v/>
      </c>
      <c r="B1642" s="78"/>
      <c r="C1642" s="82"/>
      <c r="D1642" s="83"/>
      <c r="E1642" s="84"/>
      <c r="F1642" s="114"/>
      <c r="G1642" s="86"/>
      <c r="H1642" s="77"/>
      <c r="I1642" s="82"/>
      <c r="J1642" s="87"/>
      <c r="K1642" s="77"/>
      <c r="L1642" s="89"/>
      <c r="M1642" s="77"/>
      <c r="N1642" s="77"/>
      <c r="O1642" s="77"/>
      <c r="P1642" s="77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</row>
    <row r="1643">
      <c r="A1643" s="102" t="str">
        <f t="shared" si="1"/>
        <v/>
      </c>
      <c r="B1643" s="94"/>
      <c r="C1643" s="95"/>
      <c r="D1643" s="96"/>
      <c r="E1643" s="97"/>
      <c r="F1643" s="109"/>
      <c r="G1643" s="99"/>
      <c r="H1643" s="102"/>
      <c r="I1643" s="95"/>
      <c r="J1643" s="93"/>
      <c r="K1643" s="102"/>
      <c r="L1643" s="101"/>
      <c r="M1643" s="102"/>
      <c r="N1643" s="102"/>
      <c r="O1643" s="102"/>
      <c r="P1643" s="102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</row>
    <row r="1644">
      <c r="A1644" s="77" t="str">
        <f t="shared" si="1"/>
        <v/>
      </c>
      <c r="B1644" s="78"/>
      <c r="C1644" s="82"/>
      <c r="D1644" s="83"/>
      <c r="E1644" s="84"/>
      <c r="F1644" s="114"/>
      <c r="G1644" s="86"/>
      <c r="H1644" s="77"/>
      <c r="I1644" s="82"/>
      <c r="J1644" s="87"/>
      <c r="K1644" s="77"/>
      <c r="L1644" s="89"/>
      <c r="M1644" s="77"/>
      <c r="N1644" s="77"/>
      <c r="O1644" s="77"/>
      <c r="P1644" s="77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</row>
    <row r="1645">
      <c r="A1645" s="102" t="str">
        <f t="shared" si="1"/>
        <v/>
      </c>
      <c r="B1645" s="94"/>
      <c r="C1645" s="95"/>
      <c r="D1645" s="96"/>
      <c r="E1645" s="97"/>
      <c r="F1645" s="109"/>
      <c r="G1645" s="99"/>
      <c r="H1645" s="102"/>
      <c r="I1645" s="95"/>
      <c r="J1645" s="93"/>
      <c r="K1645" s="102"/>
      <c r="L1645" s="101"/>
      <c r="M1645" s="102"/>
      <c r="N1645" s="102"/>
      <c r="O1645" s="102"/>
      <c r="P1645" s="102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</row>
    <row r="1646">
      <c r="A1646" s="77" t="str">
        <f t="shared" si="1"/>
        <v/>
      </c>
      <c r="B1646" s="78"/>
      <c r="C1646" s="82"/>
      <c r="D1646" s="83"/>
      <c r="E1646" s="84"/>
      <c r="F1646" s="114"/>
      <c r="G1646" s="86"/>
      <c r="H1646" s="77"/>
      <c r="I1646" s="82"/>
      <c r="J1646" s="87"/>
      <c r="K1646" s="77"/>
      <c r="L1646" s="89"/>
      <c r="M1646" s="77"/>
      <c r="N1646" s="77"/>
      <c r="O1646" s="77"/>
      <c r="P1646" s="77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</row>
    <row r="1647">
      <c r="A1647" s="102" t="str">
        <f t="shared" si="1"/>
        <v/>
      </c>
      <c r="B1647" s="94"/>
      <c r="C1647" s="95"/>
      <c r="D1647" s="96"/>
      <c r="E1647" s="97"/>
      <c r="F1647" s="109"/>
      <c r="G1647" s="99"/>
      <c r="H1647" s="102"/>
      <c r="I1647" s="95"/>
      <c r="J1647" s="93"/>
      <c r="K1647" s="102"/>
      <c r="L1647" s="101"/>
      <c r="M1647" s="102"/>
      <c r="N1647" s="102"/>
      <c r="O1647" s="102"/>
      <c r="P1647" s="102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</row>
    <row r="1648">
      <c r="A1648" s="77" t="str">
        <f t="shared" si="1"/>
        <v/>
      </c>
      <c r="B1648" s="78"/>
      <c r="C1648" s="82"/>
      <c r="D1648" s="83"/>
      <c r="E1648" s="84"/>
      <c r="F1648" s="114"/>
      <c r="G1648" s="86"/>
      <c r="H1648" s="77"/>
      <c r="I1648" s="82"/>
      <c r="J1648" s="87"/>
      <c r="K1648" s="77"/>
      <c r="L1648" s="89"/>
      <c r="M1648" s="77"/>
      <c r="N1648" s="77"/>
      <c r="O1648" s="77"/>
      <c r="P1648" s="77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</row>
    <row r="1649">
      <c r="A1649" s="102" t="str">
        <f t="shared" si="1"/>
        <v/>
      </c>
      <c r="B1649" s="94"/>
      <c r="C1649" s="95"/>
      <c r="D1649" s="96"/>
      <c r="E1649" s="97"/>
      <c r="F1649" s="109"/>
      <c r="G1649" s="99"/>
      <c r="H1649" s="102"/>
      <c r="I1649" s="95"/>
      <c r="J1649" s="93"/>
      <c r="K1649" s="102"/>
      <c r="L1649" s="101"/>
      <c r="M1649" s="102"/>
      <c r="N1649" s="102"/>
      <c r="O1649" s="102"/>
      <c r="P1649" s="102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</row>
    <row r="1650">
      <c r="A1650" s="77" t="str">
        <f t="shared" si="1"/>
        <v/>
      </c>
      <c r="B1650" s="78"/>
      <c r="C1650" s="82"/>
      <c r="D1650" s="83"/>
      <c r="E1650" s="84"/>
      <c r="F1650" s="114"/>
      <c r="G1650" s="86"/>
      <c r="H1650" s="77"/>
      <c r="I1650" s="82"/>
      <c r="J1650" s="87"/>
      <c r="K1650" s="77"/>
      <c r="L1650" s="89"/>
      <c r="M1650" s="77"/>
      <c r="N1650" s="77"/>
      <c r="O1650" s="77"/>
      <c r="P1650" s="77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</row>
    <row r="1651">
      <c r="A1651" s="102" t="str">
        <f t="shared" si="1"/>
        <v/>
      </c>
      <c r="B1651" s="94"/>
      <c r="C1651" s="95"/>
      <c r="D1651" s="96"/>
      <c r="E1651" s="97"/>
      <c r="F1651" s="109"/>
      <c r="G1651" s="99"/>
      <c r="H1651" s="102"/>
      <c r="I1651" s="95"/>
      <c r="J1651" s="93"/>
      <c r="K1651" s="102"/>
      <c r="L1651" s="101"/>
      <c r="M1651" s="102"/>
      <c r="N1651" s="102"/>
      <c r="O1651" s="102"/>
      <c r="P1651" s="102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</row>
    <row r="1652">
      <c r="A1652" s="77" t="str">
        <f t="shared" si="1"/>
        <v/>
      </c>
      <c r="B1652" s="78"/>
      <c r="C1652" s="82"/>
      <c r="D1652" s="83"/>
      <c r="E1652" s="84"/>
      <c r="F1652" s="114"/>
      <c r="G1652" s="86"/>
      <c r="H1652" s="77"/>
      <c r="I1652" s="82"/>
      <c r="J1652" s="87"/>
      <c r="K1652" s="77"/>
      <c r="L1652" s="89"/>
      <c r="M1652" s="77"/>
      <c r="N1652" s="77"/>
      <c r="O1652" s="77"/>
      <c r="P1652" s="77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</row>
    <row r="1653">
      <c r="A1653" s="102" t="str">
        <f t="shared" si="1"/>
        <v/>
      </c>
      <c r="B1653" s="94"/>
      <c r="C1653" s="95"/>
      <c r="D1653" s="96"/>
      <c r="E1653" s="97"/>
      <c r="F1653" s="109"/>
      <c r="G1653" s="99"/>
      <c r="H1653" s="102"/>
      <c r="I1653" s="95"/>
      <c r="J1653" s="93"/>
      <c r="K1653" s="102"/>
      <c r="L1653" s="101"/>
      <c r="M1653" s="102"/>
      <c r="N1653" s="102"/>
      <c r="O1653" s="102"/>
      <c r="P1653" s="102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</row>
    <row r="1654">
      <c r="A1654" s="77" t="str">
        <f t="shared" si="1"/>
        <v/>
      </c>
      <c r="B1654" s="78"/>
      <c r="C1654" s="82"/>
      <c r="D1654" s="83"/>
      <c r="E1654" s="84"/>
      <c r="F1654" s="114"/>
      <c r="G1654" s="86"/>
      <c r="H1654" s="77"/>
      <c r="I1654" s="82"/>
      <c r="J1654" s="87"/>
      <c r="K1654" s="77"/>
      <c r="L1654" s="89"/>
      <c r="M1654" s="77"/>
      <c r="N1654" s="77"/>
      <c r="O1654" s="77"/>
      <c r="P1654" s="77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</row>
    <row r="1655">
      <c r="A1655" s="102" t="str">
        <f t="shared" si="1"/>
        <v/>
      </c>
      <c r="B1655" s="94"/>
      <c r="C1655" s="95"/>
      <c r="D1655" s="96"/>
      <c r="E1655" s="97"/>
      <c r="F1655" s="109"/>
      <c r="G1655" s="99"/>
      <c r="H1655" s="102"/>
      <c r="I1655" s="95"/>
      <c r="J1655" s="93"/>
      <c r="K1655" s="102"/>
      <c r="L1655" s="101"/>
      <c r="M1655" s="102"/>
      <c r="N1655" s="102"/>
      <c r="O1655" s="102"/>
      <c r="P1655" s="102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</row>
    <row r="1656">
      <c r="A1656" s="77" t="str">
        <f t="shared" si="1"/>
        <v/>
      </c>
      <c r="B1656" s="78"/>
      <c r="C1656" s="82"/>
      <c r="D1656" s="83"/>
      <c r="E1656" s="84"/>
      <c r="F1656" s="114"/>
      <c r="G1656" s="86"/>
      <c r="H1656" s="77"/>
      <c r="I1656" s="82"/>
      <c r="J1656" s="87"/>
      <c r="K1656" s="77"/>
      <c r="L1656" s="89"/>
      <c r="M1656" s="77"/>
      <c r="N1656" s="77"/>
      <c r="O1656" s="77"/>
      <c r="P1656" s="77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</row>
    <row r="1657">
      <c r="A1657" s="102" t="str">
        <f t="shared" si="1"/>
        <v/>
      </c>
      <c r="B1657" s="94"/>
      <c r="C1657" s="95"/>
      <c r="D1657" s="96"/>
      <c r="E1657" s="97"/>
      <c r="F1657" s="109"/>
      <c r="G1657" s="99"/>
      <c r="H1657" s="102"/>
      <c r="I1657" s="95"/>
      <c r="J1657" s="93"/>
      <c r="K1657" s="102"/>
      <c r="L1657" s="101"/>
      <c r="M1657" s="102"/>
      <c r="N1657" s="102"/>
      <c r="O1657" s="102"/>
      <c r="P1657" s="102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</row>
    <row r="1658">
      <c r="A1658" s="77" t="str">
        <f t="shared" si="1"/>
        <v/>
      </c>
      <c r="B1658" s="78"/>
      <c r="C1658" s="82"/>
      <c r="D1658" s="83"/>
      <c r="E1658" s="84"/>
      <c r="F1658" s="114"/>
      <c r="G1658" s="86"/>
      <c r="H1658" s="77"/>
      <c r="I1658" s="82"/>
      <c r="J1658" s="87"/>
      <c r="K1658" s="77"/>
      <c r="L1658" s="89"/>
      <c r="M1658" s="77"/>
      <c r="N1658" s="77"/>
      <c r="O1658" s="77"/>
      <c r="P1658" s="77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</row>
    <row r="1659">
      <c r="A1659" s="102" t="str">
        <f t="shared" si="1"/>
        <v/>
      </c>
      <c r="B1659" s="94"/>
      <c r="C1659" s="95"/>
      <c r="D1659" s="96"/>
      <c r="E1659" s="97"/>
      <c r="F1659" s="109"/>
      <c r="G1659" s="99"/>
      <c r="H1659" s="102"/>
      <c r="I1659" s="95"/>
      <c r="J1659" s="93"/>
      <c r="K1659" s="102"/>
      <c r="L1659" s="101"/>
      <c r="M1659" s="102"/>
      <c r="N1659" s="102"/>
      <c r="O1659" s="102"/>
      <c r="P1659" s="102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</row>
    <row r="1660">
      <c r="A1660" s="77" t="str">
        <f t="shared" si="1"/>
        <v/>
      </c>
      <c r="B1660" s="78"/>
      <c r="C1660" s="82"/>
      <c r="D1660" s="83"/>
      <c r="E1660" s="84"/>
      <c r="F1660" s="114"/>
      <c r="G1660" s="86"/>
      <c r="H1660" s="77"/>
      <c r="I1660" s="82"/>
      <c r="J1660" s="87"/>
      <c r="K1660" s="77"/>
      <c r="L1660" s="89"/>
      <c r="M1660" s="77"/>
      <c r="N1660" s="77"/>
      <c r="O1660" s="77"/>
      <c r="P1660" s="77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</row>
    <row r="1661">
      <c r="A1661" s="102" t="str">
        <f t="shared" si="1"/>
        <v/>
      </c>
      <c r="B1661" s="94"/>
      <c r="C1661" s="95"/>
      <c r="D1661" s="96"/>
      <c r="E1661" s="97"/>
      <c r="F1661" s="109"/>
      <c r="G1661" s="99"/>
      <c r="H1661" s="102"/>
      <c r="I1661" s="95"/>
      <c r="J1661" s="93"/>
      <c r="K1661" s="102"/>
      <c r="L1661" s="101"/>
      <c r="M1661" s="102"/>
      <c r="N1661" s="102"/>
      <c r="O1661" s="102"/>
      <c r="P1661" s="102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</row>
    <row r="1662">
      <c r="A1662" s="77" t="str">
        <f t="shared" si="1"/>
        <v/>
      </c>
      <c r="B1662" s="78"/>
      <c r="C1662" s="82"/>
      <c r="D1662" s="83"/>
      <c r="E1662" s="84"/>
      <c r="F1662" s="114"/>
      <c r="G1662" s="86"/>
      <c r="H1662" s="77"/>
      <c r="I1662" s="82"/>
      <c r="J1662" s="87"/>
      <c r="K1662" s="77"/>
      <c r="L1662" s="89"/>
      <c r="M1662" s="77"/>
      <c r="N1662" s="77"/>
      <c r="O1662" s="77"/>
      <c r="P1662" s="77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</row>
    <row r="1663">
      <c r="A1663" s="102" t="str">
        <f t="shared" si="1"/>
        <v/>
      </c>
      <c r="B1663" s="94"/>
      <c r="C1663" s="95"/>
      <c r="D1663" s="96"/>
      <c r="E1663" s="97"/>
      <c r="F1663" s="109"/>
      <c r="G1663" s="99"/>
      <c r="H1663" s="102"/>
      <c r="I1663" s="95"/>
      <c r="J1663" s="93"/>
      <c r="K1663" s="102"/>
      <c r="L1663" s="101"/>
      <c r="M1663" s="102"/>
      <c r="N1663" s="102"/>
      <c r="O1663" s="102"/>
      <c r="P1663" s="102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</row>
    <row r="1664">
      <c r="A1664" s="77" t="str">
        <f t="shared" si="1"/>
        <v/>
      </c>
      <c r="B1664" s="78"/>
      <c r="C1664" s="82"/>
      <c r="D1664" s="83"/>
      <c r="E1664" s="84"/>
      <c r="F1664" s="114"/>
      <c r="G1664" s="86"/>
      <c r="H1664" s="77"/>
      <c r="I1664" s="82"/>
      <c r="J1664" s="87"/>
      <c r="K1664" s="77"/>
      <c r="L1664" s="89"/>
      <c r="M1664" s="77"/>
      <c r="N1664" s="77"/>
      <c r="O1664" s="77"/>
      <c r="P1664" s="77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</row>
    <row r="1665">
      <c r="A1665" s="102" t="str">
        <f t="shared" si="1"/>
        <v/>
      </c>
      <c r="B1665" s="94"/>
      <c r="C1665" s="95"/>
      <c r="D1665" s="96"/>
      <c r="E1665" s="97"/>
      <c r="F1665" s="109"/>
      <c r="G1665" s="99"/>
      <c r="H1665" s="102"/>
      <c r="I1665" s="95"/>
      <c r="J1665" s="93"/>
      <c r="K1665" s="102"/>
      <c r="L1665" s="101"/>
      <c r="M1665" s="102"/>
      <c r="N1665" s="102"/>
      <c r="O1665" s="102"/>
      <c r="P1665" s="102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</row>
    <row r="1666">
      <c r="A1666" s="77" t="str">
        <f t="shared" si="1"/>
        <v/>
      </c>
      <c r="B1666" s="78"/>
      <c r="C1666" s="82"/>
      <c r="D1666" s="83"/>
      <c r="E1666" s="84"/>
      <c r="F1666" s="114"/>
      <c r="G1666" s="86"/>
      <c r="H1666" s="77"/>
      <c r="I1666" s="82"/>
      <c r="J1666" s="87"/>
      <c r="K1666" s="77"/>
      <c r="L1666" s="89"/>
      <c r="M1666" s="77"/>
      <c r="N1666" s="77"/>
      <c r="O1666" s="77"/>
      <c r="P1666" s="77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</row>
    <row r="1667">
      <c r="A1667" s="102" t="str">
        <f t="shared" si="1"/>
        <v/>
      </c>
      <c r="B1667" s="94"/>
      <c r="C1667" s="95"/>
      <c r="D1667" s="96"/>
      <c r="E1667" s="97"/>
      <c r="F1667" s="109"/>
      <c r="G1667" s="99"/>
      <c r="H1667" s="102"/>
      <c r="I1667" s="95"/>
      <c r="J1667" s="93"/>
      <c r="K1667" s="102"/>
      <c r="L1667" s="101"/>
      <c r="M1667" s="102"/>
      <c r="N1667" s="102"/>
      <c r="O1667" s="102"/>
      <c r="P1667" s="102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</row>
    <row r="1668">
      <c r="A1668" s="77" t="str">
        <f t="shared" si="1"/>
        <v/>
      </c>
      <c r="B1668" s="78"/>
      <c r="C1668" s="82"/>
      <c r="D1668" s="83"/>
      <c r="E1668" s="84"/>
      <c r="F1668" s="114"/>
      <c r="G1668" s="86"/>
      <c r="H1668" s="77"/>
      <c r="I1668" s="82"/>
      <c r="J1668" s="87"/>
      <c r="K1668" s="77"/>
      <c r="L1668" s="89"/>
      <c r="M1668" s="77"/>
      <c r="N1668" s="77"/>
      <c r="O1668" s="77"/>
      <c r="P1668" s="77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</row>
    <row r="1669">
      <c r="A1669" s="102" t="str">
        <f t="shared" si="1"/>
        <v/>
      </c>
      <c r="B1669" s="94"/>
      <c r="C1669" s="95"/>
      <c r="D1669" s="96"/>
      <c r="E1669" s="97"/>
      <c r="F1669" s="109"/>
      <c r="G1669" s="99"/>
      <c r="H1669" s="102"/>
      <c r="I1669" s="95"/>
      <c r="J1669" s="93"/>
      <c r="K1669" s="102"/>
      <c r="L1669" s="101"/>
      <c r="M1669" s="102"/>
      <c r="N1669" s="102"/>
      <c r="O1669" s="102"/>
      <c r="P1669" s="102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</row>
    <row r="1670">
      <c r="A1670" s="77" t="str">
        <f t="shared" si="1"/>
        <v/>
      </c>
      <c r="B1670" s="78"/>
      <c r="C1670" s="82"/>
      <c r="D1670" s="83"/>
      <c r="E1670" s="84"/>
      <c r="F1670" s="114"/>
      <c r="G1670" s="86"/>
      <c r="H1670" s="77"/>
      <c r="I1670" s="82"/>
      <c r="J1670" s="87"/>
      <c r="K1670" s="77"/>
      <c r="L1670" s="89"/>
      <c r="M1670" s="77"/>
      <c r="N1670" s="77"/>
      <c r="O1670" s="77"/>
      <c r="P1670" s="77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</row>
    <row r="1671">
      <c r="A1671" s="102" t="str">
        <f t="shared" si="1"/>
        <v/>
      </c>
      <c r="B1671" s="94"/>
      <c r="C1671" s="95"/>
      <c r="D1671" s="96"/>
      <c r="E1671" s="97"/>
      <c r="F1671" s="109"/>
      <c r="G1671" s="99"/>
      <c r="H1671" s="102"/>
      <c r="I1671" s="95"/>
      <c r="J1671" s="93"/>
      <c r="K1671" s="102"/>
      <c r="L1671" s="101"/>
      <c r="M1671" s="102"/>
      <c r="N1671" s="102"/>
      <c r="O1671" s="102"/>
      <c r="P1671" s="102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</row>
    <row r="1672">
      <c r="A1672" s="77" t="str">
        <f t="shared" si="1"/>
        <v/>
      </c>
      <c r="B1672" s="78"/>
      <c r="C1672" s="82"/>
      <c r="D1672" s="83"/>
      <c r="E1672" s="84"/>
      <c r="F1672" s="114"/>
      <c r="G1672" s="86"/>
      <c r="H1672" s="77"/>
      <c r="I1672" s="82"/>
      <c r="J1672" s="87"/>
      <c r="K1672" s="77"/>
      <c r="L1672" s="89"/>
      <c r="M1672" s="77"/>
      <c r="N1672" s="77"/>
      <c r="O1672" s="77"/>
      <c r="P1672" s="77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</row>
    <row r="1673">
      <c r="A1673" s="102" t="str">
        <f t="shared" si="1"/>
        <v/>
      </c>
      <c r="B1673" s="94"/>
      <c r="C1673" s="95"/>
      <c r="D1673" s="96"/>
      <c r="E1673" s="97"/>
      <c r="F1673" s="109"/>
      <c r="G1673" s="99"/>
      <c r="H1673" s="102"/>
      <c r="I1673" s="95"/>
      <c r="J1673" s="93"/>
      <c r="K1673" s="102"/>
      <c r="L1673" s="101"/>
      <c r="M1673" s="102"/>
      <c r="N1673" s="102"/>
      <c r="O1673" s="102"/>
      <c r="P1673" s="102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</row>
    <row r="1674">
      <c r="A1674" s="77" t="str">
        <f t="shared" si="1"/>
        <v/>
      </c>
      <c r="B1674" s="78"/>
      <c r="C1674" s="82"/>
      <c r="D1674" s="83"/>
      <c r="E1674" s="84"/>
      <c r="F1674" s="114"/>
      <c r="G1674" s="86"/>
      <c r="H1674" s="77"/>
      <c r="I1674" s="82"/>
      <c r="J1674" s="87"/>
      <c r="K1674" s="77"/>
      <c r="L1674" s="89"/>
      <c r="M1674" s="77"/>
      <c r="N1674" s="77"/>
      <c r="O1674" s="77"/>
      <c r="P1674" s="77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</row>
    <row r="1675">
      <c r="A1675" s="102" t="str">
        <f t="shared" si="1"/>
        <v/>
      </c>
      <c r="B1675" s="94"/>
      <c r="C1675" s="95"/>
      <c r="D1675" s="96"/>
      <c r="E1675" s="97"/>
      <c r="F1675" s="109"/>
      <c r="G1675" s="99"/>
      <c r="H1675" s="102"/>
      <c r="I1675" s="95"/>
      <c r="J1675" s="93"/>
      <c r="K1675" s="102"/>
      <c r="L1675" s="101"/>
      <c r="M1675" s="102"/>
      <c r="N1675" s="102"/>
      <c r="O1675" s="102"/>
      <c r="P1675" s="102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</row>
    <row r="1676">
      <c r="A1676" s="77" t="str">
        <f t="shared" si="1"/>
        <v/>
      </c>
      <c r="B1676" s="78"/>
      <c r="C1676" s="82"/>
      <c r="D1676" s="83"/>
      <c r="E1676" s="84"/>
      <c r="F1676" s="114"/>
      <c r="G1676" s="86"/>
      <c r="H1676" s="77"/>
      <c r="I1676" s="82"/>
      <c r="J1676" s="87"/>
      <c r="K1676" s="77"/>
      <c r="L1676" s="89"/>
      <c r="M1676" s="77"/>
      <c r="N1676" s="77"/>
      <c r="O1676" s="77"/>
      <c r="P1676" s="77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</row>
    <row r="1677">
      <c r="A1677" s="102" t="str">
        <f t="shared" si="1"/>
        <v/>
      </c>
      <c r="B1677" s="94"/>
      <c r="C1677" s="95"/>
      <c r="D1677" s="96"/>
      <c r="E1677" s="97"/>
      <c r="F1677" s="109"/>
      <c r="G1677" s="99"/>
      <c r="H1677" s="102"/>
      <c r="I1677" s="95"/>
      <c r="J1677" s="93"/>
      <c r="K1677" s="102"/>
      <c r="L1677" s="101"/>
      <c r="M1677" s="102"/>
      <c r="N1677" s="102"/>
      <c r="O1677" s="102"/>
      <c r="P1677" s="102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</row>
    <row r="1678">
      <c r="A1678" s="77" t="str">
        <f t="shared" si="1"/>
        <v/>
      </c>
      <c r="B1678" s="78"/>
      <c r="C1678" s="82"/>
      <c r="D1678" s="83"/>
      <c r="E1678" s="84"/>
      <c r="F1678" s="114"/>
      <c r="G1678" s="86"/>
      <c r="H1678" s="77"/>
      <c r="I1678" s="82"/>
      <c r="J1678" s="87"/>
      <c r="K1678" s="77"/>
      <c r="L1678" s="89"/>
      <c r="M1678" s="77"/>
      <c r="N1678" s="77"/>
      <c r="O1678" s="77"/>
      <c r="P1678" s="77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</row>
    <row r="1679">
      <c r="A1679" s="102" t="str">
        <f t="shared" si="1"/>
        <v/>
      </c>
      <c r="B1679" s="94"/>
      <c r="C1679" s="95"/>
      <c r="D1679" s="96"/>
      <c r="E1679" s="97"/>
      <c r="F1679" s="109"/>
      <c r="G1679" s="99"/>
      <c r="H1679" s="102"/>
      <c r="I1679" s="95"/>
      <c r="J1679" s="93"/>
      <c r="K1679" s="102"/>
      <c r="L1679" s="101"/>
      <c r="M1679" s="102"/>
      <c r="N1679" s="102"/>
      <c r="O1679" s="102"/>
      <c r="P1679" s="102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</row>
    <row r="1680">
      <c r="A1680" s="77" t="str">
        <f t="shared" si="1"/>
        <v/>
      </c>
      <c r="B1680" s="78"/>
      <c r="C1680" s="82"/>
      <c r="D1680" s="83"/>
      <c r="E1680" s="84"/>
      <c r="F1680" s="114"/>
      <c r="G1680" s="86"/>
      <c r="H1680" s="77"/>
      <c r="I1680" s="82"/>
      <c r="J1680" s="87"/>
      <c r="K1680" s="77"/>
      <c r="L1680" s="89"/>
      <c r="M1680" s="77"/>
      <c r="N1680" s="77"/>
      <c r="O1680" s="77"/>
      <c r="P1680" s="77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</row>
    <row r="1681">
      <c r="A1681" s="102" t="str">
        <f t="shared" si="1"/>
        <v/>
      </c>
      <c r="B1681" s="94"/>
      <c r="C1681" s="95"/>
      <c r="D1681" s="96"/>
      <c r="E1681" s="97"/>
      <c r="F1681" s="109"/>
      <c r="G1681" s="99"/>
      <c r="H1681" s="102"/>
      <c r="I1681" s="95"/>
      <c r="J1681" s="93"/>
      <c r="K1681" s="102"/>
      <c r="L1681" s="101"/>
      <c r="M1681" s="102"/>
      <c r="N1681" s="102"/>
      <c r="O1681" s="102"/>
      <c r="P1681" s="102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</row>
    <row r="1682">
      <c r="A1682" s="77" t="str">
        <f t="shared" si="1"/>
        <v/>
      </c>
      <c r="B1682" s="78"/>
      <c r="C1682" s="82"/>
      <c r="D1682" s="83"/>
      <c r="E1682" s="84"/>
      <c r="F1682" s="114"/>
      <c r="G1682" s="86"/>
      <c r="H1682" s="77"/>
      <c r="I1682" s="82"/>
      <c r="J1682" s="87"/>
      <c r="K1682" s="77"/>
      <c r="L1682" s="89"/>
      <c r="M1682" s="77"/>
      <c r="N1682" s="77"/>
      <c r="O1682" s="77"/>
      <c r="P1682" s="77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</row>
    <row r="1683">
      <c r="A1683" s="102" t="str">
        <f t="shared" si="1"/>
        <v/>
      </c>
      <c r="B1683" s="94"/>
      <c r="C1683" s="95"/>
      <c r="D1683" s="96"/>
      <c r="E1683" s="97"/>
      <c r="F1683" s="109"/>
      <c r="G1683" s="99"/>
      <c r="H1683" s="102"/>
      <c r="I1683" s="95"/>
      <c r="J1683" s="93"/>
      <c r="K1683" s="102"/>
      <c r="L1683" s="101"/>
      <c r="M1683" s="102"/>
      <c r="N1683" s="102"/>
      <c r="O1683" s="102"/>
      <c r="P1683" s="102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</row>
    <row r="1684">
      <c r="A1684" s="77" t="str">
        <f t="shared" si="1"/>
        <v/>
      </c>
      <c r="B1684" s="78"/>
      <c r="C1684" s="82"/>
      <c r="D1684" s="83"/>
      <c r="E1684" s="84"/>
      <c r="F1684" s="114"/>
      <c r="G1684" s="86"/>
      <c r="H1684" s="77"/>
      <c r="I1684" s="82"/>
      <c r="J1684" s="87"/>
      <c r="K1684" s="77"/>
      <c r="L1684" s="89"/>
      <c r="M1684" s="77"/>
      <c r="N1684" s="77"/>
      <c r="O1684" s="77"/>
      <c r="P1684" s="77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</row>
    <row r="1685">
      <c r="A1685" s="102" t="str">
        <f t="shared" si="1"/>
        <v/>
      </c>
      <c r="B1685" s="94"/>
      <c r="C1685" s="95"/>
      <c r="D1685" s="96"/>
      <c r="E1685" s="97"/>
      <c r="F1685" s="109"/>
      <c r="G1685" s="99"/>
      <c r="H1685" s="102"/>
      <c r="I1685" s="95"/>
      <c r="J1685" s="93"/>
      <c r="K1685" s="102"/>
      <c r="L1685" s="101"/>
      <c r="M1685" s="102"/>
      <c r="N1685" s="102"/>
      <c r="O1685" s="102"/>
      <c r="P1685" s="102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</row>
    <row r="1686">
      <c r="A1686" s="77" t="str">
        <f t="shared" si="1"/>
        <v/>
      </c>
      <c r="B1686" s="78"/>
      <c r="C1686" s="82"/>
      <c r="D1686" s="83"/>
      <c r="E1686" s="84"/>
      <c r="F1686" s="114"/>
      <c r="G1686" s="86"/>
      <c r="H1686" s="77"/>
      <c r="I1686" s="82"/>
      <c r="J1686" s="87"/>
      <c r="K1686" s="77"/>
      <c r="L1686" s="89"/>
      <c r="M1686" s="77"/>
      <c r="N1686" s="77"/>
      <c r="O1686" s="77"/>
      <c r="P1686" s="77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</row>
    <row r="1687">
      <c r="A1687" s="102" t="str">
        <f t="shared" si="1"/>
        <v/>
      </c>
      <c r="B1687" s="94"/>
      <c r="C1687" s="95"/>
      <c r="D1687" s="96"/>
      <c r="E1687" s="97"/>
      <c r="F1687" s="109"/>
      <c r="G1687" s="99"/>
      <c r="H1687" s="102"/>
      <c r="I1687" s="95"/>
      <c r="J1687" s="93"/>
      <c r="K1687" s="102"/>
      <c r="L1687" s="101"/>
      <c r="M1687" s="102"/>
      <c r="N1687" s="102"/>
      <c r="O1687" s="102"/>
      <c r="P1687" s="102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</row>
    <row r="1688">
      <c r="A1688" s="77" t="str">
        <f t="shared" si="1"/>
        <v/>
      </c>
      <c r="B1688" s="78"/>
      <c r="C1688" s="82"/>
      <c r="D1688" s="83"/>
      <c r="E1688" s="84"/>
      <c r="F1688" s="114"/>
      <c r="G1688" s="86"/>
      <c r="H1688" s="77"/>
      <c r="I1688" s="82"/>
      <c r="J1688" s="87"/>
      <c r="K1688" s="77"/>
      <c r="L1688" s="89"/>
      <c r="M1688" s="77"/>
      <c r="N1688" s="77"/>
      <c r="O1688" s="77"/>
      <c r="P1688" s="77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</row>
    <row r="1689">
      <c r="A1689" s="102" t="str">
        <f t="shared" si="1"/>
        <v/>
      </c>
      <c r="B1689" s="94"/>
      <c r="C1689" s="95"/>
      <c r="D1689" s="96"/>
      <c r="E1689" s="97"/>
      <c r="F1689" s="109"/>
      <c r="G1689" s="99"/>
      <c r="H1689" s="102"/>
      <c r="I1689" s="95"/>
      <c r="J1689" s="93"/>
      <c r="K1689" s="102"/>
      <c r="L1689" s="101"/>
      <c r="M1689" s="102"/>
      <c r="N1689" s="102"/>
      <c r="O1689" s="102"/>
      <c r="P1689" s="102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</row>
    <row r="1690">
      <c r="A1690" s="77" t="str">
        <f t="shared" si="1"/>
        <v/>
      </c>
      <c r="B1690" s="78"/>
      <c r="C1690" s="82"/>
      <c r="D1690" s="83"/>
      <c r="E1690" s="84"/>
      <c r="F1690" s="114"/>
      <c r="G1690" s="86"/>
      <c r="H1690" s="77"/>
      <c r="I1690" s="82"/>
      <c r="J1690" s="87"/>
      <c r="K1690" s="77"/>
      <c r="L1690" s="89"/>
      <c r="M1690" s="77"/>
      <c r="N1690" s="77"/>
      <c r="O1690" s="77"/>
      <c r="P1690" s="77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</row>
    <row r="1691">
      <c r="A1691" s="102" t="str">
        <f t="shared" si="1"/>
        <v/>
      </c>
      <c r="B1691" s="94"/>
      <c r="C1691" s="95"/>
      <c r="D1691" s="96"/>
      <c r="E1691" s="97"/>
      <c r="F1691" s="109"/>
      <c r="G1691" s="99"/>
      <c r="H1691" s="102"/>
      <c r="I1691" s="95"/>
      <c r="J1691" s="93"/>
      <c r="K1691" s="102"/>
      <c r="L1691" s="101"/>
      <c r="M1691" s="102"/>
      <c r="N1691" s="102"/>
      <c r="O1691" s="102"/>
      <c r="P1691" s="102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</row>
    <row r="1692">
      <c r="A1692" s="77" t="str">
        <f t="shared" si="1"/>
        <v/>
      </c>
      <c r="B1692" s="78"/>
      <c r="C1692" s="82"/>
      <c r="D1692" s="83"/>
      <c r="E1692" s="84"/>
      <c r="F1692" s="114"/>
      <c r="G1692" s="86"/>
      <c r="H1692" s="77"/>
      <c r="I1692" s="82"/>
      <c r="J1692" s="87"/>
      <c r="K1692" s="77"/>
      <c r="L1692" s="89"/>
      <c r="M1692" s="77"/>
      <c r="N1692" s="77"/>
      <c r="O1692" s="77"/>
      <c r="P1692" s="77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</row>
    <row r="1693">
      <c r="A1693" s="102" t="str">
        <f t="shared" si="1"/>
        <v/>
      </c>
      <c r="B1693" s="94"/>
      <c r="C1693" s="95"/>
      <c r="D1693" s="96"/>
      <c r="E1693" s="97"/>
      <c r="F1693" s="109"/>
      <c r="G1693" s="99"/>
      <c r="H1693" s="102"/>
      <c r="I1693" s="95"/>
      <c r="J1693" s="93"/>
      <c r="K1693" s="102"/>
      <c r="L1693" s="101"/>
      <c r="M1693" s="102"/>
      <c r="N1693" s="102"/>
      <c r="O1693" s="102"/>
      <c r="P1693" s="102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</row>
    <row r="1694">
      <c r="A1694" s="77" t="str">
        <f t="shared" si="1"/>
        <v/>
      </c>
      <c r="B1694" s="78"/>
      <c r="C1694" s="82"/>
      <c r="D1694" s="83"/>
      <c r="E1694" s="84"/>
      <c r="F1694" s="114"/>
      <c r="G1694" s="86"/>
      <c r="H1694" s="77"/>
      <c r="I1694" s="82"/>
      <c r="J1694" s="87"/>
      <c r="K1694" s="77"/>
      <c r="L1694" s="89"/>
      <c r="M1694" s="77"/>
      <c r="N1694" s="77"/>
      <c r="O1694" s="77"/>
      <c r="P1694" s="77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</row>
    <row r="1695">
      <c r="A1695" s="102" t="str">
        <f t="shared" si="1"/>
        <v/>
      </c>
      <c r="B1695" s="94"/>
      <c r="C1695" s="95"/>
      <c r="D1695" s="96"/>
      <c r="E1695" s="97"/>
      <c r="F1695" s="109"/>
      <c r="G1695" s="99"/>
      <c r="H1695" s="102"/>
      <c r="I1695" s="95"/>
      <c r="J1695" s="93"/>
      <c r="K1695" s="102"/>
      <c r="L1695" s="101"/>
      <c r="M1695" s="102"/>
      <c r="N1695" s="102"/>
      <c r="O1695" s="102"/>
      <c r="P1695" s="102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</row>
    <row r="1696">
      <c r="A1696" s="77" t="str">
        <f t="shared" si="1"/>
        <v/>
      </c>
      <c r="B1696" s="78"/>
      <c r="C1696" s="82"/>
      <c r="D1696" s="83"/>
      <c r="E1696" s="84"/>
      <c r="F1696" s="114"/>
      <c r="G1696" s="86"/>
      <c r="H1696" s="77"/>
      <c r="I1696" s="82"/>
      <c r="J1696" s="87"/>
      <c r="K1696" s="77"/>
      <c r="L1696" s="89"/>
      <c r="M1696" s="77"/>
      <c r="N1696" s="77"/>
      <c r="O1696" s="77"/>
      <c r="P1696" s="77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</row>
    <row r="1697">
      <c r="A1697" s="102" t="str">
        <f t="shared" si="1"/>
        <v/>
      </c>
      <c r="B1697" s="94"/>
      <c r="C1697" s="95"/>
      <c r="D1697" s="96"/>
      <c r="E1697" s="97"/>
      <c r="F1697" s="109"/>
      <c r="G1697" s="99"/>
      <c r="H1697" s="102"/>
      <c r="I1697" s="95"/>
      <c r="J1697" s="93"/>
      <c r="K1697" s="102"/>
      <c r="L1697" s="101"/>
      <c r="M1697" s="102"/>
      <c r="N1697" s="102"/>
      <c r="O1697" s="102"/>
      <c r="P1697" s="102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</row>
    <row r="1698">
      <c r="A1698" s="77" t="str">
        <f t="shared" si="1"/>
        <v/>
      </c>
      <c r="B1698" s="78"/>
      <c r="C1698" s="82"/>
      <c r="D1698" s="83"/>
      <c r="E1698" s="84"/>
      <c r="F1698" s="114"/>
      <c r="G1698" s="86"/>
      <c r="H1698" s="77"/>
      <c r="I1698" s="82"/>
      <c r="J1698" s="87"/>
      <c r="K1698" s="77"/>
      <c r="L1698" s="89"/>
      <c r="M1698" s="77"/>
      <c r="N1698" s="77"/>
      <c r="O1698" s="77"/>
      <c r="P1698" s="77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</row>
    <row r="1699">
      <c r="A1699" s="102" t="str">
        <f t="shared" si="1"/>
        <v/>
      </c>
      <c r="B1699" s="94"/>
      <c r="C1699" s="95"/>
      <c r="D1699" s="96"/>
      <c r="E1699" s="97"/>
      <c r="F1699" s="109"/>
      <c r="G1699" s="99"/>
      <c r="H1699" s="102"/>
      <c r="I1699" s="95"/>
      <c r="J1699" s="93"/>
      <c r="K1699" s="102"/>
      <c r="L1699" s="101"/>
      <c r="M1699" s="102"/>
      <c r="N1699" s="102"/>
      <c r="O1699" s="102"/>
      <c r="P1699" s="102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</row>
    <row r="1700">
      <c r="A1700" s="77" t="str">
        <f t="shared" si="1"/>
        <v/>
      </c>
      <c r="B1700" s="78"/>
      <c r="C1700" s="82"/>
      <c r="D1700" s="83"/>
      <c r="E1700" s="84"/>
      <c r="F1700" s="114"/>
      <c r="G1700" s="86"/>
      <c r="H1700" s="77"/>
      <c r="I1700" s="82"/>
      <c r="J1700" s="87"/>
      <c r="K1700" s="77"/>
      <c r="L1700" s="89"/>
      <c r="M1700" s="77"/>
      <c r="N1700" s="77"/>
      <c r="O1700" s="77"/>
      <c r="P1700" s="77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</row>
    <row r="1701">
      <c r="A1701" s="102" t="str">
        <f t="shared" si="1"/>
        <v/>
      </c>
      <c r="B1701" s="94"/>
      <c r="C1701" s="95"/>
      <c r="D1701" s="96"/>
      <c r="E1701" s="97"/>
      <c r="F1701" s="109"/>
      <c r="G1701" s="99"/>
      <c r="H1701" s="102"/>
      <c r="I1701" s="95"/>
      <c r="J1701" s="93"/>
      <c r="K1701" s="102"/>
      <c r="L1701" s="101"/>
      <c r="M1701" s="102"/>
      <c r="N1701" s="102"/>
      <c r="O1701" s="102"/>
      <c r="P1701" s="102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</row>
    <row r="1702">
      <c r="A1702" s="77" t="str">
        <f t="shared" si="1"/>
        <v/>
      </c>
      <c r="B1702" s="78"/>
      <c r="C1702" s="82"/>
      <c r="D1702" s="83"/>
      <c r="E1702" s="84"/>
      <c r="F1702" s="114"/>
      <c r="G1702" s="86"/>
      <c r="H1702" s="77"/>
      <c r="I1702" s="82"/>
      <c r="J1702" s="87"/>
      <c r="K1702" s="77"/>
      <c r="L1702" s="89"/>
      <c r="M1702" s="77"/>
      <c r="N1702" s="77"/>
      <c r="O1702" s="77"/>
      <c r="P1702" s="77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</row>
    <row r="1703">
      <c r="A1703" s="102" t="str">
        <f t="shared" si="1"/>
        <v/>
      </c>
      <c r="B1703" s="94"/>
      <c r="C1703" s="95"/>
      <c r="D1703" s="96"/>
      <c r="E1703" s="97"/>
      <c r="F1703" s="109"/>
      <c r="G1703" s="99"/>
      <c r="H1703" s="102"/>
      <c r="I1703" s="95"/>
      <c r="J1703" s="93"/>
      <c r="K1703" s="102"/>
      <c r="L1703" s="101"/>
      <c r="M1703" s="102"/>
      <c r="N1703" s="102"/>
      <c r="O1703" s="102"/>
      <c r="P1703" s="102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</row>
    <row r="1704">
      <c r="A1704" s="77" t="str">
        <f t="shared" si="1"/>
        <v/>
      </c>
      <c r="B1704" s="78"/>
      <c r="C1704" s="82"/>
      <c r="D1704" s="83"/>
      <c r="E1704" s="84"/>
      <c r="F1704" s="114"/>
      <c r="G1704" s="86"/>
      <c r="H1704" s="77"/>
      <c r="I1704" s="82"/>
      <c r="J1704" s="87"/>
      <c r="K1704" s="77"/>
      <c r="L1704" s="89"/>
      <c r="M1704" s="77"/>
      <c r="N1704" s="77"/>
      <c r="O1704" s="77"/>
      <c r="P1704" s="77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</row>
    <row r="1705">
      <c r="A1705" s="102" t="str">
        <f t="shared" si="1"/>
        <v/>
      </c>
      <c r="B1705" s="94"/>
      <c r="C1705" s="95"/>
      <c r="D1705" s="96"/>
      <c r="E1705" s="97"/>
      <c r="F1705" s="109"/>
      <c r="G1705" s="99"/>
      <c r="H1705" s="102"/>
      <c r="I1705" s="95"/>
      <c r="J1705" s="93"/>
      <c r="K1705" s="102"/>
      <c r="L1705" s="101"/>
      <c r="M1705" s="102"/>
      <c r="N1705" s="102"/>
      <c r="O1705" s="102"/>
      <c r="P1705" s="102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</row>
    <row r="1706">
      <c r="A1706" s="77" t="str">
        <f t="shared" si="1"/>
        <v/>
      </c>
      <c r="B1706" s="78"/>
      <c r="C1706" s="82"/>
      <c r="D1706" s="83"/>
      <c r="E1706" s="84"/>
      <c r="F1706" s="114"/>
      <c r="G1706" s="86"/>
      <c r="H1706" s="77"/>
      <c r="I1706" s="82"/>
      <c r="J1706" s="87"/>
      <c r="K1706" s="77"/>
      <c r="L1706" s="89"/>
      <c r="M1706" s="77"/>
      <c r="N1706" s="77"/>
      <c r="O1706" s="77"/>
      <c r="P1706" s="77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</row>
    <row r="1707">
      <c r="A1707" s="102" t="str">
        <f t="shared" si="1"/>
        <v/>
      </c>
      <c r="B1707" s="94"/>
      <c r="C1707" s="95"/>
      <c r="D1707" s="96"/>
      <c r="E1707" s="97"/>
      <c r="F1707" s="109"/>
      <c r="G1707" s="99"/>
      <c r="H1707" s="102"/>
      <c r="I1707" s="95"/>
      <c r="J1707" s="93"/>
      <c r="K1707" s="102"/>
      <c r="L1707" s="101"/>
      <c r="M1707" s="102"/>
      <c r="N1707" s="102"/>
      <c r="O1707" s="102"/>
      <c r="P1707" s="102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</row>
    <row r="1708">
      <c r="A1708" s="77" t="str">
        <f t="shared" si="1"/>
        <v/>
      </c>
      <c r="B1708" s="78"/>
      <c r="C1708" s="82"/>
      <c r="D1708" s="83"/>
      <c r="E1708" s="84"/>
      <c r="F1708" s="114"/>
      <c r="G1708" s="86"/>
      <c r="H1708" s="77"/>
      <c r="I1708" s="82"/>
      <c r="J1708" s="87"/>
      <c r="K1708" s="77"/>
      <c r="L1708" s="89"/>
      <c r="M1708" s="77"/>
      <c r="N1708" s="77"/>
      <c r="O1708" s="77"/>
      <c r="P1708" s="77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</row>
    <row r="1709">
      <c r="A1709" s="102" t="str">
        <f t="shared" si="1"/>
        <v/>
      </c>
      <c r="B1709" s="94"/>
      <c r="C1709" s="95"/>
      <c r="D1709" s="96"/>
      <c r="E1709" s="97"/>
      <c r="F1709" s="109"/>
      <c r="G1709" s="99"/>
      <c r="H1709" s="102"/>
      <c r="I1709" s="95"/>
      <c r="J1709" s="93"/>
      <c r="K1709" s="102"/>
      <c r="L1709" s="101"/>
      <c r="M1709" s="102"/>
      <c r="N1709" s="102"/>
      <c r="O1709" s="102"/>
      <c r="P1709" s="102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</row>
    <row r="1710">
      <c r="A1710" s="77" t="str">
        <f t="shared" si="1"/>
        <v/>
      </c>
      <c r="B1710" s="78"/>
      <c r="C1710" s="82"/>
      <c r="D1710" s="83"/>
      <c r="E1710" s="84"/>
      <c r="F1710" s="114"/>
      <c r="G1710" s="86"/>
      <c r="H1710" s="77"/>
      <c r="I1710" s="82"/>
      <c r="J1710" s="87"/>
      <c r="K1710" s="77"/>
      <c r="L1710" s="89"/>
      <c r="M1710" s="77"/>
      <c r="N1710" s="77"/>
      <c r="O1710" s="77"/>
      <c r="P1710" s="77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</row>
    <row r="1711">
      <c r="A1711" s="102" t="str">
        <f t="shared" si="1"/>
        <v/>
      </c>
      <c r="B1711" s="94"/>
      <c r="C1711" s="95"/>
      <c r="D1711" s="96"/>
      <c r="E1711" s="97"/>
      <c r="F1711" s="109"/>
      <c r="G1711" s="99"/>
      <c r="H1711" s="102"/>
      <c r="I1711" s="95"/>
      <c r="J1711" s="93"/>
      <c r="K1711" s="102"/>
      <c r="L1711" s="101"/>
      <c r="M1711" s="102"/>
      <c r="N1711" s="102"/>
      <c r="O1711" s="102"/>
      <c r="P1711" s="102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</row>
    <row r="1712">
      <c r="A1712" s="77" t="str">
        <f t="shared" si="1"/>
        <v/>
      </c>
      <c r="B1712" s="78"/>
      <c r="C1712" s="82"/>
      <c r="D1712" s="83"/>
      <c r="E1712" s="84"/>
      <c r="F1712" s="114"/>
      <c r="G1712" s="86"/>
      <c r="H1712" s="77"/>
      <c r="I1712" s="82"/>
      <c r="J1712" s="87"/>
      <c r="K1712" s="77"/>
      <c r="L1712" s="89"/>
      <c r="M1712" s="77"/>
      <c r="N1712" s="77"/>
      <c r="O1712" s="77"/>
      <c r="P1712" s="77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</row>
    <row r="1713">
      <c r="A1713" s="102" t="str">
        <f t="shared" si="1"/>
        <v/>
      </c>
      <c r="B1713" s="94"/>
      <c r="C1713" s="95"/>
      <c r="D1713" s="96"/>
      <c r="E1713" s="97"/>
      <c r="F1713" s="109"/>
      <c r="G1713" s="99"/>
      <c r="H1713" s="102"/>
      <c r="I1713" s="95"/>
      <c r="J1713" s="93"/>
      <c r="K1713" s="102"/>
      <c r="L1713" s="101"/>
      <c r="M1713" s="102"/>
      <c r="N1713" s="102"/>
      <c r="O1713" s="102"/>
      <c r="P1713" s="102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</row>
    <row r="1714">
      <c r="A1714" s="77" t="str">
        <f t="shared" si="1"/>
        <v/>
      </c>
      <c r="B1714" s="78"/>
      <c r="C1714" s="82"/>
      <c r="D1714" s="83"/>
      <c r="E1714" s="84"/>
      <c r="F1714" s="114"/>
      <c r="G1714" s="86"/>
      <c r="H1714" s="77"/>
      <c r="I1714" s="82"/>
      <c r="J1714" s="87"/>
      <c r="K1714" s="77"/>
      <c r="L1714" s="89"/>
      <c r="M1714" s="77"/>
      <c r="N1714" s="77"/>
      <c r="O1714" s="77"/>
      <c r="P1714" s="77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</row>
    <row r="1715">
      <c r="A1715" s="102" t="str">
        <f t="shared" si="1"/>
        <v/>
      </c>
      <c r="B1715" s="94"/>
      <c r="C1715" s="95"/>
      <c r="D1715" s="96"/>
      <c r="E1715" s="97"/>
      <c r="F1715" s="109"/>
      <c r="G1715" s="99"/>
      <c r="H1715" s="102"/>
      <c r="I1715" s="95"/>
      <c r="J1715" s="93"/>
      <c r="K1715" s="102"/>
      <c r="L1715" s="101"/>
      <c r="M1715" s="102"/>
      <c r="N1715" s="102"/>
      <c r="O1715" s="102"/>
      <c r="P1715" s="102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</row>
    <row r="1716">
      <c r="A1716" s="77" t="str">
        <f t="shared" si="1"/>
        <v/>
      </c>
      <c r="B1716" s="78"/>
      <c r="C1716" s="82"/>
      <c r="D1716" s="83"/>
      <c r="E1716" s="84"/>
      <c r="F1716" s="114"/>
      <c r="G1716" s="86"/>
      <c r="H1716" s="77"/>
      <c r="I1716" s="82"/>
      <c r="J1716" s="87"/>
      <c r="K1716" s="77"/>
      <c r="L1716" s="89"/>
      <c r="M1716" s="77"/>
      <c r="N1716" s="77"/>
      <c r="O1716" s="77"/>
      <c r="P1716" s="77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</row>
    <row r="1717">
      <c r="A1717" s="102" t="str">
        <f t="shared" si="1"/>
        <v/>
      </c>
      <c r="B1717" s="94"/>
      <c r="C1717" s="95"/>
      <c r="D1717" s="96"/>
      <c r="E1717" s="97"/>
      <c r="F1717" s="109"/>
      <c r="G1717" s="99"/>
      <c r="H1717" s="102"/>
      <c r="I1717" s="95"/>
      <c r="J1717" s="93"/>
      <c r="K1717" s="102"/>
      <c r="L1717" s="101"/>
      <c r="M1717" s="102"/>
      <c r="N1717" s="102"/>
      <c r="O1717" s="102"/>
      <c r="P1717" s="102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</row>
    <row r="1718">
      <c r="A1718" s="77" t="str">
        <f t="shared" si="1"/>
        <v/>
      </c>
      <c r="B1718" s="78"/>
      <c r="C1718" s="82"/>
      <c r="D1718" s="83"/>
      <c r="E1718" s="84"/>
      <c r="F1718" s="114"/>
      <c r="G1718" s="86"/>
      <c r="H1718" s="77"/>
      <c r="I1718" s="82"/>
      <c r="J1718" s="87"/>
      <c r="K1718" s="77"/>
      <c r="L1718" s="89"/>
      <c r="M1718" s="77"/>
      <c r="N1718" s="77"/>
      <c r="O1718" s="77"/>
      <c r="P1718" s="77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</row>
    <row r="1719">
      <c r="A1719" s="102" t="str">
        <f t="shared" si="1"/>
        <v/>
      </c>
      <c r="B1719" s="94"/>
      <c r="C1719" s="95"/>
      <c r="D1719" s="96"/>
      <c r="E1719" s="97"/>
      <c r="F1719" s="109"/>
      <c r="G1719" s="99"/>
      <c r="H1719" s="102"/>
      <c r="I1719" s="95"/>
      <c r="J1719" s="93"/>
      <c r="K1719" s="102"/>
      <c r="L1719" s="101"/>
      <c r="M1719" s="102"/>
      <c r="N1719" s="102"/>
      <c r="O1719" s="102"/>
      <c r="P1719" s="102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</row>
    <row r="1720">
      <c r="A1720" s="77" t="str">
        <f t="shared" si="1"/>
        <v/>
      </c>
      <c r="B1720" s="78"/>
      <c r="C1720" s="82"/>
      <c r="D1720" s="83"/>
      <c r="E1720" s="84"/>
      <c r="F1720" s="114"/>
      <c r="G1720" s="86"/>
      <c r="H1720" s="77"/>
      <c r="I1720" s="82"/>
      <c r="J1720" s="87"/>
      <c r="K1720" s="77"/>
      <c r="L1720" s="89"/>
      <c r="M1720" s="77"/>
      <c r="N1720" s="77"/>
      <c r="O1720" s="77"/>
      <c r="P1720" s="77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</row>
    <row r="1721">
      <c r="A1721" s="102" t="str">
        <f t="shared" si="1"/>
        <v/>
      </c>
      <c r="B1721" s="94"/>
      <c r="C1721" s="95"/>
      <c r="D1721" s="96"/>
      <c r="E1721" s="97"/>
      <c r="F1721" s="109"/>
      <c r="G1721" s="99"/>
      <c r="H1721" s="102"/>
      <c r="I1721" s="95"/>
      <c r="J1721" s="93"/>
      <c r="K1721" s="102"/>
      <c r="L1721" s="101"/>
      <c r="M1721" s="102"/>
      <c r="N1721" s="102"/>
      <c r="O1721" s="102"/>
      <c r="P1721" s="102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</row>
    <row r="1722">
      <c r="A1722" s="77" t="str">
        <f t="shared" si="1"/>
        <v/>
      </c>
      <c r="B1722" s="78"/>
      <c r="C1722" s="82"/>
      <c r="D1722" s="83"/>
      <c r="E1722" s="84"/>
      <c r="F1722" s="114"/>
      <c r="G1722" s="86"/>
      <c r="H1722" s="77"/>
      <c r="I1722" s="82"/>
      <c r="J1722" s="87"/>
      <c r="K1722" s="77"/>
      <c r="L1722" s="89"/>
      <c r="M1722" s="77"/>
      <c r="N1722" s="77"/>
      <c r="O1722" s="77"/>
      <c r="P1722" s="77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</row>
    <row r="1723">
      <c r="A1723" s="102" t="str">
        <f t="shared" si="1"/>
        <v/>
      </c>
      <c r="B1723" s="94"/>
      <c r="C1723" s="95"/>
      <c r="D1723" s="96"/>
      <c r="E1723" s="97"/>
      <c r="F1723" s="109"/>
      <c r="G1723" s="99"/>
      <c r="H1723" s="102"/>
      <c r="I1723" s="95"/>
      <c r="J1723" s="93"/>
      <c r="K1723" s="102"/>
      <c r="L1723" s="101"/>
      <c r="M1723" s="102"/>
      <c r="N1723" s="102"/>
      <c r="O1723" s="102"/>
      <c r="P1723" s="102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</row>
    <row r="1724">
      <c r="A1724" s="77" t="str">
        <f t="shared" si="1"/>
        <v/>
      </c>
      <c r="B1724" s="78"/>
      <c r="C1724" s="82"/>
      <c r="D1724" s="83"/>
      <c r="E1724" s="84"/>
      <c r="F1724" s="114"/>
      <c r="G1724" s="86"/>
      <c r="H1724" s="77"/>
      <c r="I1724" s="82"/>
      <c r="J1724" s="87"/>
      <c r="K1724" s="77"/>
      <c r="L1724" s="89"/>
      <c r="M1724" s="77"/>
      <c r="N1724" s="77"/>
      <c r="O1724" s="77"/>
      <c r="P1724" s="77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</row>
    <row r="1725">
      <c r="A1725" s="102" t="str">
        <f t="shared" si="1"/>
        <v/>
      </c>
      <c r="B1725" s="94"/>
      <c r="C1725" s="95"/>
      <c r="D1725" s="96"/>
      <c r="E1725" s="97"/>
      <c r="F1725" s="109"/>
      <c r="G1725" s="99"/>
      <c r="H1725" s="102"/>
      <c r="I1725" s="95"/>
      <c r="J1725" s="93"/>
      <c r="K1725" s="102"/>
      <c r="L1725" s="101"/>
      <c r="M1725" s="102"/>
      <c r="N1725" s="102"/>
      <c r="O1725" s="102"/>
      <c r="P1725" s="102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</row>
    <row r="1726">
      <c r="A1726" s="77" t="str">
        <f t="shared" si="1"/>
        <v/>
      </c>
      <c r="B1726" s="78"/>
      <c r="C1726" s="82"/>
      <c r="D1726" s="83"/>
      <c r="E1726" s="84"/>
      <c r="F1726" s="114"/>
      <c r="G1726" s="86"/>
      <c r="H1726" s="77"/>
      <c r="I1726" s="82"/>
      <c r="J1726" s="87"/>
      <c r="K1726" s="77"/>
      <c r="L1726" s="89"/>
      <c r="M1726" s="77"/>
      <c r="N1726" s="77"/>
      <c r="O1726" s="77"/>
      <c r="P1726" s="77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</row>
    <row r="1727">
      <c r="A1727" s="102" t="str">
        <f t="shared" si="1"/>
        <v/>
      </c>
      <c r="B1727" s="94"/>
      <c r="C1727" s="95"/>
      <c r="D1727" s="96"/>
      <c r="E1727" s="97"/>
      <c r="F1727" s="109"/>
      <c r="G1727" s="99"/>
      <c r="H1727" s="102"/>
      <c r="I1727" s="95"/>
      <c r="J1727" s="93"/>
      <c r="K1727" s="102"/>
      <c r="L1727" s="101"/>
      <c r="M1727" s="102"/>
      <c r="N1727" s="102"/>
      <c r="O1727" s="102"/>
      <c r="P1727" s="102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</row>
    <row r="1728">
      <c r="A1728" s="77" t="str">
        <f t="shared" si="1"/>
        <v/>
      </c>
      <c r="B1728" s="78"/>
      <c r="C1728" s="82"/>
      <c r="D1728" s="83"/>
      <c r="E1728" s="84"/>
      <c r="F1728" s="114"/>
      <c r="G1728" s="86"/>
      <c r="H1728" s="77"/>
      <c r="I1728" s="82"/>
      <c r="J1728" s="87"/>
      <c r="K1728" s="77"/>
      <c r="L1728" s="89"/>
      <c r="M1728" s="77"/>
      <c r="N1728" s="77"/>
      <c r="O1728" s="77"/>
      <c r="P1728" s="77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</row>
    <row r="1729">
      <c r="A1729" s="102" t="str">
        <f t="shared" si="1"/>
        <v/>
      </c>
      <c r="B1729" s="94"/>
      <c r="C1729" s="95"/>
      <c r="D1729" s="96"/>
      <c r="E1729" s="97"/>
      <c r="F1729" s="109"/>
      <c r="G1729" s="99"/>
      <c r="H1729" s="102"/>
      <c r="I1729" s="95"/>
      <c r="J1729" s="93"/>
      <c r="K1729" s="102"/>
      <c r="L1729" s="101"/>
      <c r="M1729" s="102"/>
      <c r="N1729" s="102"/>
      <c r="O1729" s="102"/>
      <c r="P1729" s="102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</row>
    <row r="1730">
      <c r="A1730" s="77" t="str">
        <f t="shared" si="1"/>
        <v/>
      </c>
      <c r="B1730" s="78"/>
      <c r="C1730" s="82"/>
      <c r="D1730" s="83"/>
      <c r="E1730" s="84"/>
      <c r="F1730" s="114"/>
      <c r="G1730" s="86"/>
      <c r="H1730" s="77"/>
      <c r="I1730" s="82"/>
      <c r="J1730" s="87"/>
      <c r="K1730" s="77"/>
      <c r="L1730" s="89"/>
      <c r="M1730" s="77"/>
      <c r="N1730" s="77"/>
      <c r="O1730" s="77"/>
      <c r="P1730" s="77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</row>
    <row r="1731">
      <c r="A1731" s="102" t="str">
        <f t="shared" si="1"/>
        <v/>
      </c>
      <c r="B1731" s="94"/>
      <c r="C1731" s="95"/>
      <c r="D1731" s="96"/>
      <c r="E1731" s="97"/>
      <c r="F1731" s="109"/>
      <c r="G1731" s="99"/>
      <c r="H1731" s="102"/>
      <c r="I1731" s="95"/>
      <c r="J1731" s="93"/>
      <c r="K1731" s="102"/>
      <c r="L1731" s="101"/>
      <c r="M1731" s="102"/>
      <c r="N1731" s="102"/>
      <c r="O1731" s="102"/>
      <c r="P1731" s="102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</row>
    <row r="1732">
      <c r="A1732" s="77" t="str">
        <f t="shared" si="1"/>
        <v/>
      </c>
      <c r="B1732" s="78"/>
      <c r="C1732" s="82"/>
      <c r="D1732" s="83"/>
      <c r="E1732" s="84"/>
      <c r="F1732" s="114"/>
      <c r="G1732" s="86"/>
      <c r="H1732" s="77"/>
      <c r="I1732" s="82"/>
      <c r="J1732" s="87"/>
      <c r="K1732" s="77"/>
      <c r="L1732" s="89"/>
      <c r="M1732" s="77"/>
      <c r="N1732" s="77"/>
      <c r="O1732" s="77"/>
      <c r="P1732" s="77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</row>
    <row r="1733">
      <c r="A1733" s="102" t="str">
        <f t="shared" si="1"/>
        <v/>
      </c>
      <c r="B1733" s="94"/>
      <c r="C1733" s="95"/>
      <c r="D1733" s="96"/>
      <c r="E1733" s="97"/>
      <c r="F1733" s="109"/>
      <c r="G1733" s="99"/>
      <c r="H1733" s="102"/>
      <c r="I1733" s="95"/>
      <c r="J1733" s="93"/>
      <c r="K1733" s="102"/>
      <c r="L1733" s="101"/>
      <c r="M1733" s="102"/>
      <c r="N1733" s="102"/>
      <c r="O1733" s="102"/>
      <c r="P1733" s="102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</row>
    <row r="1734">
      <c r="A1734" s="77" t="str">
        <f t="shared" si="1"/>
        <v/>
      </c>
      <c r="B1734" s="78"/>
      <c r="C1734" s="82"/>
      <c r="D1734" s="83"/>
      <c r="E1734" s="84"/>
      <c r="F1734" s="114"/>
      <c r="G1734" s="86"/>
      <c r="H1734" s="77"/>
      <c r="I1734" s="82"/>
      <c r="J1734" s="87"/>
      <c r="K1734" s="77"/>
      <c r="L1734" s="89"/>
      <c r="M1734" s="77"/>
      <c r="N1734" s="77"/>
      <c r="O1734" s="77"/>
      <c r="P1734" s="77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</row>
    <row r="1735">
      <c r="A1735" s="102" t="str">
        <f t="shared" si="1"/>
        <v/>
      </c>
      <c r="B1735" s="94"/>
      <c r="C1735" s="95"/>
      <c r="D1735" s="96"/>
      <c r="E1735" s="97"/>
      <c r="F1735" s="109"/>
      <c r="G1735" s="99"/>
      <c r="H1735" s="102"/>
      <c r="I1735" s="95"/>
      <c r="J1735" s="93"/>
      <c r="K1735" s="102"/>
      <c r="L1735" s="101"/>
      <c r="M1735" s="102"/>
      <c r="N1735" s="102"/>
      <c r="O1735" s="102"/>
      <c r="P1735" s="102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</row>
    <row r="1736">
      <c r="A1736" s="77" t="str">
        <f t="shared" si="1"/>
        <v/>
      </c>
      <c r="B1736" s="78"/>
      <c r="C1736" s="82"/>
      <c r="D1736" s="83"/>
      <c r="E1736" s="84"/>
      <c r="F1736" s="114"/>
      <c r="G1736" s="86"/>
      <c r="H1736" s="77"/>
      <c r="I1736" s="82"/>
      <c r="J1736" s="87"/>
      <c r="K1736" s="77"/>
      <c r="L1736" s="89"/>
      <c r="M1736" s="77"/>
      <c r="N1736" s="77"/>
      <c r="O1736" s="77"/>
      <c r="P1736" s="77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</row>
    <row r="1737">
      <c r="A1737" s="102" t="str">
        <f t="shared" si="1"/>
        <v/>
      </c>
      <c r="B1737" s="94"/>
      <c r="C1737" s="95"/>
      <c r="D1737" s="96"/>
      <c r="E1737" s="97"/>
      <c r="F1737" s="109"/>
      <c r="G1737" s="99"/>
      <c r="H1737" s="102"/>
      <c r="I1737" s="95"/>
      <c r="J1737" s="93"/>
      <c r="K1737" s="102"/>
      <c r="L1737" s="101"/>
      <c r="M1737" s="102"/>
      <c r="N1737" s="102"/>
      <c r="O1737" s="102"/>
      <c r="P1737" s="102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</row>
    <row r="1738">
      <c r="A1738" s="77" t="str">
        <f t="shared" si="1"/>
        <v/>
      </c>
      <c r="B1738" s="78"/>
      <c r="C1738" s="82"/>
      <c r="D1738" s="83"/>
      <c r="E1738" s="84"/>
      <c r="F1738" s="114"/>
      <c r="G1738" s="86"/>
      <c r="H1738" s="77"/>
      <c r="I1738" s="82"/>
      <c r="J1738" s="87"/>
      <c r="K1738" s="77"/>
      <c r="L1738" s="89"/>
      <c r="M1738" s="77"/>
      <c r="N1738" s="77"/>
      <c r="O1738" s="77"/>
      <c r="P1738" s="77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</row>
    <row r="1739">
      <c r="A1739" s="102" t="str">
        <f t="shared" si="1"/>
        <v/>
      </c>
      <c r="B1739" s="94"/>
      <c r="C1739" s="95"/>
      <c r="D1739" s="96"/>
      <c r="E1739" s="97"/>
      <c r="F1739" s="109"/>
      <c r="G1739" s="99"/>
      <c r="H1739" s="102"/>
      <c r="I1739" s="95"/>
      <c r="J1739" s="93"/>
      <c r="K1739" s="102"/>
      <c r="L1739" s="101"/>
      <c r="M1739" s="102"/>
      <c r="N1739" s="102"/>
      <c r="O1739" s="102"/>
      <c r="P1739" s="102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</row>
    <row r="1740">
      <c r="A1740" s="77" t="str">
        <f t="shared" si="1"/>
        <v/>
      </c>
      <c r="B1740" s="78"/>
      <c r="C1740" s="82"/>
      <c r="D1740" s="83"/>
      <c r="E1740" s="84"/>
      <c r="F1740" s="114"/>
      <c r="G1740" s="86"/>
      <c r="H1740" s="77"/>
      <c r="I1740" s="82"/>
      <c r="J1740" s="87"/>
      <c r="K1740" s="77"/>
      <c r="L1740" s="89"/>
      <c r="M1740" s="77"/>
      <c r="N1740" s="77"/>
      <c r="O1740" s="77"/>
      <c r="P1740" s="77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</row>
    <row r="1741">
      <c r="A1741" s="102" t="str">
        <f t="shared" si="1"/>
        <v/>
      </c>
      <c r="B1741" s="94"/>
      <c r="C1741" s="95"/>
      <c r="D1741" s="96"/>
      <c r="E1741" s="97"/>
      <c r="F1741" s="109"/>
      <c r="G1741" s="99"/>
      <c r="H1741" s="102"/>
      <c r="I1741" s="95"/>
      <c r="J1741" s="93"/>
      <c r="K1741" s="102"/>
      <c r="L1741" s="101"/>
      <c r="M1741" s="102"/>
      <c r="N1741" s="102"/>
      <c r="O1741" s="102"/>
      <c r="P1741" s="102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</row>
    <row r="1742">
      <c r="A1742" s="77" t="str">
        <f t="shared" si="1"/>
        <v/>
      </c>
      <c r="B1742" s="78"/>
      <c r="C1742" s="82"/>
      <c r="D1742" s="83"/>
      <c r="E1742" s="84"/>
      <c r="F1742" s="114"/>
      <c r="G1742" s="86"/>
      <c r="H1742" s="77"/>
      <c r="I1742" s="82"/>
      <c r="J1742" s="87"/>
      <c r="K1742" s="77"/>
      <c r="L1742" s="89"/>
      <c r="M1742" s="77"/>
      <c r="N1742" s="77"/>
      <c r="O1742" s="77"/>
      <c r="P1742" s="77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</row>
    <row r="1743">
      <c r="A1743" s="102" t="str">
        <f t="shared" si="1"/>
        <v/>
      </c>
      <c r="B1743" s="94"/>
      <c r="C1743" s="95"/>
      <c r="D1743" s="96"/>
      <c r="E1743" s="97"/>
      <c r="F1743" s="109"/>
      <c r="G1743" s="99"/>
      <c r="H1743" s="102"/>
      <c r="I1743" s="95"/>
      <c r="J1743" s="93"/>
      <c r="K1743" s="102"/>
      <c r="L1743" s="101"/>
      <c r="M1743" s="102"/>
      <c r="N1743" s="102"/>
      <c r="O1743" s="102"/>
      <c r="P1743" s="102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</row>
    <row r="1744">
      <c r="A1744" s="77" t="str">
        <f t="shared" si="1"/>
        <v/>
      </c>
      <c r="B1744" s="78"/>
      <c r="C1744" s="82"/>
      <c r="D1744" s="83"/>
      <c r="E1744" s="84"/>
      <c r="F1744" s="114"/>
      <c r="G1744" s="86"/>
      <c r="H1744" s="77"/>
      <c r="I1744" s="82"/>
      <c r="J1744" s="87"/>
      <c r="K1744" s="77"/>
      <c r="L1744" s="89"/>
      <c r="M1744" s="77"/>
      <c r="N1744" s="77"/>
      <c r="O1744" s="77"/>
      <c r="P1744" s="77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</row>
    <row r="1745">
      <c r="A1745" s="102" t="str">
        <f t="shared" si="1"/>
        <v/>
      </c>
      <c r="B1745" s="94"/>
      <c r="C1745" s="95"/>
      <c r="D1745" s="96"/>
      <c r="E1745" s="97"/>
      <c r="F1745" s="109"/>
      <c r="G1745" s="99"/>
      <c r="H1745" s="102"/>
      <c r="I1745" s="95"/>
      <c r="J1745" s="93"/>
      <c r="K1745" s="102"/>
      <c r="L1745" s="101"/>
      <c r="M1745" s="102"/>
      <c r="N1745" s="102"/>
      <c r="O1745" s="102"/>
      <c r="P1745" s="102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</row>
    <row r="1746">
      <c r="A1746" s="77" t="str">
        <f t="shared" si="1"/>
        <v/>
      </c>
      <c r="B1746" s="78"/>
      <c r="C1746" s="82"/>
      <c r="D1746" s="83"/>
      <c r="E1746" s="84"/>
      <c r="F1746" s="114"/>
      <c r="G1746" s="86"/>
      <c r="H1746" s="77"/>
      <c r="I1746" s="82"/>
      <c r="J1746" s="87"/>
      <c r="K1746" s="77"/>
      <c r="L1746" s="89"/>
      <c r="M1746" s="77"/>
      <c r="N1746" s="77"/>
      <c r="O1746" s="77"/>
      <c r="P1746" s="77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</row>
    <row r="1747">
      <c r="A1747" s="102" t="str">
        <f t="shared" si="1"/>
        <v/>
      </c>
      <c r="B1747" s="94"/>
      <c r="C1747" s="95"/>
      <c r="D1747" s="96"/>
      <c r="E1747" s="97"/>
      <c r="F1747" s="109"/>
      <c r="G1747" s="99"/>
      <c r="H1747" s="102"/>
      <c r="I1747" s="95"/>
      <c r="J1747" s="93"/>
      <c r="K1747" s="102"/>
      <c r="L1747" s="101"/>
      <c r="M1747" s="102"/>
      <c r="N1747" s="102"/>
      <c r="O1747" s="102"/>
      <c r="P1747" s="102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</row>
    <row r="1748">
      <c r="A1748" s="77" t="str">
        <f t="shared" si="1"/>
        <v/>
      </c>
      <c r="B1748" s="78"/>
      <c r="C1748" s="82"/>
      <c r="D1748" s="83"/>
      <c r="E1748" s="84"/>
      <c r="F1748" s="114"/>
      <c r="G1748" s="86"/>
      <c r="H1748" s="77"/>
      <c r="I1748" s="82"/>
      <c r="J1748" s="87"/>
      <c r="K1748" s="77"/>
      <c r="L1748" s="89"/>
      <c r="M1748" s="77"/>
      <c r="N1748" s="77"/>
      <c r="O1748" s="77"/>
      <c r="P1748" s="77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</row>
    <row r="1749">
      <c r="A1749" s="102" t="str">
        <f t="shared" si="1"/>
        <v/>
      </c>
      <c r="B1749" s="94"/>
      <c r="C1749" s="95"/>
      <c r="D1749" s="96"/>
      <c r="E1749" s="97"/>
      <c r="F1749" s="109"/>
      <c r="G1749" s="99"/>
      <c r="H1749" s="102"/>
      <c r="I1749" s="95"/>
      <c r="J1749" s="93"/>
      <c r="K1749" s="102"/>
      <c r="L1749" s="101"/>
      <c r="M1749" s="102"/>
      <c r="N1749" s="102"/>
      <c r="O1749" s="102"/>
      <c r="P1749" s="102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</row>
    <row r="1750">
      <c r="A1750" s="77" t="str">
        <f t="shared" si="1"/>
        <v/>
      </c>
      <c r="B1750" s="78"/>
      <c r="C1750" s="82"/>
      <c r="D1750" s="83"/>
      <c r="E1750" s="84"/>
      <c r="F1750" s="114"/>
      <c r="G1750" s="86"/>
      <c r="H1750" s="77"/>
      <c r="I1750" s="82"/>
      <c r="J1750" s="87"/>
      <c r="K1750" s="77"/>
      <c r="L1750" s="89"/>
      <c r="M1750" s="77"/>
      <c r="N1750" s="77"/>
      <c r="O1750" s="77"/>
      <c r="P1750" s="77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</row>
    <row r="1751">
      <c r="A1751" s="102" t="str">
        <f t="shared" si="1"/>
        <v/>
      </c>
      <c r="B1751" s="94"/>
      <c r="C1751" s="95"/>
      <c r="D1751" s="96"/>
      <c r="E1751" s="97"/>
      <c r="F1751" s="109"/>
      <c r="G1751" s="99"/>
      <c r="H1751" s="102"/>
      <c r="I1751" s="95"/>
      <c r="J1751" s="93"/>
      <c r="K1751" s="102"/>
      <c r="L1751" s="101"/>
      <c r="M1751" s="102"/>
      <c r="N1751" s="102"/>
      <c r="O1751" s="102"/>
      <c r="P1751" s="102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</row>
    <row r="1752">
      <c r="A1752" s="77" t="str">
        <f t="shared" si="1"/>
        <v/>
      </c>
      <c r="B1752" s="78"/>
      <c r="C1752" s="82"/>
      <c r="D1752" s="83"/>
      <c r="E1752" s="84"/>
      <c r="F1752" s="114"/>
      <c r="G1752" s="86"/>
      <c r="H1752" s="77"/>
      <c r="I1752" s="82"/>
      <c r="J1752" s="87"/>
      <c r="K1752" s="77"/>
      <c r="L1752" s="89"/>
      <c r="M1752" s="77"/>
      <c r="N1752" s="77"/>
      <c r="O1752" s="77"/>
      <c r="P1752" s="77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</row>
    <row r="1753">
      <c r="A1753" s="102" t="str">
        <f t="shared" si="1"/>
        <v/>
      </c>
      <c r="B1753" s="94"/>
      <c r="C1753" s="95"/>
      <c r="D1753" s="96"/>
      <c r="E1753" s="97"/>
      <c r="F1753" s="109"/>
      <c r="G1753" s="99"/>
      <c r="H1753" s="102"/>
      <c r="I1753" s="95"/>
      <c r="J1753" s="93"/>
      <c r="K1753" s="102"/>
      <c r="L1753" s="101"/>
      <c r="M1753" s="102"/>
      <c r="N1753" s="102"/>
      <c r="O1753" s="102"/>
      <c r="P1753" s="102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</row>
    <row r="1754">
      <c r="A1754" s="77" t="str">
        <f t="shared" si="1"/>
        <v/>
      </c>
      <c r="B1754" s="78"/>
      <c r="C1754" s="82"/>
      <c r="D1754" s="83"/>
      <c r="E1754" s="84"/>
      <c r="F1754" s="114"/>
      <c r="G1754" s="86"/>
      <c r="H1754" s="77"/>
      <c r="I1754" s="82"/>
      <c r="J1754" s="87"/>
      <c r="K1754" s="77"/>
      <c r="L1754" s="89"/>
      <c r="M1754" s="77"/>
      <c r="N1754" s="77"/>
      <c r="O1754" s="77"/>
      <c r="P1754" s="77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</row>
    <row r="1755">
      <c r="A1755" s="102" t="str">
        <f t="shared" si="1"/>
        <v/>
      </c>
      <c r="B1755" s="94"/>
      <c r="C1755" s="95"/>
      <c r="D1755" s="96"/>
      <c r="E1755" s="97"/>
      <c r="F1755" s="109"/>
      <c r="G1755" s="99"/>
      <c r="H1755" s="102"/>
      <c r="I1755" s="95"/>
      <c r="J1755" s="93"/>
      <c r="K1755" s="102"/>
      <c r="L1755" s="101"/>
      <c r="M1755" s="102"/>
      <c r="N1755" s="102"/>
      <c r="O1755" s="102"/>
      <c r="P1755" s="102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</row>
    <row r="1756">
      <c r="A1756" s="77" t="str">
        <f t="shared" si="1"/>
        <v/>
      </c>
      <c r="B1756" s="78"/>
      <c r="C1756" s="82"/>
      <c r="D1756" s="83"/>
      <c r="E1756" s="84"/>
      <c r="F1756" s="114"/>
      <c r="G1756" s="86"/>
      <c r="H1756" s="77"/>
      <c r="I1756" s="82"/>
      <c r="J1756" s="87"/>
      <c r="K1756" s="77"/>
      <c r="L1756" s="89"/>
      <c r="M1756" s="77"/>
      <c r="N1756" s="77"/>
      <c r="O1756" s="77"/>
      <c r="P1756" s="77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</row>
    <row r="1757">
      <c r="A1757" s="102" t="str">
        <f t="shared" si="1"/>
        <v/>
      </c>
      <c r="B1757" s="94"/>
      <c r="C1757" s="95"/>
      <c r="D1757" s="96"/>
      <c r="E1757" s="97"/>
      <c r="F1757" s="109"/>
      <c r="G1757" s="99"/>
      <c r="H1757" s="102"/>
      <c r="I1757" s="95"/>
      <c r="J1757" s="93"/>
      <c r="K1757" s="102"/>
      <c r="L1757" s="101"/>
      <c r="M1757" s="102"/>
      <c r="N1757" s="102"/>
      <c r="O1757" s="102"/>
      <c r="P1757" s="102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</row>
    <row r="1758">
      <c r="A1758" s="77" t="str">
        <f t="shared" si="1"/>
        <v/>
      </c>
      <c r="B1758" s="78"/>
      <c r="C1758" s="82"/>
      <c r="D1758" s="83"/>
      <c r="E1758" s="84"/>
      <c r="F1758" s="114"/>
      <c r="G1758" s="86"/>
      <c r="H1758" s="77"/>
      <c r="I1758" s="82"/>
      <c r="J1758" s="87"/>
      <c r="K1758" s="77"/>
      <c r="L1758" s="89"/>
      <c r="M1758" s="77"/>
      <c r="N1758" s="77"/>
      <c r="O1758" s="77"/>
      <c r="P1758" s="77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</row>
    <row r="1759">
      <c r="A1759" s="102" t="str">
        <f t="shared" si="1"/>
        <v/>
      </c>
      <c r="B1759" s="94"/>
      <c r="C1759" s="95"/>
      <c r="D1759" s="96"/>
      <c r="E1759" s="97"/>
      <c r="F1759" s="109"/>
      <c r="G1759" s="99"/>
      <c r="H1759" s="102"/>
      <c r="I1759" s="95"/>
      <c r="J1759" s="93"/>
      <c r="K1759" s="102"/>
      <c r="L1759" s="101"/>
      <c r="M1759" s="102"/>
      <c r="N1759" s="102"/>
      <c r="O1759" s="102"/>
      <c r="P1759" s="102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</row>
    <row r="1760">
      <c r="A1760" s="77" t="str">
        <f t="shared" si="1"/>
        <v/>
      </c>
      <c r="B1760" s="78"/>
      <c r="C1760" s="82"/>
      <c r="D1760" s="83"/>
      <c r="E1760" s="84"/>
      <c r="F1760" s="114"/>
      <c r="G1760" s="86"/>
      <c r="H1760" s="77"/>
      <c r="I1760" s="82"/>
      <c r="J1760" s="87"/>
      <c r="K1760" s="77"/>
      <c r="L1760" s="89"/>
      <c r="M1760" s="77"/>
      <c r="N1760" s="77"/>
      <c r="O1760" s="77"/>
      <c r="P1760" s="77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</row>
    <row r="1761">
      <c r="A1761" s="102" t="str">
        <f t="shared" si="1"/>
        <v/>
      </c>
      <c r="B1761" s="94"/>
      <c r="C1761" s="95"/>
      <c r="D1761" s="96"/>
      <c r="E1761" s="97"/>
      <c r="F1761" s="109"/>
      <c r="G1761" s="99"/>
      <c r="H1761" s="102"/>
      <c r="I1761" s="95"/>
      <c r="J1761" s="93"/>
      <c r="K1761" s="102"/>
      <c r="L1761" s="101"/>
      <c r="M1761" s="102"/>
      <c r="N1761" s="102"/>
      <c r="O1761" s="102"/>
      <c r="P1761" s="102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</row>
    <row r="1762">
      <c r="A1762" s="77" t="str">
        <f t="shared" si="1"/>
        <v/>
      </c>
      <c r="B1762" s="78"/>
      <c r="C1762" s="82"/>
      <c r="D1762" s="83"/>
      <c r="E1762" s="84"/>
      <c r="F1762" s="114"/>
      <c r="G1762" s="86"/>
      <c r="H1762" s="77"/>
      <c r="I1762" s="82"/>
      <c r="J1762" s="87"/>
      <c r="K1762" s="77"/>
      <c r="L1762" s="89"/>
      <c r="M1762" s="77"/>
      <c r="N1762" s="77"/>
      <c r="O1762" s="77"/>
      <c r="P1762" s="77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</row>
    <row r="1763">
      <c r="A1763" s="102" t="str">
        <f t="shared" si="1"/>
        <v/>
      </c>
      <c r="B1763" s="94"/>
      <c r="C1763" s="95"/>
      <c r="D1763" s="96"/>
      <c r="E1763" s="97"/>
      <c r="F1763" s="109"/>
      <c r="G1763" s="99"/>
      <c r="H1763" s="102"/>
      <c r="I1763" s="95"/>
      <c r="J1763" s="93"/>
      <c r="K1763" s="102"/>
      <c r="L1763" s="101"/>
      <c r="M1763" s="102"/>
      <c r="N1763" s="102"/>
      <c r="O1763" s="102"/>
      <c r="P1763" s="102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</row>
    <row r="1764">
      <c r="A1764" s="77" t="str">
        <f t="shared" si="1"/>
        <v/>
      </c>
      <c r="B1764" s="78"/>
      <c r="C1764" s="82"/>
      <c r="D1764" s="83"/>
      <c r="E1764" s="84"/>
      <c r="F1764" s="114"/>
      <c r="G1764" s="86"/>
      <c r="H1764" s="77"/>
      <c r="I1764" s="82"/>
      <c r="J1764" s="87"/>
      <c r="K1764" s="77"/>
      <c r="L1764" s="89"/>
      <c r="M1764" s="77"/>
      <c r="N1764" s="77"/>
      <c r="O1764" s="77"/>
      <c r="P1764" s="77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</row>
    <row r="1765">
      <c r="A1765" s="102" t="str">
        <f t="shared" si="1"/>
        <v/>
      </c>
      <c r="B1765" s="94"/>
      <c r="C1765" s="95"/>
      <c r="D1765" s="96"/>
      <c r="E1765" s="97"/>
      <c r="F1765" s="109"/>
      <c r="G1765" s="99"/>
      <c r="H1765" s="102"/>
      <c r="I1765" s="95"/>
      <c r="J1765" s="93"/>
      <c r="K1765" s="102"/>
      <c r="L1765" s="101"/>
      <c r="M1765" s="102"/>
      <c r="N1765" s="102"/>
      <c r="O1765" s="102"/>
      <c r="P1765" s="102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</row>
    <row r="1766">
      <c r="A1766" s="77" t="str">
        <f t="shared" si="1"/>
        <v/>
      </c>
      <c r="B1766" s="78"/>
      <c r="C1766" s="82"/>
      <c r="D1766" s="83"/>
      <c r="E1766" s="84"/>
      <c r="F1766" s="114"/>
      <c r="G1766" s="86"/>
      <c r="H1766" s="77"/>
      <c r="I1766" s="82"/>
      <c r="J1766" s="87"/>
      <c r="K1766" s="77"/>
      <c r="L1766" s="89"/>
      <c r="M1766" s="77"/>
      <c r="N1766" s="77"/>
      <c r="O1766" s="77"/>
      <c r="P1766" s="77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</row>
    <row r="1767">
      <c r="A1767" s="102" t="str">
        <f t="shared" si="1"/>
        <v/>
      </c>
      <c r="B1767" s="94"/>
      <c r="C1767" s="95"/>
      <c r="D1767" s="96"/>
      <c r="E1767" s="97"/>
      <c r="F1767" s="109"/>
      <c r="G1767" s="99"/>
      <c r="H1767" s="102"/>
      <c r="I1767" s="95"/>
      <c r="J1767" s="93"/>
      <c r="K1767" s="102"/>
      <c r="L1767" s="101"/>
      <c r="M1767" s="102"/>
      <c r="N1767" s="102"/>
      <c r="O1767" s="102"/>
      <c r="P1767" s="102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</row>
    <row r="1768">
      <c r="A1768" s="77" t="str">
        <f t="shared" si="1"/>
        <v/>
      </c>
      <c r="B1768" s="78"/>
      <c r="C1768" s="82"/>
      <c r="D1768" s="83"/>
      <c r="E1768" s="84"/>
      <c r="F1768" s="114"/>
      <c r="G1768" s="86"/>
      <c r="H1768" s="77"/>
      <c r="I1768" s="82"/>
      <c r="J1768" s="87"/>
      <c r="K1768" s="77"/>
      <c r="L1768" s="89"/>
      <c r="M1768" s="77"/>
      <c r="N1768" s="77"/>
      <c r="O1768" s="77"/>
      <c r="P1768" s="77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</row>
    <row r="1769">
      <c r="A1769" s="102" t="str">
        <f t="shared" si="1"/>
        <v/>
      </c>
      <c r="B1769" s="94"/>
      <c r="C1769" s="95"/>
      <c r="D1769" s="96"/>
      <c r="E1769" s="97"/>
      <c r="F1769" s="109"/>
      <c r="G1769" s="99"/>
      <c r="H1769" s="102"/>
      <c r="I1769" s="95"/>
      <c r="J1769" s="93"/>
      <c r="K1769" s="102"/>
      <c r="L1769" s="101"/>
      <c r="M1769" s="102"/>
      <c r="N1769" s="102"/>
      <c r="O1769" s="102"/>
      <c r="P1769" s="102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</row>
    <row r="1770">
      <c r="A1770" s="77" t="str">
        <f t="shared" si="1"/>
        <v/>
      </c>
      <c r="B1770" s="78"/>
      <c r="C1770" s="82"/>
      <c r="D1770" s="83"/>
      <c r="E1770" s="84"/>
      <c r="F1770" s="114"/>
      <c r="G1770" s="86"/>
      <c r="H1770" s="77"/>
      <c r="I1770" s="82"/>
      <c r="J1770" s="87"/>
      <c r="K1770" s="77"/>
      <c r="L1770" s="89"/>
      <c r="M1770" s="77"/>
      <c r="N1770" s="77"/>
      <c r="O1770" s="77"/>
      <c r="P1770" s="77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</row>
    <row r="1771">
      <c r="A1771" s="102" t="str">
        <f t="shared" si="1"/>
        <v/>
      </c>
      <c r="B1771" s="94"/>
      <c r="C1771" s="95"/>
      <c r="D1771" s="96"/>
      <c r="E1771" s="97"/>
      <c r="F1771" s="109"/>
      <c r="G1771" s="99"/>
      <c r="H1771" s="102"/>
      <c r="I1771" s="95"/>
      <c r="J1771" s="93"/>
      <c r="K1771" s="102"/>
      <c r="L1771" s="101"/>
      <c r="M1771" s="102"/>
      <c r="N1771" s="102"/>
      <c r="O1771" s="102"/>
      <c r="P1771" s="102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</row>
    <row r="1772">
      <c r="A1772" s="77" t="str">
        <f t="shared" si="1"/>
        <v/>
      </c>
      <c r="B1772" s="78"/>
      <c r="C1772" s="82"/>
      <c r="D1772" s="83"/>
      <c r="E1772" s="84"/>
      <c r="F1772" s="114"/>
      <c r="G1772" s="86"/>
      <c r="H1772" s="77"/>
      <c r="I1772" s="82"/>
      <c r="J1772" s="87"/>
      <c r="K1772" s="77"/>
      <c r="L1772" s="89"/>
      <c r="M1772" s="77"/>
      <c r="N1772" s="77"/>
      <c r="O1772" s="77"/>
      <c r="P1772" s="77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</row>
    <row r="1773">
      <c r="A1773" s="102" t="str">
        <f t="shared" si="1"/>
        <v/>
      </c>
      <c r="B1773" s="94"/>
      <c r="C1773" s="95"/>
      <c r="D1773" s="96"/>
      <c r="E1773" s="97"/>
      <c r="F1773" s="109"/>
      <c r="G1773" s="99"/>
      <c r="H1773" s="102"/>
      <c r="I1773" s="95"/>
      <c r="J1773" s="93"/>
      <c r="K1773" s="102"/>
      <c r="L1773" s="101"/>
      <c r="M1773" s="102"/>
      <c r="N1773" s="102"/>
      <c r="O1773" s="102"/>
      <c r="P1773" s="102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</row>
    <row r="1774">
      <c r="A1774" s="77" t="str">
        <f t="shared" si="1"/>
        <v/>
      </c>
      <c r="B1774" s="78"/>
      <c r="C1774" s="82"/>
      <c r="D1774" s="83"/>
      <c r="E1774" s="84"/>
      <c r="F1774" s="114"/>
      <c r="G1774" s="86"/>
      <c r="H1774" s="77"/>
      <c r="I1774" s="82"/>
      <c r="J1774" s="87"/>
      <c r="K1774" s="77"/>
      <c r="L1774" s="89"/>
      <c r="M1774" s="77"/>
      <c r="N1774" s="77"/>
      <c r="O1774" s="77"/>
      <c r="P1774" s="77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</row>
    <row r="1775">
      <c r="A1775" s="102" t="str">
        <f t="shared" si="1"/>
        <v/>
      </c>
      <c r="B1775" s="94"/>
      <c r="C1775" s="95"/>
      <c r="D1775" s="96"/>
      <c r="E1775" s="97"/>
      <c r="F1775" s="109"/>
      <c r="G1775" s="99"/>
      <c r="H1775" s="102"/>
      <c r="I1775" s="95"/>
      <c r="J1775" s="93"/>
      <c r="K1775" s="102"/>
      <c r="L1775" s="101"/>
      <c r="M1775" s="102"/>
      <c r="N1775" s="102"/>
      <c r="O1775" s="102"/>
      <c r="P1775" s="102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</row>
    <row r="1776">
      <c r="A1776" s="77" t="str">
        <f t="shared" si="1"/>
        <v/>
      </c>
      <c r="B1776" s="78"/>
      <c r="C1776" s="82"/>
      <c r="D1776" s="83"/>
      <c r="E1776" s="84"/>
      <c r="F1776" s="114"/>
      <c r="G1776" s="86"/>
      <c r="H1776" s="77"/>
      <c r="I1776" s="82"/>
      <c r="J1776" s="87"/>
      <c r="K1776" s="77"/>
      <c r="L1776" s="89"/>
      <c r="M1776" s="77"/>
      <c r="N1776" s="77"/>
      <c r="O1776" s="77"/>
      <c r="P1776" s="77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</row>
    <row r="1777">
      <c r="A1777" s="102" t="str">
        <f t="shared" si="1"/>
        <v/>
      </c>
      <c r="B1777" s="94"/>
      <c r="C1777" s="95"/>
      <c r="D1777" s="96"/>
      <c r="E1777" s="97"/>
      <c r="F1777" s="109"/>
      <c r="G1777" s="99"/>
      <c r="H1777" s="102"/>
      <c r="I1777" s="95"/>
      <c r="J1777" s="93"/>
      <c r="K1777" s="102"/>
      <c r="L1777" s="101"/>
      <c r="M1777" s="102"/>
      <c r="N1777" s="102"/>
      <c r="O1777" s="102"/>
      <c r="P1777" s="102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</row>
    <row r="1778">
      <c r="A1778" s="77" t="str">
        <f t="shared" si="1"/>
        <v/>
      </c>
      <c r="B1778" s="78"/>
      <c r="C1778" s="82"/>
      <c r="D1778" s="83"/>
      <c r="E1778" s="84"/>
      <c r="F1778" s="114"/>
      <c r="G1778" s="86"/>
      <c r="H1778" s="77"/>
      <c r="I1778" s="82"/>
      <c r="J1778" s="87"/>
      <c r="K1778" s="77"/>
      <c r="L1778" s="89"/>
      <c r="M1778" s="77"/>
      <c r="N1778" s="77"/>
      <c r="O1778" s="77"/>
      <c r="P1778" s="77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</row>
    <row r="1779">
      <c r="A1779" s="102" t="str">
        <f t="shared" si="1"/>
        <v/>
      </c>
      <c r="B1779" s="94"/>
      <c r="C1779" s="95"/>
      <c r="D1779" s="96"/>
      <c r="E1779" s="97"/>
      <c r="F1779" s="109"/>
      <c r="G1779" s="99"/>
      <c r="H1779" s="102"/>
      <c r="I1779" s="95"/>
      <c r="J1779" s="93"/>
      <c r="K1779" s="102"/>
      <c r="L1779" s="101"/>
      <c r="M1779" s="102"/>
      <c r="N1779" s="102"/>
      <c r="O1779" s="102"/>
      <c r="P1779" s="102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</row>
    <row r="1780">
      <c r="A1780" s="77" t="str">
        <f t="shared" si="1"/>
        <v/>
      </c>
      <c r="B1780" s="78"/>
      <c r="C1780" s="82"/>
      <c r="D1780" s="83"/>
      <c r="E1780" s="84"/>
      <c r="F1780" s="114"/>
      <c r="G1780" s="86"/>
      <c r="H1780" s="77"/>
      <c r="I1780" s="82"/>
      <c r="J1780" s="87"/>
      <c r="K1780" s="77"/>
      <c r="L1780" s="89"/>
      <c r="M1780" s="77"/>
      <c r="N1780" s="77"/>
      <c r="O1780" s="77"/>
      <c r="P1780" s="77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</row>
    <row r="1781">
      <c r="A1781" s="102" t="str">
        <f t="shared" si="1"/>
        <v/>
      </c>
      <c r="B1781" s="94"/>
      <c r="C1781" s="95"/>
      <c r="D1781" s="96"/>
      <c r="E1781" s="97"/>
      <c r="F1781" s="109"/>
      <c r="G1781" s="99"/>
      <c r="H1781" s="102"/>
      <c r="I1781" s="95"/>
      <c r="J1781" s="93"/>
      <c r="K1781" s="102"/>
      <c r="L1781" s="101"/>
      <c r="M1781" s="102"/>
      <c r="N1781" s="102"/>
      <c r="O1781" s="102"/>
      <c r="P1781" s="102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</row>
    <row r="1782">
      <c r="A1782" s="77" t="str">
        <f t="shared" si="1"/>
        <v/>
      </c>
      <c r="B1782" s="78"/>
      <c r="C1782" s="82"/>
      <c r="D1782" s="83"/>
      <c r="E1782" s="84"/>
      <c r="F1782" s="114"/>
      <c r="G1782" s="86"/>
      <c r="H1782" s="77"/>
      <c r="I1782" s="82"/>
      <c r="J1782" s="87"/>
      <c r="K1782" s="77"/>
      <c r="L1782" s="89"/>
      <c r="M1782" s="77"/>
      <c r="N1782" s="77"/>
      <c r="O1782" s="77"/>
      <c r="P1782" s="77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</row>
    <row r="1783">
      <c r="A1783" s="102" t="str">
        <f t="shared" si="1"/>
        <v/>
      </c>
      <c r="B1783" s="94"/>
      <c r="C1783" s="95"/>
      <c r="D1783" s="96"/>
      <c r="E1783" s="97"/>
      <c r="F1783" s="109"/>
      <c r="G1783" s="99"/>
      <c r="H1783" s="102"/>
      <c r="I1783" s="95"/>
      <c r="J1783" s="93"/>
      <c r="K1783" s="102"/>
      <c r="L1783" s="101"/>
      <c r="M1783" s="102"/>
      <c r="N1783" s="102"/>
      <c r="O1783" s="102"/>
      <c r="P1783" s="102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</row>
    <row r="1784">
      <c r="A1784" s="77" t="str">
        <f t="shared" si="1"/>
        <v/>
      </c>
      <c r="B1784" s="78"/>
      <c r="C1784" s="82"/>
      <c r="D1784" s="83"/>
      <c r="E1784" s="84"/>
      <c r="F1784" s="114"/>
      <c r="G1784" s="86"/>
      <c r="H1784" s="77"/>
      <c r="I1784" s="82"/>
      <c r="J1784" s="87"/>
      <c r="K1784" s="77"/>
      <c r="L1784" s="89"/>
      <c r="M1784" s="77"/>
      <c r="N1784" s="77"/>
      <c r="O1784" s="77"/>
      <c r="P1784" s="77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</row>
    <row r="1785">
      <c r="A1785" s="102" t="str">
        <f t="shared" si="1"/>
        <v/>
      </c>
      <c r="B1785" s="94"/>
      <c r="C1785" s="95"/>
      <c r="D1785" s="96"/>
      <c r="E1785" s="97"/>
      <c r="F1785" s="109"/>
      <c r="G1785" s="99"/>
      <c r="H1785" s="102"/>
      <c r="I1785" s="95"/>
      <c r="J1785" s="93"/>
      <c r="K1785" s="102"/>
      <c r="L1785" s="101"/>
      <c r="M1785" s="102"/>
      <c r="N1785" s="102"/>
      <c r="O1785" s="102"/>
      <c r="P1785" s="102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</row>
    <row r="1786">
      <c r="A1786" s="77" t="str">
        <f t="shared" si="1"/>
        <v/>
      </c>
      <c r="B1786" s="78"/>
      <c r="C1786" s="82"/>
      <c r="D1786" s="83"/>
      <c r="E1786" s="84"/>
      <c r="F1786" s="114"/>
      <c r="G1786" s="86"/>
      <c r="H1786" s="77"/>
      <c r="I1786" s="82"/>
      <c r="J1786" s="87"/>
      <c r="K1786" s="77"/>
      <c r="L1786" s="89"/>
      <c r="M1786" s="77"/>
      <c r="N1786" s="77"/>
      <c r="O1786" s="77"/>
      <c r="P1786" s="77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</row>
    <row r="1787">
      <c r="A1787" s="102" t="str">
        <f t="shared" si="1"/>
        <v/>
      </c>
      <c r="B1787" s="94"/>
      <c r="C1787" s="95"/>
      <c r="D1787" s="96"/>
      <c r="E1787" s="97"/>
      <c r="F1787" s="109"/>
      <c r="G1787" s="99"/>
      <c r="H1787" s="102"/>
      <c r="I1787" s="95"/>
      <c r="J1787" s="93"/>
      <c r="K1787" s="102"/>
      <c r="L1787" s="101"/>
      <c r="M1787" s="102"/>
      <c r="N1787" s="102"/>
      <c r="O1787" s="102"/>
      <c r="P1787" s="102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</row>
    <row r="1788">
      <c r="A1788" s="77" t="str">
        <f t="shared" si="1"/>
        <v/>
      </c>
      <c r="B1788" s="78"/>
      <c r="C1788" s="82"/>
      <c r="D1788" s="83"/>
      <c r="E1788" s="84"/>
      <c r="F1788" s="114"/>
      <c r="G1788" s="86"/>
      <c r="H1788" s="77"/>
      <c r="I1788" s="82"/>
      <c r="J1788" s="87"/>
      <c r="K1788" s="77"/>
      <c r="L1788" s="89"/>
      <c r="M1788" s="77"/>
      <c r="N1788" s="77"/>
      <c r="O1788" s="77"/>
      <c r="P1788" s="77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</row>
    <row r="1789">
      <c r="A1789" s="102" t="str">
        <f t="shared" si="1"/>
        <v/>
      </c>
      <c r="B1789" s="94"/>
      <c r="C1789" s="95"/>
      <c r="D1789" s="96"/>
      <c r="E1789" s="97"/>
      <c r="F1789" s="109"/>
      <c r="G1789" s="99"/>
      <c r="H1789" s="102"/>
      <c r="I1789" s="95"/>
      <c r="J1789" s="93"/>
      <c r="K1789" s="102"/>
      <c r="L1789" s="101"/>
      <c r="M1789" s="102"/>
      <c r="N1789" s="102"/>
      <c r="O1789" s="102"/>
      <c r="P1789" s="102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</row>
    <row r="1790">
      <c r="A1790" s="77" t="str">
        <f t="shared" si="1"/>
        <v/>
      </c>
      <c r="B1790" s="78"/>
      <c r="C1790" s="82"/>
      <c r="D1790" s="83"/>
      <c r="E1790" s="84"/>
      <c r="F1790" s="114"/>
      <c r="G1790" s="86"/>
      <c r="H1790" s="77"/>
      <c r="I1790" s="82"/>
      <c r="J1790" s="87"/>
      <c r="K1790" s="77"/>
      <c r="L1790" s="89"/>
      <c r="M1790" s="77"/>
      <c r="N1790" s="77"/>
      <c r="O1790" s="77"/>
      <c r="P1790" s="77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</row>
    <row r="1791">
      <c r="A1791" s="102" t="str">
        <f t="shared" si="1"/>
        <v/>
      </c>
      <c r="B1791" s="94"/>
      <c r="C1791" s="95"/>
      <c r="D1791" s="96"/>
      <c r="E1791" s="97"/>
      <c r="F1791" s="109"/>
      <c r="G1791" s="99"/>
      <c r="H1791" s="102"/>
      <c r="I1791" s="95"/>
      <c r="J1791" s="93"/>
      <c r="K1791" s="102"/>
      <c r="L1791" s="101"/>
      <c r="M1791" s="102"/>
      <c r="N1791" s="102"/>
      <c r="O1791" s="102"/>
      <c r="P1791" s="102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</row>
    <row r="1792">
      <c r="A1792" s="77" t="str">
        <f t="shared" si="1"/>
        <v/>
      </c>
      <c r="B1792" s="78"/>
      <c r="C1792" s="82"/>
      <c r="D1792" s="83"/>
      <c r="E1792" s="84"/>
      <c r="F1792" s="114"/>
      <c r="G1792" s="86"/>
      <c r="H1792" s="77"/>
      <c r="I1792" s="82"/>
      <c r="J1792" s="87"/>
      <c r="K1792" s="77"/>
      <c r="L1792" s="89"/>
      <c r="M1792" s="77"/>
      <c r="N1792" s="77"/>
      <c r="O1792" s="77"/>
      <c r="P1792" s="77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</row>
    <row r="1793">
      <c r="A1793" s="102" t="str">
        <f t="shared" si="1"/>
        <v/>
      </c>
      <c r="B1793" s="94"/>
      <c r="C1793" s="95"/>
      <c r="D1793" s="96"/>
      <c r="E1793" s="97"/>
      <c r="F1793" s="109"/>
      <c r="G1793" s="99"/>
      <c r="H1793" s="102"/>
      <c r="I1793" s="95"/>
      <c r="J1793" s="93"/>
      <c r="K1793" s="102"/>
      <c r="L1793" s="101"/>
      <c r="M1793" s="102"/>
      <c r="N1793" s="102"/>
      <c r="O1793" s="102"/>
      <c r="P1793" s="102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</row>
    <row r="1794">
      <c r="A1794" s="77" t="str">
        <f t="shared" si="1"/>
        <v/>
      </c>
      <c r="B1794" s="78"/>
      <c r="C1794" s="82"/>
      <c r="D1794" s="83"/>
      <c r="E1794" s="84"/>
      <c r="F1794" s="114"/>
      <c r="G1794" s="86"/>
      <c r="H1794" s="77"/>
      <c r="I1794" s="82"/>
      <c r="J1794" s="87"/>
      <c r="K1794" s="77"/>
      <c r="L1794" s="89"/>
      <c r="M1794" s="77"/>
      <c r="N1794" s="77"/>
      <c r="O1794" s="77"/>
      <c r="P1794" s="77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</row>
    <row r="1795">
      <c r="A1795" s="102" t="str">
        <f t="shared" si="1"/>
        <v/>
      </c>
      <c r="B1795" s="94"/>
      <c r="C1795" s="95"/>
      <c r="D1795" s="96"/>
      <c r="E1795" s="97"/>
      <c r="F1795" s="109"/>
      <c r="G1795" s="99"/>
      <c r="H1795" s="102"/>
      <c r="I1795" s="95"/>
      <c r="J1795" s="93"/>
      <c r="K1795" s="102"/>
      <c r="L1795" s="101"/>
      <c r="M1795" s="102"/>
      <c r="N1795" s="102"/>
      <c r="O1795" s="102"/>
      <c r="P1795" s="102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</row>
    <row r="1796">
      <c r="A1796" s="77" t="str">
        <f t="shared" si="1"/>
        <v/>
      </c>
      <c r="B1796" s="78"/>
      <c r="C1796" s="82"/>
      <c r="D1796" s="83"/>
      <c r="E1796" s="84"/>
      <c r="F1796" s="114"/>
      <c r="G1796" s="86"/>
      <c r="H1796" s="77"/>
      <c r="I1796" s="82"/>
      <c r="J1796" s="87"/>
      <c r="K1796" s="77"/>
      <c r="L1796" s="89"/>
      <c r="M1796" s="77"/>
      <c r="N1796" s="77"/>
      <c r="O1796" s="77"/>
      <c r="P1796" s="77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</row>
    <row r="1797">
      <c r="A1797" s="102" t="str">
        <f t="shared" si="1"/>
        <v/>
      </c>
      <c r="B1797" s="94"/>
      <c r="C1797" s="95"/>
      <c r="D1797" s="96"/>
      <c r="E1797" s="97"/>
      <c r="F1797" s="109"/>
      <c r="G1797" s="99"/>
      <c r="H1797" s="102"/>
      <c r="I1797" s="95"/>
      <c r="J1797" s="93"/>
      <c r="K1797" s="102"/>
      <c r="L1797" s="101"/>
      <c r="M1797" s="102"/>
      <c r="N1797" s="102"/>
      <c r="O1797" s="102"/>
      <c r="P1797" s="102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</row>
    <row r="1798">
      <c r="A1798" s="77" t="str">
        <f t="shared" si="1"/>
        <v/>
      </c>
      <c r="B1798" s="78"/>
      <c r="C1798" s="82"/>
      <c r="D1798" s="83"/>
      <c r="E1798" s="84"/>
      <c r="F1798" s="114"/>
      <c r="G1798" s="86"/>
      <c r="H1798" s="77"/>
      <c r="I1798" s="82"/>
      <c r="J1798" s="87"/>
      <c r="K1798" s="77"/>
      <c r="L1798" s="89"/>
      <c r="M1798" s="77"/>
      <c r="N1798" s="77"/>
      <c r="O1798" s="77"/>
      <c r="P1798" s="77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</row>
    <row r="1799">
      <c r="A1799" s="102" t="str">
        <f t="shared" si="1"/>
        <v/>
      </c>
      <c r="B1799" s="94"/>
      <c r="C1799" s="95"/>
      <c r="D1799" s="96"/>
      <c r="E1799" s="97"/>
      <c r="F1799" s="109"/>
      <c r="G1799" s="99"/>
      <c r="H1799" s="102"/>
      <c r="I1799" s="95"/>
      <c r="J1799" s="93"/>
      <c r="K1799" s="102"/>
      <c r="L1799" s="101"/>
      <c r="M1799" s="102"/>
      <c r="N1799" s="102"/>
      <c r="O1799" s="102"/>
      <c r="P1799" s="102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</row>
    <row r="1800">
      <c r="A1800" s="77" t="str">
        <f t="shared" si="1"/>
        <v/>
      </c>
      <c r="B1800" s="78"/>
      <c r="C1800" s="82"/>
      <c r="D1800" s="83"/>
      <c r="E1800" s="84"/>
      <c r="F1800" s="114"/>
      <c r="G1800" s="86"/>
      <c r="H1800" s="77"/>
      <c r="I1800" s="82"/>
      <c r="J1800" s="87"/>
      <c r="K1800" s="77"/>
      <c r="L1800" s="89"/>
      <c r="M1800" s="77"/>
      <c r="N1800" s="77"/>
      <c r="O1800" s="77"/>
      <c r="P1800" s="77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</row>
    <row r="1801">
      <c r="A1801" s="102" t="str">
        <f t="shared" si="1"/>
        <v/>
      </c>
      <c r="B1801" s="94"/>
      <c r="C1801" s="95"/>
      <c r="D1801" s="96"/>
      <c r="E1801" s="97"/>
      <c r="F1801" s="109"/>
      <c r="G1801" s="99"/>
      <c r="H1801" s="102"/>
      <c r="I1801" s="95"/>
      <c r="J1801" s="93"/>
      <c r="K1801" s="102"/>
      <c r="L1801" s="101"/>
      <c r="M1801" s="102"/>
      <c r="N1801" s="102"/>
      <c r="O1801" s="102"/>
      <c r="P1801" s="102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</row>
    <row r="1802">
      <c r="A1802" s="77" t="str">
        <f t="shared" si="1"/>
        <v/>
      </c>
      <c r="B1802" s="78"/>
      <c r="C1802" s="82"/>
      <c r="D1802" s="83"/>
      <c r="E1802" s="84"/>
      <c r="F1802" s="114"/>
      <c r="G1802" s="86"/>
      <c r="H1802" s="77"/>
      <c r="I1802" s="82"/>
      <c r="J1802" s="87"/>
      <c r="K1802" s="77"/>
      <c r="L1802" s="89"/>
      <c r="M1802" s="77"/>
      <c r="N1802" s="77"/>
      <c r="O1802" s="77"/>
      <c r="P1802" s="77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</row>
    <row r="1803">
      <c r="A1803" s="102" t="str">
        <f t="shared" si="1"/>
        <v/>
      </c>
      <c r="B1803" s="94"/>
      <c r="C1803" s="95"/>
      <c r="D1803" s="96"/>
      <c r="E1803" s="97"/>
      <c r="F1803" s="109"/>
      <c r="G1803" s="99"/>
      <c r="H1803" s="102"/>
      <c r="I1803" s="95"/>
      <c r="J1803" s="93"/>
      <c r="K1803" s="102"/>
      <c r="L1803" s="101"/>
      <c r="M1803" s="102"/>
      <c r="N1803" s="102"/>
      <c r="O1803" s="102"/>
      <c r="P1803" s="102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</row>
    <row r="1804">
      <c r="A1804" s="77" t="str">
        <f t="shared" si="1"/>
        <v/>
      </c>
      <c r="B1804" s="78"/>
      <c r="C1804" s="82"/>
      <c r="D1804" s="83"/>
      <c r="E1804" s="84"/>
      <c r="F1804" s="114"/>
      <c r="G1804" s="86"/>
      <c r="H1804" s="77"/>
      <c r="I1804" s="82"/>
      <c r="J1804" s="87"/>
      <c r="K1804" s="77"/>
      <c r="L1804" s="89"/>
      <c r="M1804" s="77"/>
      <c r="N1804" s="77"/>
      <c r="O1804" s="77"/>
      <c r="P1804" s="77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</row>
    <row r="1805">
      <c r="A1805" s="102" t="str">
        <f t="shared" si="1"/>
        <v/>
      </c>
      <c r="B1805" s="94"/>
      <c r="C1805" s="95"/>
      <c r="D1805" s="96"/>
      <c r="E1805" s="97"/>
      <c r="F1805" s="109"/>
      <c r="G1805" s="99"/>
      <c r="H1805" s="102"/>
      <c r="I1805" s="95"/>
      <c r="J1805" s="93"/>
      <c r="K1805" s="102"/>
      <c r="L1805" s="101"/>
      <c r="M1805" s="102"/>
      <c r="N1805" s="102"/>
      <c r="O1805" s="102"/>
      <c r="P1805" s="102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</row>
  </sheetData>
  <autoFilter ref="$B$5:$O$824">
    <sortState ref="B5:O824">
      <sortCondition ref="B5:B824"/>
      <sortCondition ref="J5:J824"/>
      <sortCondition ref="G5:G824"/>
      <sortCondition ref="C5:C824"/>
      <sortCondition ref="I5:I824"/>
    </sortState>
  </autoFilter>
  <mergeCells count="4">
    <mergeCell ref="A1:P3"/>
    <mergeCell ref="E4:F4"/>
    <mergeCell ref="J4:K4"/>
    <mergeCell ref="M4:N4"/>
  </mergeCells>
  <dataValidations>
    <dataValidation type="list" allowBlank="1" showErrorMessage="1" sqref="C6:C1805 I6:I1805">
      <formula1>"BRGY. OFFICIALS,SENIOR,4PS,SOLO PARENT,PWD,KDBM,THIRD GEN,N/A"</formula1>
    </dataValidation>
    <dataValidation type="list" allowBlank="1" showErrorMessage="1" sqref="F6:F1805 N6:N1805">
      <formula1>"ACTIVE,INACTIVE,DISEASE,UNREGISTERED"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7.13"/>
    <col customWidth="1" min="3" max="3" width="20.38"/>
    <col customWidth="1" min="5" max="5" width="33.13"/>
    <col customWidth="1" min="6" max="6" width="26.13"/>
    <col customWidth="1" min="9" max="9" width="19.13"/>
    <col customWidth="1" min="10" max="10" width="22.75"/>
  </cols>
  <sheetData>
    <row r="1">
      <c r="A1" s="4" t="s">
        <v>1</v>
      </c>
      <c r="B1" s="5"/>
      <c r="C1" s="5"/>
      <c r="D1" s="5"/>
      <c r="E1" s="5"/>
      <c r="F1" s="5"/>
      <c r="G1" s="5"/>
      <c r="H1" s="5"/>
      <c r="I1" s="5"/>
      <c r="J1" s="5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2"/>
      <c r="K2" s="13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4"/>
      <c r="B3" s="15"/>
      <c r="C3" s="15"/>
      <c r="D3" s="15"/>
      <c r="E3" s="15"/>
      <c r="F3" s="15"/>
      <c r="G3" s="15"/>
      <c r="H3" s="15"/>
      <c r="I3" s="15"/>
      <c r="J3" s="15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22" t="s">
        <v>6</v>
      </c>
      <c r="B4" s="25" t="s">
        <v>10</v>
      </c>
      <c r="C4" s="26"/>
      <c r="D4" s="17"/>
      <c r="E4" s="28" t="s">
        <v>10</v>
      </c>
      <c r="F4" s="30" t="s">
        <v>13</v>
      </c>
      <c r="G4" s="31" t="s">
        <v>12</v>
      </c>
      <c r="H4" s="33" t="s">
        <v>15</v>
      </c>
      <c r="I4" s="17"/>
      <c r="J4" s="35" t="s">
        <v>19</v>
      </c>
      <c r="K4" s="37" t="s">
        <v>20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40" t="s">
        <v>22</v>
      </c>
      <c r="B5" s="41" t="s">
        <v>25</v>
      </c>
      <c r="C5" s="41" t="s">
        <v>26</v>
      </c>
      <c r="D5" s="41" t="s">
        <v>27</v>
      </c>
      <c r="E5" s="44" t="s">
        <v>21</v>
      </c>
      <c r="F5" s="46" t="s">
        <v>31</v>
      </c>
      <c r="G5" s="48" t="s">
        <v>32</v>
      </c>
      <c r="H5" s="51" t="s">
        <v>33</v>
      </c>
      <c r="I5" s="51" t="s">
        <v>34</v>
      </c>
      <c r="J5" s="46" t="s">
        <v>36</v>
      </c>
      <c r="K5" s="54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60">
        <f t="shared" ref="A6:A326" si="1">IF(B6="","",ROW()-5)</f>
        <v>1</v>
      </c>
      <c r="B6" s="62" t="s">
        <v>39</v>
      </c>
      <c r="C6" s="62" t="s">
        <v>40</v>
      </c>
      <c r="D6" s="62"/>
      <c r="E6" s="62" t="s">
        <v>42</v>
      </c>
      <c r="F6" s="71"/>
      <c r="G6" s="74"/>
      <c r="H6" s="75"/>
      <c r="I6" s="75"/>
      <c r="J6" s="71"/>
      <c r="K6" s="71" t="str">
        <f>VLOOKUP(E6,'HEAD OF THE FAMILY'!$B$6:$J1851,9,FALSE)</f>
        <v>BLK 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60">
        <f t="shared" si="1"/>
        <v>2</v>
      </c>
      <c r="B7" s="62" t="s">
        <v>39</v>
      </c>
      <c r="C7" s="62" t="s">
        <v>50</v>
      </c>
      <c r="D7" s="62"/>
      <c r="E7" s="62" t="s">
        <v>42</v>
      </c>
      <c r="F7" s="71"/>
      <c r="G7" s="74"/>
      <c r="H7" s="60"/>
      <c r="I7" s="75"/>
      <c r="J7" s="71"/>
      <c r="K7" s="71" t="str">
        <f>VLOOKUP(E7,'HEAD OF THE FAMILY'!$B$6:$J1851,9,FALSE)</f>
        <v>BLK 1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60">
        <f t="shared" si="1"/>
        <v>3</v>
      </c>
      <c r="B8" s="62" t="s">
        <v>39</v>
      </c>
      <c r="C8" s="62" t="s">
        <v>52</v>
      </c>
      <c r="D8" s="62"/>
      <c r="E8" s="62" t="s">
        <v>42</v>
      </c>
      <c r="F8" s="71"/>
      <c r="G8" s="74"/>
      <c r="H8" s="75"/>
      <c r="I8" s="75"/>
      <c r="J8" s="71"/>
      <c r="K8" s="71" t="str">
        <f>VLOOKUP(E8,'HEAD OF THE FAMILY'!$B$6:$J1851,9,FALSE)</f>
        <v>BLK 1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60">
        <f t="shared" si="1"/>
        <v>4</v>
      </c>
      <c r="B9" s="62" t="s">
        <v>39</v>
      </c>
      <c r="C9" s="62" t="s">
        <v>57</v>
      </c>
      <c r="D9" s="62" t="s">
        <v>58</v>
      </c>
      <c r="E9" s="62" t="s">
        <v>42</v>
      </c>
      <c r="F9" s="71"/>
      <c r="H9" s="75"/>
      <c r="I9" s="75"/>
      <c r="J9" s="75" t="s">
        <v>59</v>
      </c>
      <c r="K9" s="71" t="str">
        <f>VLOOKUP(E9,'HEAD OF THE FAMILY'!$B$6:$J1851,9,FALSE)</f>
        <v>BLK 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60">
        <f t="shared" si="1"/>
        <v>5</v>
      </c>
      <c r="B10" s="62" t="s">
        <v>39</v>
      </c>
      <c r="C10" s="62" t="s">
        <v>61</v>
      </c>
      <c r="D10" s="62" t="s">
        <v>58</v>
      </c>
      <c r="E10" s="62" t="s">
        <v>62</v>
      </c>
      <c r="F10" s="60"/>
      <c r="G10" s="92"/>
      <c r="H10" s="60"/>
      <c r="I10" s="60"/>
      <c r="J10" s="60"/>
      <c r="K10" s="71" t="str">
        <f>VLOOKUP(E10,'HEAD OF THE FAMILY'!$B$6:$J1851,9,FALSE)</f>
        <v>BLK 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60">
        <f t="shared" si="1"/>
        <v>6</v>
      </c>
      <c r="B11" s="62" t="s">
        <v>64</v>
      </c>
      <c r="C11" s="62" t="s">
        <v>65</v>
      </c>
      <c r="D11" s="62"/>
      <c r="E11" s="62" t="s">
        <v>66</v>
      </c>
      <c r="F11" s="60"/>
      <c r="G11" s="92"/>
      <c r="H11" s="60"/>
      <c r="I11" s="60"/>
      <c r="J11" s="60"/>
      <c r="K11" s="71" t="str">
        <f>VLOOKUP(E11,'HEAD OF THE FAMILY'!$B$6:$J1851,9,FALSE)</f>
        <v>BLK 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60">
        <f t="shared" si="1"/>
        <v>7</v>
      </c>
      <c r="B12" s="62" t="s">
        <v>39</v>
      </c>
      <c r="C12" s="62" t="s">
        <v>70</v>
      </c>
      <c r="D12" s="62" t="s">
        <v>71</v>
      </c>
      <c r="E12" s="62" t="s">
        <v>66</v>
      </c>
      <c r="F12" s="60"/>
      <c r="G12" s="92"/>
      <c r="H12" s="60"/>
      <c r="I12" s="60"/>
      <c r="J12" s="60"/>
      <c r="K12" s="71" t="str">
        <f>VLOOKUP(E12,'HEAD OF THE FAMILY'!$B$6:$J1851,9,FALSE)</f>
        <v>BLK 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60">
        <f t="shared" si="1"/>
        <v>8</v>
      </c>
      <c r="B13" s="62" t="s">
        <v>39</v>
      </c>
      <c r="C13" s="62" t="s">
        <v>73</v>
      </c>
      <c r="D13" s="62" t="s">
        <v>71</v>
      </c>
      <c r="E13" s="62" t="s">
        <v>66</v>
      </c>
      <c r="F13" s="60"/>
      <c r="G13" s="92"/>
      <c r="H13" s="60"/>
      <c r="I13" s="60"/>
      <c r="J13" s="60"/>
      <c r="K13" s="71" t="str">
        <f>VLOOKUP(E13,'HEAD OF THE FAMILY'!$B$6:$J1851,9,FALSE)</f>
        <v>BLK 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60">
        <f t="shared" si="1"/>
        <v>9</v>
      </c>
      <c r="B14" s="62" t="s">
        <v>39</v>
      </c>
      <c r="C14" s="62" t="s">
        <v>74</v>
      </c>
      <c r="D14" s="62" t="s">
        <v>71</v>
      </c>
      <c r="E14" s="62" t="s">
        <v>66</v>
      </c>
      <c r="F14" s="60"/>
      <c r="G14" s="92"/>
      <c r="H14" s="60"/>
      <c r="I14" s="60"/>
      <c r="J14" s="60"/>
      <c r="K14" s="71" t="str">
        <f>VLOOKUP(E14,'HEAD OF THE FAMILY'!$B$6:$J1851,9,FALSE)</f>
        <v>BLK 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60">
        <f t="shared" si="1"/>
        <v>10</v>
      </c>
      <c r="B15" s="62" t="s">
        <v>39</v>
      </c>
      <c r="C15" s="62" t="s">
        <v>77</v>
      </c>
      <c r="D15" s="62" t="s">
        <v>71</v>
      </c>
      <c r="E15" s="62" t="s">
        <v>66</v>
      </c>
      <c r="F15" s="60"/>
      <c r="G15" s="92"/>
      <c r="H15" s="60"/>
      <c r="I15" s="60"/>
      <c r="J15" s="60"/>
      <c r="K15" s="71" t="str">
        <f>VLOOKUP(E15,'HEAD OF THE FAMILY'!$B$6:$J1851,9,FALSE)</f>
        <v>BLK 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60">
        <f t="shared" si="1"/>
        <v>11</v>
      </c>
      <c r="B16" s="62" t="s">
        <v>39</v>
      </c>
      <c r="C16" s="62" t="s">
        <v>80</v>
      </c>
      <c r="D16" s="105"/>
      <c r="E16" s="62" t="s">
        <v>66</v>
      </c>
      <c r="F16" s="60"/>
      <c r="G16" s="92"/>
      <c r="H16" s="60"/>
      <c r="I16" s="60"/>
      <c r="J16" s="60"/>
      <c r="K16" s="71" t="str">
        <f>VLOOKUP(E16,'HEAD OF THE FAMILY'!$B$6:$J1851,9,FALSE)</f>
        <v>BLK 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60">
        <f t="shared" si="1"/>
        <v>12</v>
      </c>
      <c r="B17" s="62" t="s">
        <v>83</v>
      </c>
      <c r="C17" s="62" t="s">
        <v>84</v>
      </c>
      <c r="D17" s="62" t="s">
        <v>85</v>
      </c>
      <c r="E17" s="62" t="s">
        <v>86</v>
      </c>
      <c r="F17" s="60"/>
      <c r="G17" s="92"/>
      <c r="H17" s="60"/>
      <c r="I17" s="60"/>
      <c r="J17" s="60"/>
      <c r="K17" s="71" t="str">
        <f>VLOOKUP(E17,'HEAD OF THE FAMILY'!$B$6:$J1851,9,FALSE)</f>
        <v>BLK 1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60">
        <f t="shared" si="1"/>
        <v>13</v>
      </c>
      <c r="B18" s="62" t="s">
        <v>83</v>
      </c>
      <c r="C18" s="62" t="s">
        <v>90</v>
      </c>
      <c r="D18" s="62" t="s">
        <v>85</v>
      </c>
      <c r="E18" s="62" t="s">
        <v>86</v>
      </c>
      <c r="F18" s="60"/>
      <c r="G18" s="92"/>
      <c r="H18" s="60"/>
      <c r="I18" s="60"/>
      <c r="J18" s="60"/>
      <c r="K18" s="71" t="str">
        <f>VLOOKUP(E18,'HEAD OF THE FAMILY'!$B$6:$J1851,9,FALSE)</f>
        <v>BLK 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60">
        <f t="shared" si="1"/>
        <v>14</v>
      </c>
      <c r="B19" s="62" t="s">
        <v>93</v>
      </c>
      <c r="C19" s="62" t="s">
        <v>94</v>
      </c>
      <c r="D19" s="62" t="s">
        <v>95</v>
      </c>
      <c r="E19" s="62" t="s">
        <v>97</v>
      </c>
      <c r="F19" s="60"/>
      <c r="G19" s="92"/>
      <c r="H19" s="60"/>
      <c r="I19" s="60"/>
      <c r="J19" s="60"/>
      <c r="K19" s="71" t="str">
        <f>VLOOKUP(E19,'HEAD OF THE FAMILY'!$B$6:$J1851,9,FALSE)</f>
        <v>BLK 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60">
        <f t="shared" si="1"/>
        <v>15</v>
      </c>
      <c r="B20" s="62" t="s">
        <v>100</v>
      </c>
      <c r="C20" s="62" t="s">
        <v>101</v>
      </c>
      <c r="D20" s="62" t="s">
        <v>95</v>
      </c>
      <c r="E20" s="62" t="s">
        <v>97</v>
      </c>
      <c r="F20" s="60"/>
      <c r="G20" s="92"/>
      <c r="H20" s="60"/>
      <c r="I20" s="60"/>
      <c r="J20" s="60"/>
      <c r="K20" s="71" t="str">
        <f>VLOOKUP(E20,'HEAD OF THE FAMILY'!$B$6:$J1851,9,FALSE)</f>
        <v>BLK 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60">
        <f t="shared" si="1"/>
        <v>16</v>
      </c>
      <c r="B21" s="62" t="s">
        <v>103</v>
      </c>
      <c r="C21" s="62" t="s">
        <v>104</v>
      </c>
      <c r="D21" s="105"/>
      <c r="E21" s="62" t="s">
        <v>105</v>
      </c>
      <c r="F21" s="60"/>
      <c r="G21" s="92"/>
      <c r="H21" s="60"/>
      <c r="I21" s="60"/>
      <c r="J21" s="60"/>
      <c r="K21" s="71" t="str">
        <f>VLOOKUP(E21,'HEAD OF THE FAMILY'!$B$6:$J1851,9,FALSE)</f>
        <v>BLK 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60">
        <f t="shared" si="1"/>
        <v>17</v>
      </c>
      <c r="B22" s="62" t="s">
        <v>103</v>
      </c>
      <c r="C22" s="62" t="s">
        <v>107</v>
      </c>
      <c r="D22" s="105"/>
      <c r="E22" s="62" t="s">
        <v>105</v>
      </c>
      <c r="F22" s="60"/>
      <c r="G22" s="92"/>
      <c r="H22" s="60"/>
      <c r="I22" s="60"/>
      <c r="J22" s="60"/>
      <c r="K22" s="71" t="str">
        <f>VLOOKUP(E22,'HEAD OF THE FAMILY'!$B$6:$J1851,9,FALSE)</f>
        <v>BLK 1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60">
        <f t="shared" si="1"/>
        <v>18</v>
      </c>
      <c r="B23" s="62" t="s">
        <v>109</v>
      </c>
      <c r="C23" s="62" t="s">
        <v>110</v>
      </c>
      <c r="D23" s="105"/>
      <c r="E23" s="105"/>
      <c r="F23" s="60"/>
      <c r="G23" s="92"/>
      <c r="H23" s="60"/>
      <c r="I23" s="60"/>
      <c r="J23" s="75" t="s">
        <v>19</v>
      </c>
      <c r="K23" s="71" t="str">
        <f>VLOOKUP(E23,'HEAD OF THE FAMILY'!$B$6:$J1851,9,FALSE)</f>
        <v>#N/A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60">
        <f t="shared" si="1"/>
        <v>19</v>
      </c>
      <c r="B24" s="62" t="s">
        <v>112</v>
      </c>
      <c r="C24" s="62" t="s">
        <v>113</v>
      </c>
      <c r="D24" s="62" t="s">
        <v>71</v>
      </c>
      <c r="E24" s="62" t="s">
        <v>114</v>
      </c>
      <c r="F24" s="60"/>
      <c r="G24" s="92"/>
      <c r="H24" s="60"/>
      <c r="I24" s="60"/>
      <c r="J24" s="60"/>
      <c r="K24" s="71" t="str">
        <f>VLOOKUP(E24,'HEAD OF THE FAMILY'!$B$6:$J1851,9,FALSE)</f>
        <v>BLK 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60">
        <f t="shared" si="1"/>
        <v>20</v>
      </c>
      <c r="B25" s="62" t="s">
        <v>117</v>
      </c>
      <c r="C25" s="62" t="s">
        <v>118</v>
      </c>
      <c r="D25" s="62" t="s">
        <v>119</v>
      </c>
      <c r="E25" s="62" t="s">
        <v>111</v>
      </c>
      <c r="F25" s="60"/>
      <c r="G25" s="92"/>
      <c r="H25" s="60"/>
      <c r="I25" s="60"/>
      <c r="J25" s="60"/>
      <c r="K25" s="71" t="str">
        <f>VLOOKUP(E25,'HEAD OF THE FAMILY'!$B$6:$J1851,9,FALSE)</f>
        <v>BLK 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60">
        <f t="shared" si="1"/>
        <v>21</v>
      </c>
      <c r="B26" s="62" t="s">
        <v>120</v>
      </c>
      <c r="C26" s="62" t="s">
        <v>121</v>
      </c>
      <c r="D26" s="62" t="s">
        <v>119</v>
      </c>
      <c r="E26" s="62" t="s">
        <v>111</v>
      </c>
      <c r="F26" s="60"/>
      <c r="G26" s="92"/>
      <c r="H26" s="60"/>
      <c r="I26" s="60"/>
      <c r="J26" s="60"/>
      <c r="K26" s="71" t="str">
        <f>VLOOKUP(E26,'HEAD OF THE FAMILY'!$B$6:$J1851,9,FALSE)</f>
        <v>BLK 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60">
        <f t="shared" si="1"/>
        <v>22</v>
      </c>
      <c r="B27" s="62" t="s">
        <v>123</v>
      </c>
      <c r="C27" s="62" t="s">
        <v>124</v>
      </c>
      <c r="D27" s="105"/>
      <c r="E27" s="62" t="s">
        <v>126</v>
      </c>
      <c r="F27" s="60"/>
      <c r="G27" s="92"/>
      <c r="H27" s="60"/>
      <c r="I27" s="60"/>
      <c r="J27" s="60"/>
      <c r="K27" s="71" t="str">
        <f>VLOOKUP(E27,'HEAD OF THE FAMILY'!$B$6:$J1851,9,FALSE)</f>
        <v>BLK 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60">
        <f t="shared" si="1"/>
        <v>23</v>
      </c>
      <c r="B28" s="62" t="s">
        <v>123</v>
      </c>
      <c r="C28" s="62" t="s">
        <v>127</v>
      </c>
      <c r="D28" s="62" t="s">
        <v>128</v>
      </c>
      <c r="E28" s="62" t="s">
        <v>130</v>
      </c>
      <c r="F28" s="60"/>
      <c r="G28" s="92"/>
      <c r="H28" s="60"/>
      <c r="I28" s="60"/>
      <c r="J28" s="60"/>
      <c r="K28" s="71" t="str">
        <f>VLOOKUP(E28,'HEAD OF THE FAMILY'!$B$6:$J1851,9,FALSE)</f>
        <v>BLK 1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60">
        <f t="shared" si="1"/>
        <v>24</v>
      </c>
      <c r="B29" s="62" t="s">
        <v>123</v>
      </c>
      <c r="C29" s="62" t="s">
        <v>131</v>
      </c>
      <c r="D29" s="62" t="s">
        <v>128</v>
      </c>
      <c r="E29" s="62" t="s">
        <v>130</v>
      </c>
      <c r="F29" s="60"/>
      <c r="G29" s="92"/>
      <c r="H29" s="60"/>
      <c r="I29" s="60"/>
      <c r="J29" s="60"/>
      <c r="K29" s="71" t="str">
        <f>VLOOKUP(E29,'HEAD OF THE FAMILY'!$B$6:$J1851,9,FALSE)</f>
        <v>BLK 1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60">
        <f t="shared" si="1"/>
        <v>25</v>
      </c>
      <c r="B30" s="62" t="s">
        <v>123</v>
      </c>
      <c r="C30" s="62" t="s">
        <v>132</v>
      </c>
      <c r="D30" s="62" t="s">
        <v>128</v>
      </c>
      <c r="E30" s="62" t="s">
        <v>130</v>
      </c>
      <c r="F30" s="60"/>
      <c r="G30" s="92"/>
      <c r="H30" s="60"/>
      <c r="I30" s="60"/>
      <c r="J30" s="60"/>
      <c r="K30" s="71" t="str">
        <f>VLOOKUP(E30,'HEAD OF THE FAMILY'!$B$6:$J1851,9,FALSE)</f>
        <v>BLK 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60">
        <f t="shared" si="1"/>
        <v>26</v>
      </c>
      <c r="B31" s="62" t="s">
        <v>123</v>
      </c>
      <c r="C31" s="62" t="s">
        <v>134</v>
      </c>
      <c r="D31" s="62" t="s">
        <v>128</v>
      </c>
      <c r="E31" s="62" t="s">
        <v>130</v>
      </c>
      <c r="F31" s="60"/>
      <c r="G31" s="92"/>
      <c r="H31" s="60"/>
      <c r="I31" s="60"/>
      <c r="J31" s="60"/>
      <c r="K31" s="71" t="str">
        <f>VLOOKUP(E31,'HEAD OF THE FAMILY'!$B$6:$J1851,9,FALSE)</f>
        <v>BLK 1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60">
        <f t="shared" si="1"/>
        <v>27</v>
      </c>
      <c r="B32" s="62" t="s">
        <v>123</v>
      </c>
      <c r="C32" s="62" t="s">
        <v>136</v>
      </c>
      <c r="D32" s="105"/>
      <c r="E32" s="62" t="s">
        <v>137</v>
      </c>
      <c r="F32" s="60"/>
      <c r="G32" s="92"/>
      <c r="H32" s="60"/>
      <c r="I32" s="60"/>
      <c r="J32" s="60"/>
      <c r="K32" s="71" t="str">
        <f>VLOOKUP(E32,'HEAD OF THE FAMILY'!$B$6:$J1851,9,FALSE)</f>
        <v>BLK 1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60">
        <f t="shared" si="1"/>
        <v>28</v>
      </c>
      <c r="B33" s="62" t="s">
        <v>139</v>
      </c>
      <c r="C33" s="62" t="s">
        <v>140</v>
      </c>
      <c r="D33" s="62" t="s">
        <v>141</v>
      </c>
      <c r="E33" s="62" t="s">
        <v>142</v>
      </c>
      <c r="F33" s="60"/>
      <c r="G33" s="92"/>
      <c r="H33" s="60"/>
      <c r="I33" s="60"/>
      <c r="J33" s="60"/>
      <c r="K33" s="71" t="str">
        <f>VLOOKUP(E33,'HEAD OF THE FAMILY'!$B$6:$J1851,9,FALSE)</f>
        <v>BLK 1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60">
        <f t="shared" si="1"/>
        <v>29</v>
      </c>
      <c r="B34" s="62" t="s">
        <v>144</v>
      </c>
      <c r="C34" s="62" t="s">
        <v>145</v>
      </c>
      <c r="D34" s="105"/>
      <c r="E34" s="62" t="s">
        <v>147</v>
      </c>
      <c r="F34" s="60"/>
      <c r="G34" s="92"/>
      <c r="H34" s="60"/>
      <c r="I34" s="60"/>
      <c r="J34" s="60"/>
      <c r="K34" s="71" t="str">
        <f>VLOOKUP(E34,'HEAD OF THE FAMILY'!$B$6:$J1851,9,FALSE)</f>
        <v>BLK 1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60">
        <f t="shared" si="1"/>
        <v>30</v>
      </c>
      <c r="B35" s="62" t="s">
        <v>144</v>
      </c>
      <c r="C35" s="62" t="s">
        <v>148</v>
      </c>
      <c r="D35" s="105"/>
      <c r="E35" s="62" t="s">
        <v>147</v>
      </c>
      <c r="F35" s="60"/>
      <c r="G35" s="92"/>
      <c r="H35" s="60"/>
      <c r="I35" s="60"/>
      <c r="J35" s="60"/>
      <c r="K35" s="71" t="str">
        <f>VLOOKUP(E35,'HEAD OF THE FAMILY'!$B$6:$J1851,9,FALSE)</f>
        <v>BLK 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60">
        <f t="shared" si="1"/>
        <v>31</v>
      </c>
      <c r="B36" s="62" t="s">
        <v>144</v>
      </c>
      <c r="C36" s="62" t="s">
        <v>151</v>
      </c>
      <c r="D36" s="105"/>
      <c r="E36" s="62" t="s">
        <v>147</v>
      </c>
      <c r="F36" s="60"/>
      <c r="G36" s="92"/>
      <c r="H36" s="60"/>
      <c r="I36" s="60"/>
      <c r="J36" s="60"/>
      <c r="K36" s="71" t="str">
        <f>VLOOKUP(E36,'HEAD OF THE FAMILY'!$B$6:$J1851,9,FALSE)</f>
        <v>BLK 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60">
        <f t="shared" si="1"/>
        <v>32</v>
      </c>
      <c r="B37" s="62" t="s">
        <v>152</v>
      </c>
      <c r="C37" s="62" t="s">
        <v>153</v>
      </c>
      <c r="D37" s="105"/>
      <c r="E37" s="62" t="s">
        <v>155</v>
      </c>
      <c r="F37" s="60"/>
      <c r="G37" s="92"/>
      <c r="H37" s="60"/>
      <c r="I37" s="60"/>
      <c r="J37" s="60"/>
      <c r="K37" s="71" t="str">
        <f>VLOOKUP(E37,'HEAD OF THE FAMILY'!$B$6:$J1851,9,FALSE)</f>
        <v>BLK 1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60">
        <f t="shared" si="1"/>
        <v>33</v>
      </c>
      <c r="B38" s="62" t="s">
        <v>152</v>
      </c>
      <c r="C38" s="62" t="s">
        <v>157</v>
      </c>
      <c r="D38" s="105"/>
      <c r="E38" s="62" t="s">
        <v>155</v>
      </c>
      <c r="F38" s="60"/>
      <c r="G38" s="92"/>
      <c r="H38" s="60"/>
      <c r="I38" s="60"/>
      <c r="J38" s="60"/>
      <c r="K38" s="71" t="str">
        <f>VLOOKUP(E38,'HEAD OF THE FAMILY'!$B$6:$J1851,9,FALSE)</f>
        <v>BLK 1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60">
        <f t="shared" si="1"/>
        <v>34</v>
      </c>
      <c r="B39" s="62" t="s">
        <v>159</v>
      </c>
      <c r="C39" s="62" t="s">
        <v>160</v>
      </c>
      <c r="D39" s="105"/>
      <c r="E39" s="62" t="s">
        <v>161</v>
      </c>
      <c r="F39" s="60"/>
      <c r="G39" s="92"/>
      <c r="H39" s="60"/>
      <c r="I39" s="60"/>
      <c r="J39" s="60"/>
      <c r="K39" s="71" t="str">
        <f>VLOOKUP(E39,'HEAD OF THE FAMILY'!$B$6:$J1851,9,FALSE)</f>
        <v>BLK 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60">
        <f t="shared" si="1"/>
        <v>35</v>
      </c>
      <c r="B40" s="62" t="s">
        <v>152</v>
      </c>
      <c r="C40" s="62" t="s">
        <v>163</v>
      </c>
      <c r="D40" s="105"/>
      <c r="E40" s="62" t="s">
        <v>164</v>
      </c>
      <c r="F40" s="60"/>
      <c r="G40" s="92"/>
      <c r="H40" s="60"/>
      <c r="I40" s="60"/>
      <c r="J40" s="60"/>
      <c r="K40" s="71" t="str">
        <f>VLOOKUP(E40,'HEAD OF THE FAMILY'!$B$6:$J1851,9,FALSE)</f>
        <v>BLK 1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60">
        <f t="shared" si="1"/>
        <v>36</v>
      </c>
      <c r="B41" s="62" t="s">
        <v>167</v>
      </c>
      <c r="C41" s="62" t="s">
        <v>168</v>
      </c>
      <c r="D41" s="105"/>
      <c r="E41" s="62" t="s">
        <v>169</v>
      </c>
      <c r="F41" s="60"/>
      <c r="G41" s="92"/>
      <c r="H41" s="60"/>
      <c r="I41" s="60"/>
      <c r="J41" s="60"/>
      <c r="K41" s="71" t="str">
        <f>VLOOKUP(E41,'HEAD OF THE FAMILY'!$B$6:$J1851,9,FALSE)</f>
        <v>BLK 1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60">
        <f t="shared" si="1"/>
        <v>37</v>
      </c>
      <c r="B42" s="62" t="s">
        <v>167</v>
      </c>
      <c r="C42" s="62" t="s">
        <v>170</v>
      </c>
      <c r="D42" s="105"/>
      <c r="E42" s="62" t="s">
        <v>169</v>
      </c>
      <c r="F42" s="60"/>
      <c r="G42" s="92"/>
      <c r="H42" s="60"/>
      <c r="I42" s="60"/>
      <c r="J42" s="60"/>
      <c r="K42" s="71" t="str">
        <f>VLOOKUP(E42,'HEAD OF THE FAMILY'!$B$6:$J1851,9,FALSE)</f>
        <v>BLK 1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60">
        <f t="shared" si="1"/>
        <v>38</v>
      </c>
      <c r="B43" s="62" t="s">
        <v>167</v>
      </c>
      <c r="C43" s="62" t="s">
        <v>175</v>
      </c>
      <c r="D43" s="105"/>
      <c r="E43" s="62" t="s">
        <v>169</v>
      </c>
      <c r="F43" s="60"/>
      <c r="G43" s="92"/>
      <c r="H43" s="60"/>
      <c r="I43" s="60"/>
      <c r="J43" s="60"/>
      <c r="K43" s="71" t="str">
        <f>VLOOKUP(E43,'HEAD OF THE FAMILY'!$B$6:$J1851,9,FALSE)</f>
        <v>BLK 1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60">
        <f t="shared" si="1"/>
        <v>39</v>
      </c>
      <c r="B44" s="62" t="s">
        <v>177</v>
      </c>
      <c r="C44" s="62" t="s">
        <v>178</v>
      </c>
      <c r="D44" s="105"/>
      <c r="E44" s="62" t="s">
        <v>179</v>
      </c>
      <c r="F44" s="60"/>
      <c r="G44" s="92"/>
      <c r="H44" s="60"/>
      <c r="I44" s="60"/>
      <c r="J44" s="75"/>
      <c r="K44" s="71" t="str">
        <f>VLOOKUP(E44,'HEAD OF THE FAMILY'!$B$6:$J1851,9,FALSE)</f>
        <v>BLK 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60">
        <f t="shared" si="1"/>
        <v>40</v>
      </c>
      <c r="B45" s="62" t="s">
        <v>181</v>
      </c>
      <c r="C45" s="62" t="s">
        <v>182</v>
      </c>
      <c r="D45" s="105"/>
      <c r="E45" s="62" t="s">
        <v>183</v>
      </c>
      <c r="F45" s="60"/>
      <c r="G45" s="92"/>
      <c r="H45" s="60"/>
      <c r="I45" s="60"/>
      <c r="J45" s="60"/>
      <c r="K45" s="71" t="str">
        <f>VLOOKUP(E45,'HEAD OF THE FAMILY'!$B$6:$J1851,9,FALSE)</f>
        <v>#N/A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60">
        <f t="shared" si="1"/>
        <v>41</v>
      </c>
      <c r="B46" s="62" t="s">
        <v>181</v>
      </c>
      <c r="C46" s="62" t="s">
        <v>186</v>
      </c>
      <c r="D46" s="105"/>
      <c r="E46" s="62" t="s">
        <v>183</v>
      </c>
      <c r="F46" s="60"/>
      <c r="G46" s="92"/>
      <c r="H46" s="60"/>
      <c r="I46" s="60"/>
      <c r="J46" s="60"/>
      <c r="K46" s="71" t="str">
        <f>VLOOKUP(E46,'HEAD OF THE FAMILY'!$B$6:$J1851,9,FALSE)</f>
        <v>#N/A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60">
        <f t="shared" si="1"/>
        <v>42</v>
      </c>
      <c r="B47" s="62" t="s">
        <v>181</v>
      </c>
      <c r="C47" s="62" t="s">
        <v>188</v>
      </c>
      <c r="D47" s="105"/>
      <c r="E47" s="62" t="s">
        <v>183</v>
      </c>
      <c r="F47" s="60"/>
      <c r="G47" s="92"/>
      <c r="H47" s="60"/>
      <c r="I47" s="60"/>
      <c r="J47" s="60"/>
      <c r="K47" s="71" t="str">
        <f>VLOOKUP(E47,'HEAD OF THE FAMILY'!$B$6:$J1851,9,FALSE)</f>
        <v>#N/A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60">
        <f t="shared" si="1"/>
        <v>43</v>
      </c>
      <c r="B48" s="62" t="s">
        <v>190</v>
      </c>
      <c r="C48" s="62" t="s">
        <v>191</v>
      </c>
      <c r="D48" s="62" t="s">
        <v>58</v>
      </c>
      <c r="E48" s="62" t="s">
        <v>192</v>
      </c>
      <c r="F48" s="60"/>
      <c r="G48" s="92"/>
      <c r="H48" s="60"/>
      <c r="I48" s="60"/>
      <c r="J48" s="60"/>
      <c r="K48" s="71" t="str">
        <f>VLOOKUP(E48,'HEAD OF THE FAMILY'!$B$6:$J1851,9,FALSE)</f>
        <v>BLK 1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60">
        <f t="shared" si="1"/>
        <v>44</v>
      </c>
      <c r="B49" s="62" t="s">
        <v>190</v>
      </c>
      <c r="C49" s="62" t="s">
        <v>195</v>
      </c>
      <c r="D49" s="62" t="s">
        <v>58</v>
      </c>
      <c r="E49" s="62" t="s">
        <v>192</v>
      </c>
      <c r="F49" s="60"/>
      <c r="G49" s="92"/>
      <c r="H49" s="60"/>
      <c r="I49" s="60"/>
      <c r="J49" s="60"/>
      <c r="K49" s="71" t="str">
        <f>VLOOKUP(E49,'HEAD OF THE FAMILY'!$B$6:$J1851,9,FALSE)</f>
        <v>BLK 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60">
        <f t="shared" si="1"/>
        <v>45</v>
      </c>
      <c r="B50" s="62" t="s">
        <v>197</v>
      </c>
      <c r="C50" s="62" t="s">
        <v>198</v>
      </c>
      <c r="D50" s="62" t="s">
        <v>200</v>
      </c>
      <c r="E50" s="62" t="s">
        <v>201</v>
      </c>
      <c r="F50" s="71" t="s">
        <v>202</v>
      </c>
      <c r="G50" s="92"/>
      <c r="H50" s="60"/>
      <c r="I50" s="60"/>
      <c r="J50" s="60"/>
      <c r="K50" s="71" t="str">
        <f>VLOOKUP(E50,'HEAD OF THE FAMILY'!$B$6:$J1851,9,FALSE)</f>
        <v>BLK 1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60">
        <f t="shared" si="1"/>
        <v>46</v>
      </c>
      <c r="B51" s="62" t="s">
        <v>197</v>
      </c>
      <c r="C51" s="62" t="s">
        <v>205</v>
      </c>
      <c r="D51" s="62" t="s">
        <v>200</v>
      </c>
      <c r="E51" s="62" t="s">
        <v>201</v>
      </c>
      <c r="F51" s="71" t="s">
        <v>172</v>
      </c>
      <c r="G51" s="92"/>
      <c r="H51" s="60"/>
      <c r="I51" s="60"/>
      <c r="J51" s="60"/>
      <c r="K51" s="71" t="str">
        <f>VLOOKUP(E51,'HEAD OF THE FAMILY'!$B$6:$J1851,9,FALSE)</f>
        <v>BLK 1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60">
        <f t="shared" si="1"/>
        <v>47</v>
      </c>
      <c r="B52" s="62" t="s">
        <v>197</v>
      </c>
      <c r="C52" s="62" t="s">
        <v>207</v>
      </c>
      <c r="D52" s="62" t="s">
        <v>200</v>
      </c>
      <c r="E52" s="62" t="s">
        <v>201</v>
      </c>
      <c r="F52" s="71" t="s">
        <v>172</v>
      </c>
      <c r="G52" s="92"/>
      <c r="H52" s="60"/>
      <c r="I52" s="60"/>
      <c r="J52" s="60"/>
      <c r="K52" s="71" t="str">
        <f>VLOOKUP(E52,'HEAD OF THE FAMILY'!$B$6:$J1851,9,FALSE)</f>
        <v>BLK 1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60">
        <f t="shared" si="1"/>
        <v>48</v>
      </c>
      <c r="B53" s="62" t="s">
        <v>210</v>
      </c>
      <c r="C53" s="62" t="s">
        <v>211</v>
      </c>
      <c r="D53" s="62" t="s">
        <v>212</v>
      </c>
      <c r="E53" s="62" t="s">
        <v>201</v>
      </c>
      <c r="F53" s="60"/>
      <c r="G53" s="92"/>
      <c r="H53" s="60"/>
      <c r="I53" s="60"/>
      <c r="J53" s="60"/>
      <c r="K53" s="71" t="str">
        <f>VLOOKUP(E53,'HEAD OF THE FAMILY'!$B$6:$J1851,9,FALSE)</f>
        <v>BLK 1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60">
        <f t="shared" si="1"/>
        <v>49</v>
      </c>
      <c r="B54" s="62" t="s">
        <v>167</v>
      </c>
      <c r="C54" s="62" t="s">
        <v>213</v>
      </c>
      <c r="D54" s="105"/>
      <c r="E54" s="62" t="s">
        <v>216</v>
      </c>
      <c r="F54" s="60"/>
      <c r="G54" s="92"/>
      <c r="H54" s="60"/>
      <c r="I54" s="60"/>
      <c r="J54" s="60"/>
      <c r="K54" s="71" t="str">
        <f>VLOOKUP(E54,'HEAD OF THE FAMILY'!$B$6:$J1851,9,FALSE)</f>
        <v>BLK 1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60">
        <f t="shared" si="1"/>
        <v>50</v>
      </c>
      <c r="B55" s="62" t="s">
        <v>217</v>
      </c>
      <c r="C55" s="62" t="s">
        <v>218</v>
      </c>
      <c r="D55" s="105"/>
      <c r="E55" s="62" t="s">
        <v>216</v>
      </c>
      <c r="F55" s="60"/>
      <c r="G55" s="92"/>
      <c r="H55" s="60"/>
      <c r="I55" s="60"/>
      <c r="J55" s="60"/>
      <c r="K55" s="71" t="str">
        <f>VLOOKUP(E55,'HEAD OF THE FAMILY'!$B$6:$J1851,9,FALSE)</f>
        <v>BLK 1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60">
        <f t="shared" si="1"/>
        <v>51</v>
      </c>
      <c r="B56" s="62" t="s">
        <v>220</v>
      </c>
      <c r="C56" s="62" t="s">
        <v>221</v>
      </c>
      <c r="D56" s="105"/>
      <c r="E56" s="62" t="s">
        <v>222</v>
      </c>
      <c r="F56" s="60"/>
      <c r="G56" s="92"/>
      <c r="H56" s="60"/>
      <c r="I56" s="60"/>
      <c r="J56" s="60"/>
      <c r="K56" s="71" t="str">
        <f>VLOOKUP(E56,'HEAD OF THE FAMILY'!$B$6:$J1851,9,FALSE)</f>
        <v>BLK 1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60">
        <f t="shared" si="1"/>
        <v>52</v>
      </c>
      <c r="B57" s="62" t="s">
        <v>220</v>
      </c>
      <c r="C57" s="62" t="s">
        <v>224</v>
      </c>
      <c r="D57" s="105"/>
      <c r="E57" s="62" t="s">
        <v>222</v>
      </c>
      <c r="F57" s="60"/>
      <c r="G57" s="92"/>
      <c r="H57" s="60"/>
      <c r="I57" s="60"/>
      <c r="J57" s="60"/>
      <c r="K57" s="71" t="str">
        <f>VLOOKUP(E57,'HEAD OF THE FAMILY'!$B$6:$J1851,9,FALSE)</f>
        <v>BLK 1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60">
        <f t="shared" si="1"/>
        <v>53</v>
      </c>
      <c r="B58" s="62" t="s">
        <v>225</v>
      </c>
      <c r="C58" s="62" t="s">
        <v>226</v>
      </c>
      <c r="D58" s="62" t="s">
        <v>128</v>
      </c>
      <c r="E58" s="62" t="s">
        <v>227</v>
      </c>
      <c r="F58" s="60"/>
      <c r="G58" s="92"/>
      <c r="H58" s="60"/>
      <c r="I58" s="60"/>
      <c r="J58" s="60"/>
      <c r="K58" s="71" t="str">
        <f>VLOOKUP(E58,'HEAD OF THE FAMILY'!$B$6:$J1851,9,FALSE)</f>
        <v>BLK 1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60">
        <f t="shared" si="1"/>
        <v>54</v>
      </c>
      <c r="B59" s="62" t="s">
        <v>230</v>
      </c>
      <c r="C59" s="62" t="s">
        <v>231</v>
      </c>
      <c r="D59" s="105"/>
      <c r="E59" s="62" t="s">
        <v>232</v>
      </c>
      <c r="F59" s="60"/>
      <c r="G59" s="92"/>
      <c r="H59" s="60"/>
      <c r="I59" s="60"/>
      <c r="J59" s="60"/>
      <c r="K59" s="71" t="str">
        <f>VLOOKUP(E59,'HEAD OF THE FAMILY'!$B$6:$J1851,9,FALSE)</f>
        <v>BLK 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60">
        <f t="shared" si="1"/>
        <v>55</v>
      </c>
      <c r="B60" s="62" t="s">
        <v>230</v>
      </c>
      <c r="C60" s="62" t="s">
        <v>234</v>
      </c>
      <c r="D60" s="105"/>
      <c r="E60" s="62" t="s">
        <v>232</v>
      </c>
      <c r="F60" s="60"/>
      <c r="G60" s="92"/>
      <c r="H60" s="60"/>
      <c r="I60" s="60"/>
      <c r="J60" s="60"/>
      <c r="K60" s="71" t="str">
        <f>VLOOKUP(E60,'HEAD OF THE FAMILY'!$B$6:$J1851,9,FALSE)</f>
        <v>BLK 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60">
        <f t="shared" si="1"/>
        <v>56</v>
      </c>
      <c r="B61" s="62" t="s">
        <v>230</v>
      </c>
      <c r="C61" s="62" t="s">
        <v>236</v>
      </c>
      <c r="D61" s="105"/>
      <c r="E61" s="62" t="s">
        <v>237</v>
      </c>
      <c r="F61" s="60"/>
      <c r="G61" s="92"/>
      <c r="H61" s="60"/>
      <c r="I61" s="60"/>
      <c r="J61" s="60"/>
      <c r="K61" s="71" t="str">
        <f>VLOOKUP(E61,'HEAD OF THE FAMILY'!$B$6:$J1851,9,FALSE)</f>
        <v>BLK 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60">
        <f t="shared" si="1"/>
        <v>57</v>
      </c>
      <c r="B62" s="62" t="s">
        <v>230</v>
      </c>
      <c r="C62" s="62" t="s">
        <v>239</v>
      </c>
      <c r="D62" s="105"/>
      <c r="E62" s="62" t="s">
        <v>237</v>
      </c>
      <c r="F62" s="60"/>
      <c r="G62" s="92"/>
      <c r="H62" s="60"/>
      <c r="I62" s="60"/>
      <c r="J62" s="60"/>
      <c r="K62" s="71" t="str">
        <f>VLOOKUP(E62,'HEAD OF THE FAMILY'!$B$6:$J1851,9,FALSE)</f>
        <v>BLK 1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60">
        <f t="shared" si="1"/>
        <v>58</v>
      </c>
      <c r="B63" s="62" t="s">
        <v>230</v>
      </c>
      <c r="C63" s="62" t="s">
        <v>242</v>
      </c>
      <c r="D63" s="105"/>
      <c r="E63" s="62" t="s">
        <v>243</v>
      </c>
      <c r="F63" s="60"/>
      <c r="G63" s="92"/>
      <c r="H63" s="60"/>
      <c r="I63" s="60"/>
      <c r="J63" s="60"/>
      <c r="K63" s="71" t="str">
        <f>VLOOKUP(E63,'HEAD OF THE FAMILY'!$B$6:$J1851,9,FALSE)</f>
        <v>BLK 1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60">
        <f t="shared" si="1"/>
        <v>59</v>
      </c>
      <c r="B64" s="62" t="s">
        <v>244</v>
      </c>
      <c r="C64" s="62" t="s">
        <v>245</v>
      </c>
      <c r="D64" s="105"/>
      <c r="E64" s="62" t="s">
        <v>247</v>
      </c>
      <c r="F64" s="60"/>
      <c r="G64" s="92"/>
      <c r="H64" s="60"/>
      <c r="I64" s="60"/>
      <c r="J64" s="60"/>
      <c r="K64" s="71" t="str">
        <f>VLOOKUP(E64,'HEAD OF THE FAMILY'!$B$6:$J1851,9,FALSE)</f>
        <v>BLK 1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60">
        <f t="shared" si="1"/>
        <v>60</v>
      </c>
      <c r="B65" s="62" t="s">
        <v>248</v>
      </c>
      <c r="C65" s="62" t="s">
        <v>249</v>
      </c>
      <c r="D65" s="105"/>
      <c r="E65" s="62" t="s">
        <v>250</v>
      </c>
      <c r="F65" s="60"/>
      <c r="G65" s="92"/>
      <c r="H65" s="60"/>
      <c r="I65" s="60"/>
      <c r="J65" s="60"/>
      <c r="K65" s="71" t="str">
        <f>VLOOKUP(E65,'HEAD OF THE FAMILY'!$B$6:$J1851,9,FALSE)</f>
        <v>BLK 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60">
        <f t="shared" si="1"/>
        <v>61</v>
      </c>
      <c r="B66" s="62" t="s">
        <v>248</v>
      </c>
      <c r="C66" s="62" t="s">
        <v>253</v>
      </c>
      <c r="D66" s="105"/>
      <c r="E66" s="62" t="s">
        <v>250</v>
      </c>
      <c r="F66" s="60"/>
      <c r="G66" s="92"/>
      <c r="H66" s="60"/>
      <c r="I66" s="60"/>
      <c r="J66" s="60"/>
      <c r="K66" s="71" t="str">
        <f>VLOOKUP(E66,'HEAD OF THE FAMILY'!$B$6:$J1851,9,FALSE)</f>
        <v>BLK 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60">
        <f t="shared" si="1"/>
        <v>62</v>
      </c>
      <c r="B67" s="62" t="s">
        <v>248</v>
      </c>
      <c r="C67" s="62" t="s">
        <v>254</v>
      </c>
      <c r="D67" s="105"/>
      <c r="E67" s="62" t="s">
        <v>250</v>
      </c>
      <c r="F67" s="60"/>
      <c r="G67" s="92"/>
      <c r="H67" s="60"/>
      <c r="I67" s="60"/>
      <c r="J67" s="60"/>
      <c r="K67" s="71" t="str">
        <f>VLOOKUP(E67,'HEAD OF THE FAMILY'!$B$6:$J1851,9,FALSE)</f>
        <v>BLK 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60">
        <f t="shared" si="1"/>
        <v>63</v>
      </c>
      <c r="B68" s="62" t="s">
        <v>248</v>
      </c>
      <c r="C68" s="62" t="s">
        <v>257</v>
      </c>
      <c r="D68" s="105"/>
      <c r="E68" s="62" t="s">
        <v>250</v>
      </c>
      <c r="F68" s="60"/>
      <c r="G68" s="92"/>
      <c r="H68" s="60"/>
      <c r="I68" s="60"/>
      <c r="J68" s="60"/>
      <c r="K68" s="71" t="str">
        <f>VLOOKUP(E68,'HEAD OF THE FAMILY'!$B$6:$J1851,9,FALSE)</f>
        <v>BLK 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60">
        <f t="shared" si="1"/>
        <v>64</v>
      </c>
      <c r="B69" s="62" t="s">
        <v>248</v>
      </c>
      <c r="C69" s="62" t="s">
        <v>260</v>
      </c>
      <c r="D69" s="105"/>
      <c r="E69" s="62" t="s">
        <v>250</v>
      </c>
      <c r="F69" s="60"/>
      <c r="G69" s="92"/>
      <c r="H69" s="60"/>
      <c r="I69" s="60"/>
      <c r="J69" s="60"/>
      <c r="K69" s="71" t="str">
        <f>VLOOKUP(E69,'HEAD OF THE FAMILY'!$B$6:$J1851,9,FALSE)</f>
        <v>BLK 1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60">
        <f t="shared" si="1"/>
        <v>65</v>
      </c>
      <c r="B70" s="62" t="s">
        <v>248</v>
      </c>
      <c r="C70" s="62" t="s">
        <v>262</v>
      </c>
      <c r="D70" s="105"/>
      <c r="E70" s="62" t="s">
        <v>250</v>
      </c>
      <c r="F70" s="60"/>
      <c r="G70" s="92"/>
      <c r="H70" s="60"/>
      <c r="I70" s="60"/>
      <c r="J70" s="60"/>
      <c r="K70" s="71" t="str">
        <f>VLOOKUP(E70,'HEAD OF THE FAMILY'!$B$6:$J1851,9,FALSE)</f>
        <v>BLK 1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60">
        <f t="shared" si="1"/>
        <v>66</v>
      </c>
      <c r="B71" s="62" t="s">
        <v>264</v>
      </c>
      <c r="C71" s="62" t="s">
        <v>265</v>
      </c>
      <c r="D71" s="105"/>
      <c r="E71" s="62" t="s">
        <v>266</v>
      </c>
      <c r="F71" s="60"/>
      <c r="G71" s="92"/>
      <c r="H71" s="60"/>
      <c r="I71" s="60"/>
      <c r="J71" s="60"/>
      <c r="K71" s="71" t="str">
        <f>VLOOKUP(E71,'HEAD OF THE FAMILY'!$B$6:$J1851,9,FALSE)</f>
        <v>BLK 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60">
        <f t="shared" si="1"/>
        <v>67</v>
      </c>
      <c r="B72" s="62" t="s">
        <v>264</v>
      </c>
      <c r="C72" s="62" t="s">
        <v>267</v>
      </c>
      <c r="D72" s="105"/>
      <c r="E72" s="62" t="s">
        <v>266</v>
      </c>
      <c r="F72" s="60"/>
      <c r="G72" s="92"/>
      <c r="H72" s="60"/>
      <c r="I72" s="60"/>
      <c r="J72" s="60"/>
      <c r="K72" s="71" t="str">
        <f>VLOOKUP(E72,'HEAD OF THE FAMILY'!$B$6:$J1851,9,FALSE)</f>
        <v>BLK 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60">
        <f t="shared" si="1"/>
        <v>68</v>
      </c>
      <c r="B73" s="62" t="s">
        <v>269</v>
      </c>
      <c r="C73" s="62" t="s">
        <v>270</v>
      </c>
      <c r="D73" s="105"/>
      <c r="E73" s="62" t="s">
        <v>271</v>
      </c>
      <c r="F73" s="60"/>
      <c r="G73" s="92"/>
      <c r="H73" s="60"/>
      <c r="I73" s="60"/>
      <c r="J73" s="60"/>
      <c r="K73" s="71" t="str">
        <f>VLOOKUP(E73,'HEAD OF THE FAMILY'!$B$6:$J1851,9,FALSE)</f>
        <v>BLK 1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60">
        <f t="shared" si="1"/>
        <v>69</v>
      </c>
      <c r="B74" s="62" t="s">
        <v>109</v>
      </c>
      <c r="C74" s="62" t="s">
        <v>272</v>
      </c>
      <c r="D74" s="105"/>
      <c r="E74" s="62" t="s">
        <v>271</v>
      </c>
      <c r="F74" s="60"/>
      <c r="G74" s="92"/>
      <c r="H74" s="60"/>
      <c r="I74" s="60"/>
      <c r="J74" s="60"/>
      <c r="K74" s="71" t="str">
        <f>VLOOKUP(E74,'HEAD OF THE FAMILY'!$B$6:$J1851,9,FALSE)</f>
        <v>BLK 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60">
        <f t="shared" si="1"/>
        <v>70</v>
      </c>
      <c r="B75" s="62" t="s">
        <v>274</v>
      </c>
      <c r="C75" s="62" t="s">
        <v>275</v>
      </c>
      <c r="D75" s="105"/>
      <c r="E75" s="62" t="s">
        <v>276</v>
      </c>
      <c r="F75" s="60"/>
      <c r="G75" s="92"/>
      <c r="H75" s="60"/>
      <c r="I75" s="60"/>
      <c r="J75" s="60"/>
      <c r="K75" s="71" t="str">
        <f>VLOOKUP(E75,'HEAD OF THE FAMILY'!$B$6:$J1851,9,FALSE)</f>
        <v>BLK 1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60">
        <f t="shared" si="1"/>
        <v>71</v>
      </c>
      <c r="B76" s="62" t="s">
        <v>279</v>
      </c>
      <c r="C76" s="62" t="s">
        <v>280</v>
      </c>
      <c r="D76" s="105"/>
      <c r="E76" s="62" t="s">
        <v>281</v>
      </c>
      <c r="F76" s="60"/>
      <c r="G76" s="92"/>
      <c r="H76" s="60"/>
      <c r="I76" s="60"/>
      <c r="J76" s="60"/>
      <c r="K76" s="71" t="str">
        <f>VLOOKUP(E76,'HEAD OF THE FAMILY'!$B$6:$J1851,9,FALSE)</f>
        <v>BLK 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60">
        <f t="shared" si="1"/>
        <v>72</v>
      </c>
      <c r="B77" s="62" t="s">
        <v>269</v>
      </c>
      <c r="C77" s="62" t="s">
        <v>283</v>
      </c>
      <c r="D77" s="105"/>
      <c r="E77" s="62" t="s">
        <v>284</v>
      </c>
      <c r="F77" s="60"/>
      <c r="G77" s="92"/>
      <c r="H77" s="60"/>
      <c r="I77" s="60"/>
      <c r="J77" s="60"/>
      <c r="K77" s="71" t="str">
        <f>VLOOKUP(E77,'HEAD OF THE FAMILY'!$B$6:$J1851,9,FALSE)</f>
        <v>BLK 1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60">
        <f t="shared" si="1"/>
        <v>73</v>
      </c>
      <c r="B78" s="62" t="s">
        <v>285</v>
      </c>
      <c r="C78" s="62" t="s">
        <v>286</v>
      </c>
      <c r="D78" s="105"/>
      <c r="E78" s="62" t="s">
        <v>287</v>
      </c>
      <c r="F78" s="60"/>
      <c r="G78" s="92"/>
      <c r="H78" s="60"/>
      <c r="I78" s="60"/>
      <c r="J78" s="60"/>
      <c r="K78" s="71" t="str">
        <f>VLOOKUP(E78,'HEAD OF THE FAMILY'!$B$6:$J1851,9,FALSE)</f>
        <v>BLK 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60">
        <f t="shared" si="1"/>
        <v>74</v>
      </c>
      <c r="B79" s="62" t="s">
        <v>285</v>
      </c>
      <c r="C79" s="62" t="s">
        <v>289</v>
      </c>
      <c r="D79" s="105"/>
      <c r="E79" s="62" t="s">
        <v>287</v>
      </c>
      <c r="F79" s="60"/>
      <c r="G79" s="92"/>
      <c r="H79" s="60"/>
      <c r="I79" s="60"/>
      <c r="J79" s="60"/>
      <c r="K79" s="71" t="str">
        <f>VLOOKUP(E79,'HEAD OF THE FAMILY'!$B$6:$J1851,9,FALSE)</f>
        <v>BLK 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60">
        <f t="shared" si="1"/>
        <v>75</v>
      </c>
      <c r="B80" s="62" t="s">
        <v>290</v>
      </c>
      <c r="C80" s="62" t="s">
        <v>291</v>
      </c>
      <c r="D80" s="105"/>
      <c r="E80" s="62" t="s">
        <v>287</v>
      </c>
      <c r="F80" s="60"/>
      <c r="G80" s="92"/>
      <c r="H80" s="60"/>
      <c r="I80" s="60"/>
      <c r="J80" s="60"/>
      <c r="K80" s="71" t="str">
        <f>VLOOKUP(E80,'HEAD OF THE FAMILY'!$B$6:$J1851,9,FALSE)</f>
        <v>BLK 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60">
        <f t="shared" si="1"/>
        <v>76</v>
      </c>
      <c r="B81" s="62" t="s">
        <v>103</v>
      </c>
      <c r="C81" s="62" t="s">
        <v>293</v>
      </c>
      <c r="D81" s="105"/>
      <c r="E81" s="62" t="s">
        <v>294</v>
      </c>
      <c r="F81" s="60"/>
      <c r="G81" s="92"/>
      <c r="H81" s="60"/>
      <c r="I81" s="60"/>
      <c r="J81" s="60"/>
      <c r="K81" s="71" t="str">
        <f>VLOOKUP(E81,'HEAD OF THE FAMILY'!$B$6:$J1851,9,FALSE)</f>
        <v>BLK 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60">
        <f t="shared" si="1"/>
        <v>77</v>
      </c>
      <c r="B82" s="62" t="s">
        <v>285</v>
      </c>
      <c r="C82" s="62" t="s">
        <v>296</v>
      </c>
      <c r="D82" s="105"/>
      <c r="E82" s="62" t="s">
        <v>297</v>
      </c>
      <c r="F82" s="60"/>
      <c r="G82" s="92"/>
      <c r="H82" s="60"/>
      <c r="I82" s="60"/>
      <c r="J82" s="60"/>
      <c r="K82" s="71" t="str">
        <f>VLOOKUP(E82,'HEAD OF THE FAMILY'!$B$6:$J1851,9,FALSE)</f>
        <v>BLK 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60">
        <f t="shared" si="1"/>
        <v>78</v>
      </c>
      <c r="B83" s="62" t="s">
        <v>285</v>
      </c>
      <c r="C83" s="62" t="s">
        <v>299</v>
      </c>
      <c r="D83" s="105"/>
      <c r="E83" s="62" t="s">
        <v>297</v>
      </c>
      <c r="F83" s="60"/>
      <c r="G83" s="92"/>
      <c r="H83" s="60"/>
      <c r="I83" s="60"/>
      <c r="J83" s="60"/>
      <c r="K83" s="71" t="str">
        <f>VLOOKUP(E83,'HEAD OF THE FAMILY'!$B$6:$J1851,9,FALSE)</f>
        <v>BLK 1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60">
        <f t="shared" si="1"/>
        <v>79</v>
      </c>
      <c r="B84" s="62" t="s">
        <v>302</v>
      </c>
      <c r="C84" s="62" t="s">
        <v>303</v>
      </c>
      <c r="D84" s="105"/>
      <c r="E84" s="62" t="s">
        <v>304</v>
      </c>
      <c r="F84" s="60"/>
      <c r="G84" s="92"/>
      <c r="H84" s="60"/>
      <c r="I84" s="60"/>
      <c r="J84" s="60"/>
      <c r="K84" s="71" t="str">
        <f>VLOOKUP(E84,'HEAD OF THE FAMILY'!$B$6:$J1851,9,FALSE)</f>
        <v>BLK 1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60">
        <f t="shared" si="1"/>
        <v>80</v>
      </c>
      <c r="B85" s="62" t="s">
        <v>302</v>
      </c>
      <c r="C85" s="62" t="s">
        <v>306</v>
      </c>
      <c r="D85" s="105"/>
      <c r="E85" s="62" t="s">
        <v>304</v>
      </c>
      <c r="F85" s="60"/>
      <c r="G85" s="92"/>
      <c r="H85" s="60"/>
      <c r="I85" s="60"/>
      <c r="J85" s="60"/>
      <c r="K85" s="71" t="str">
        <f>VLOOKUP(E85,'HEAD OF THE FAMILY'!$B$6:$J1851,9,FALSE)</f>
        <v>BLK 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60">
        <f t="shared" si="1"/>
        <v>81</v>
      </c>
      <c r="B86" s="62" t="s">
        <v>302</v>
      </c>
      <c r="C86" s="62" t="s">
        <v>308</v>
      </c>
      <c r="D86" s="105"/>
      <c r="E86" s="62" t="s">
        <v>304</v>
      </c>
      <c r="F86" s="60"/>
      <c r="G86" s="92"/>
      <c r="H86" s="60"/>
      <c r="I86" s="60"/>
      <c r="J86" s="60"/>
      <c r="K86" s="71" t="str">
        <f>VLOOKUP(E86,'HEAD OF THE FAMILY'!$B$6:$J1851,9,FALSE)</f>
        <v>BLK 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60">
        <f t="shared" si="1"/>
        <v>82</v>
      </c>
      <c r="B87" s="62" t="s">
        <v>302</v>
      </c>
      <c r="C87" s="62" t="s">
        <v>309</v>
      </c>
      <c r="D87" s="105"/>
      <c r="E87" s="62" t="s">
        <v>304</v>
      </c>
      <c r="F87" s="60"/>
      <c r="G87" s="92"/>
      <c r="H87" s="60"/>
      <c r="I87" s="60"/>
      <c r="J87" s="60"/>
      <c r="K87" s="71" t="str">
        <f>VLOOKUP(E87,'HEAD OF THE FAMILY'!$B$6:$J1851,9,FALSE)</f>
        <v>BLK 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60">
        <f t="shared" si="1"/>
        <v>83</v>
      </c>
      <c r="B88" s="62" t="s">
        <v>302</v>
      </c>
      <c r="C88" s="62" t="s">
        <v>311</v>
      </c>
      <c r="D88" s="105"/>
      <c r="E88" s="62" t="s">
        <v>304</v>
      </c>
      <c r="F88" s="60"/>
      <c r="G88" s="92"/>
      <c r="H88" s="60"/>
      <c r="I88" s="60"/>
      <c r="J88" s="60"/>
      <c r="K88" s="71" t="str">
        <f>VLOOKUP(E88,'HEAD OF THE FAMILY'!$B$6:$J1851,9,FALSE)</f>
        <v>BLK 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60">
        <f t="shared" si="1"/>
        <v>84</v>
      </c>
      <c r="B89" s="62" t="s">
        <v>302</v>
      </c>
      <c r="C89" s="62" t="s">
        <v>312</v>
      </c>
      <c r="D89" s="105"/>
      <c r="E89" s="62" t="s">
        <v>304</v>
      </c>
      <c r="F89" s="60"/>
      <c r="G89" s="92"/>
      <c r="H89" s="60"/>
      <c r="I89" s="60"/>
      <c r="J89" s="60"/>
      <c r="K89" s="71" t="str">
        <f>VLOOKUP(E89,'HEAD OF THE FAMILY'!$B$6:$J1851,9,FALSE)</f>
        <v>BLK 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60">
        <f t="shared" si="1"/>
        <v>85</v>
      </c>
      <c r="B90" s="62" t="s">
        <v>313</v>
      </c>
      <c r="C90" s="62" t="s">
        <v>314</v>
      </c>
      <c r="D90" s="105"/>
      <c r="E90" s="62" t="s">
        <v>315</v>
      </c>
      <c r="F90" s="60"/>
      <c r="G90" s="92"/>
      <c r="H90" s="60"/>
      <c r="I90" s="60"/>
      <c r="J90" s="60"/>
      <c r="K90" s="71" t="str">
        <f>VLOOKUP(E90,'HEAD OF THE FAMILY'!$B$6:$J1851,9,FALSE)</f>
        <v>BLK 1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60">
        <f t="shared" si="1"/>
        <v>86</v>
      </c>
      <c r="B91" s="62" t="s">
        <v>317</v>
      </c>
      <c r="C91" s="62" t="s">
        <v>318</v>
      </c>
      <c r="D91" s="62" t="s">
        <v>71</v>
      </c>
      <c r="E91" s="62" t="s">
        <v>319</v>
      </c>
      <c r="F91" s="60"/>
      <c r="G91" s="92"/>
      <c r="H91" s="60"/>
      <c r="I91" s="60"/>
      <c r="J91" s="60"/>
      <c r="K91" s="71" t="str">
        <f>VLOOKUP(E91,'HEAD OF THE FAMILY'!$B$6:$J1851,9,FALSE)</f>
        <v>BLK 1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60">
        <f t="shared" si="1"/>
        <v>87</v>
      </c>
      <c r="B92" s="62" t="s">
        <v>320</v>
      </c>
      <c r="C92" s="62" t="s">
        <v>321</v>
      </c>
      <c r="D92" s="62" t="s">
        <v>71</v>
      </c>
      <c r="E92" s="62" t="s">
        <v>323</v>
      </c>
      <c r="F92" s="60"/>
      <c r="G92" s="92"/>
      <c r="H92" s="60"/>
      <c r="I92" s="60"/>
      <c r="J92" s="60"/>
      <c r="K92" s="71" t="str">
        <f>VLOOKUP(E92,'HEAD OF THE FAMILY'!$B$6:$J1851,9,FALSE)</f>
        <v>BLK 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60">
        <f t="shared" si="1"/>
        <v>88</v>
      </c>
      <c r="B93" s="62" t="s">
        <v>324</v>
      </c>
      <c r="C93" s="62" t="s">
        <v>325</v>
      </c>
      <c r="D93" s="105"/>
      <c r="E93" s="62" t="s">
        <v>326</v>
      </c>
      <c r="F93" s="60"/>
      <c r="G93" s="92"/>
      <c r="H93" s="60"/>
      <c r="I93" s="60"/>
      <c r="J93" s="60"/>
      <c r="K93" s="71" t="str">
        <f>VLOOKUP(E93,'HEAD OF THE FAMILY'!$B$6:$J1851,9,FALSE)</f>
        <v>BLK 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60">
        <f t="shared" si="1"/>
        <v>89</v>
      </c>
      <c r="B94" s="62" t="s">
        <v>327</v>
      </c>
      <c r="C94" s="62" t="s">
        <v>328</v>
      </c>
      <c r="D94" s="62" t="s">
        <v>329</v>
      </c>
      <c r="E94" s="62" t="s">
        <v>326</v>
      </c>
      <c r="F94" s="60"/>
      <c r="G94" s="92"/>
      <c r="H94" s="60"/>
      <c r="I94" s="60"/>
      <c r="J94" s="60"/>
      <c r="K94" s="71" t="str">
        <f>VLOOKUP(E94,'HEAD OF THE FAMILY'!$B$6:$J1851,9,FALSE)</f>
        <v>BLK 1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60">
        <f t="shared" si="1"/>
        <v>90</v>
      </c>
      <c r="B95" s="62" t="s">
        <v>332</v>
      </c>
      <c r="C95" s="62" t="s">
        <v>333</v>
      </c>
      <c r="D95" s="105"/>
      <c r="E95" s="62" t="s">
        <v>334</v>
      </c>
      <c r="F95" s="60"/>
      <c r="G95" s="92"/>
      <c r="H95" s="60"/>
      <c r="I95" s="60"/>
      <c r="J95" s="60"/>
      <c r="K95" s="71" t="str">
        <f>VLOOKUP(E95,'HEAD OF THE FAMILY'!$B$6:$J1851,9,FALSE)</f>
        <v>#N/A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60">
        <f t="shared" si="1"/>
        <v>91</v>
      </c>
      <c r="B96" s="62" t="s">
        <v>332</v>
      </c>
      <c r="C96" s="62" t="s">
        <v>336</v>
      </c>
      <c r="D96" s="105"/>
      <c r="E96" s="62" t="s">
        <v>334</v>
      </c>
      <c r="F96" s="60"/>
      <c r="G96" s="92"/>
      <c r="H96" s="60"/>
      <c r="I96" s="60"/>
      <c r="J96" s="60"/>
      <c r="K96" s="71" t="str">
        <f>VLOOKUP(E96,'HEAD OF THE FAMILY'!$B$6:$J1851,9,FALSE)</f>
        <v>#N/A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60">
        <f t="shared" si="1"/>
        <v>92</v>
      </c>
      <c r="B97" s="62" t="s">
        <v>332</v>
      </c>
      <c r="C97" s="62" t="s">
        <v>337</v>
      </c>
      <c r="D97" s="105"/>
      <c r="E97" s="62" t="s">
        <v>334</v>
      </c>
      <c r="F97" s="60"/>
      <c r="G97" s="92"/>
      <c r="H97" s="60"/>
      <c r="I97" s="60"/>
      <c r="J97" s="60"/>
      <c r="K97" s="71" t="str">
        <f>VLOOKUP(E97,'HEAD OF THE FAMILY'!$B$6:$J1851,9,FALSE)</f>
        <v>#N/A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60">
        <f t="shared" si="1"/>
        <v>93</v>
      </c>
      <c r="B98" s="62" t="s">
        <v>339</v>
      </c>
      <c r="C98" s="62" t="s">
        <v>340</v>
      </c>
      <c r="D98" s="105"/>
      <c r="E98" s="62" t="s">
        <v>208</v>
      </c>
      <c r="F98" s="60"/>
      <c r="G98" s="92"/>
      <c r="H98" s="60"/>
      <c r="I98" s="60"/>
      <c r="J98" s="60"/>
      <c r="K98" s="71" t="str">
        <f>VLOOKUP(E98,'HEAD OF THE FAMILY'!$B$6:$J1851,9,FALSE)</f>
        <v>BLK 1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60">
        <f t="shared" si="1"/>
        <v>94</v>
      </c>
      <c r="B99" s="62" t="s">
        <v>339</v>
      </c>
      <c r="C99" s="62" t="s">
        <v>342</v>
      </c>
      <c r="D99" s="105"/>
      <c r="E99" s="62" t="s">
        <v>208</v>
      </c>
      <c r="F99" s="60"/>
      <c r="G99" s="92"/>
      <c r="H99" s="60"/>
      <c r="I99" s="60"/>
      <c r="J99" s="60"/>
      <c r="K99" s="71" t="str">
        <f>VLOOKUP(E99,'HEAD OF THE FAMILY'!$B$6:$J1851,9,FALSE)</f>
        <v>BLK 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60">
        <f t="shared" si="1"/>
        <v>95</v>
      </c>
      <c r="B100" s="62" t="s">
        <v>332</v>
      </c>
      <c r="C100" s="62" t="s">
        <v>345</v>
      </c>
      <c r="D100" s="105"/>
      <c r="E100" s="62" t="s">
        <v>346</v>
      </c>
      <c r="F100" s="60"/>
      <c r="G100" s="92"/>
      <c r="H100" s="60"/>
      <c r="I100" s="60"/>
      <c r="J100" s="60"/>
      <c r="K100" s="71" t="str">
        <f>VLOOKUP(E100,'HEAD OF THE FAMILY'!$B$6:$J1851,9,FALSE)</f>
        <v>BLK 1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60">
        <f t="shared" si="1"/>
        <v>96</v>
      </c>
      <c r="B101" s="62" t="s">
        <v>348</v>
      </c>
      <c r="C101" s="62" t="s">
        <v>349</v>
      </c>
      <c r="D101" s="105"/>
      <c r="E101" s="62" t="s">
        <v>346</v>
      </c>
      <c r="F101" s="60"/>
      <c r="G101" s="92"/>
      <c r="H101" s="60"/>
      <c r="I101" s="60"/>
      <c r="J101" s="60"/>
      <c r="K101" s="71" t="str">
        <f>VLOOKUP(E101,'HEAD OF THE FAMILY'!$B$6:$J1851,9,FALSE)</f>
        <v>BLK 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60">
        <f t="shared" si="1"/>
        <v>97</v>
      </c>
      <c r="B102" s="62" t="s">
        <v>348</v>
      </c>
      <c r="C102" s="62" t="s">
        <v>350</v>
      </c>
      <c r="D102" s="105"/>
      <c r="E102" s="62" t="s">
        <v>346</v>
      </c>
      <c r="F102" s="60"/>
      <c r="G102" s="92"/>
      <c r="H102" s="60"/>
      <c r="I102" s="60"/>
      <c r="J102" s="60"/>
      <c r="K102" s="71" t="str">
        <f>VLOOKUP(E102,'HEAD OF THE FAMILY'!$B$6:$J1851,9,FALSE)</f>
        <v>BLK 1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60">
        <f t="shared" si="1"/>
        <v>98</v>
      </c>
      <c r="B103" s="62" t="s">
        <v>352</v>
      </c>
      <c r="C103" s="62" t="s">
        <v>353</v>
      </c>
      <c r="D103" s="105"/>
      <c r="E103" s="62" t="s">
        <v>346</v>
      </c>
      <c r="F103" s="60"/>
      <c r="G103" s="92"/>
      <c r="H103" s="60"/>
      <c r="I103" s="60"/>
      <c r="J103" s="60"/>
      <c r="K103" s="71" t="str">
        <f>VLOOKUP(E103,'HEAD OF THE FAMILY'!$B$6:$J1851,9,FALSE)</f>
        <v>BLK 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60">
        <f t="shared" si="1"/>
        <v>99</v>
      </c>
      <c r="B104" s="62" t="s">
        <v>355</v>
      </c>
      <c r="C104" s="62" t="s">
        <v>356</v>
      </c>
      <c r="D104" s="62" t="s">
        <v>85</v>
      </c>
      <c r="E104" s="62" t="s">
        <v>357</v>
      </c>
      <c r="F104" s="60"/>
      <c r="G104" s="92"/>
      <c r="H104" s="60"/>
      <c r="I104" s="60"/>
      <c r="J104" s="60"/>
      <c r="K104" s="71" t="str">
        <f>VLOOKUP(E104,'HEAD OF THE FAMILY'!$B$6:$J1851,9,FALSE)</f>
        <v>BLK 1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60">
        <f t="shared" si="1"/>
        <v>100</v>
      </c>
      <c r="B105" s="62" t="s">
        <v>358</v>
      </c>
      <c r="C105" s="62" t="s">
        <v>360</v>
      </c>
      <c r="D105" s="105"/>
      <c r="E105" s="62" t="s">
        <v>347</v>
      </c>
      <c r="F105" s="60"/>
      <c r="G105" s="92"/>
      <c r="H105" s="60"/>
      <c r="I105" s="60"/>
      <c r="J105" s="60"/>
      <c r="K105" s="71" t="str">
        <f>VLOOKUP(E105,'HEAD OF THE FAMILY'!$B$6:$J1851,9,FALSE)</f>
        <v>BLK 1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60">
        <f t="shared" si="1"/>
        <v>101</v>
      </c>
      <c r="B106" s="62" t="s">
        <v>362</v>
      </c>
      <c r="C106" s="62" t="s">
        <v>363</v>
      </c>
      <c r="D106" s="105"/>
      <c r="E106" s="62" t="s">
        <v>347</v>
      </c>
      <c r="F106" s="60"/>
      <c r="G106" s="92"/>
      <c r="H106" s="60"/>
      <c r="I106" s="60"/>
      <c r="J106" s="60"/>
      <c r="K106" s="71" t="str">
        <f>VLOOKUP(E106,'HEAD OF THE FAMILY'!$B$6:$J1851,9,FALSE)</f>
        <v>BLK 1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60">
        <f t="shared" si="1"/>
        <v>102</v>
      </c>
      <c r="B107" s="62" t="s">
        <v>364</v>
      </c>
      <c r="C107" s="62" t="s">
        <v>365</v>
      </c>
      <c r="D107" s="105"/>
      <c r="E107" s="62" t="s">
        <v>366</v>
      </c>
      <c r="F107" s="60"/>
      <c r="G107" s="92"/>
      <c r="H107" s="60"/>
      <c r="I107" s="60"/>
      <c r="J107" s="60"/>
      <c r="K107" s="71" t="str">
        <f>VLOOKUP(E107,'HEAD OF THE FAMILY'!$B$6:$J1851,9,FALSE)</f>
        <v>BLK 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60">
        <f t="shared" si="1"/>
        <v>103</v>
      </c>
      <c r="B108" s="62" t="s">
        <v>368</v>
      </c>
      <c r="C108" s="62" t="s">
        <v>369</v>
      </c>
      <c r="D108" s="105"/>
      <c r="E108" s="62" t="s">
        <v>300</v>
      </c>
      <c r="F108" s="60"/>
      <c r="G108" s="92"/>
      <c r="H108" s="60"/>
      <c r="I108" s="60"/>
      <c r="J108" s="60"/>
      <c r="K108" s="71" t="str">
        <f>VLOOKUP(E108,'HEAD OF THE FAMILY'!$B$6:$J1851,9,FALSE)</f>
        <v>BLK 1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60">
        <f t="shared" si="1"/>
        <v>104</v>
      </c>
      <c r="B109" s="62" t="s">
        <v>370</v>
      </c>
      <c r="C109" s="62" t="s">
        <v>371</v>
      </c>
      <c r="D109" s="105"/>
      <c r="E109" s="62" t="s">
        <v>300</v>
      </c>
      <c r="F109" s="60"/>
      <c r="G109" s="92"/>
      <c r="H109" s="60"/>
      <c r="I109" s="60"/>
      <c r="J109" s="60"/>
      <c r="K109" s="71" t="str">
        <f>VLOOKUP(E109,'HEAD OF THE FAMILY'!$B$6:$J1851,9,FALSE)</f>
        <v>BLK 1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60">
        <f t="shared" si="1"/>
        <v>105</v>
      </c>
      <c r="B110" s="62" t="s">
        <v>368</v>
      </c>
      <c r="C110" s="62" t="s">
        <v>373</v>
      </c>
      <c r="D110" s="105"/>
      <c r="E110" s="62" t="s">
        <v>300</v>
      </c>
      <c r="F110" s="60"/>
      <c r="G110" s="92"/>
      <c r="H110" s="60"/>
      <c r="I110" s="60"/>
      <c r="J110" s="60"/>
      <c r="K110" s="71" t="str">
        <f>VLOOKUP(E110,'HEAD OF THE FAMILY'!$B$6:$J1851,9,FALSE)</f>
        <v>BLK 1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60">
        <f t="shared" si="1"/>
        <v>106</v>
      </c>
      <c r="B111" s="62" t="s">
        <v>374</v>
      </c>
      <c r="C111" s="62" t="s">
        <v>375</v>
      </c>
      <c r="D111" s="105"/>
      <c r="E111" s="62" t="s">
        <v>376</v>
      </c>
      <c r="F111" s="60"/>
      <c r="G111" s="92"/>
      <c r="H111" s="60"/>
      <c r="I111" s="60"/>
      <c r="J111" s="60"/>
      <c r="K111" s="71" t="str">
        <f>VLOOKUP(E111,'HEAD OF THE FAMILY'!$B$6:$J1851,9,FALSE)</f>
        <v>BLK 49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60">
        <f t="shared" si="1"/>
        <v>107</v>
      </c>
      <c r="B112" s="62" t="s">
        <v>374</v>
      </c>
      <c r="C112" s="62" t="s">
        <v>377</v>
      </c>
      <c r="D112" s="62" t="s">
        <v>95</v>
      </c>
      <c r="E112" s="62" t="s">
        <v>376</v>
      </c>
      <c r="F112" s="60"/>
      <c r="G112" s="92"/>
      <c r="H112" s="60"/>
      <c r="I112" s="60"/>
      <c r="J112" s="60"/>
      <c r="K112" s="71" t="str">
        <f>VLOOKUP(E112,'HEAD OF THE FAMILY'!$B$6:$J1851,9,FALSE)</f>
        <v>BLK 49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60">
        <f t="shared" si="1"/>
        <v>108</v>
      </c>
      <c r="B113" s="62" t="s">
        <v>379</v>
      </c>
      <c r="C113" s="62" t="s">
        <v>380</v>
      </c>
      <c r="D113" s="62" t="s">
        <v>329</v>
      </c>
      <c r="E113" s="62" t="s">
        <v>381</v>
      </c>
      <c r="F113" s="60"/>
      <c r="G113" s="92"/>
      <c r="H113" s="60"/>
      <c r="I113" s="60"/>
      <c r="J113" s="60"/>
      <c r="K113" s="71" t="str">
        <f>VLOOKUP(E113,'HEAD OF THE FAMILY'!$B$6:$J1851,9,FALSE)</f>
        <v>BLK 49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60">
        <f t="shared" si="1"/>
        <v>109</v>
      </c>
      <c r="B114" s="62" t="s">
        <v>379</v>
      </c>
      <c r="C114" s="62" t="s">
        <v>383</v>
      </c>
      <c r="D114" s="62" t="s">
        <v>329</v>
      </c>
      <c r="E114" s="62" t="s">
        <v>381</v>
      </c>
      <c r="F114" s="60"/>
      <c r="G114" s="92"/>
      <c r="H114" s="60"/>
      <c r="I114" s="60"/>
      <c r="J114" s="60"/>
      <c r="K114" s="71" t="str">
        <f>VLOOKUP(E114,'HEAD OF THE FAMILY'!$B$6:$J1851,9,FALSE)</f>
        <v>BLK 49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60">
        <f t="shared" si="1"/>
        <v>110</v>
      </c>
      <c r="B115" s="62" t="s">
        <v>379</v>
      </c>
      <c r="C115" s="62" t="s">
        <v>385</v>
      </c>
      <c r="D115" s="62" t="s">
        <v>329</v>
      </c>
      <c r="E115" s="62" t="s">
        <v>381</v>
      </c>
      <c r="F115" s="60"/>
      <c r="G115" s="92"/>
      <c r="H115" s="60"/>
      <c r="I115" s="60"/>
      <c r="J115" s="60"/>
      <c r="K115" s="71" t="str">
        <f>VLOOKUP(E115,'HEAD OF THE FAMILY'!$B$6:$J1851,9,FALSE)</f>
        <v>BLK 49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60">
        <f t="shared" si="1"/>
        <v>111</v>
      </c>
      <c r="B116" s="62" t="s">
        <v>387</v>
      </c>
      <c r="C116" s="62" t="s">
        <v>388</v>
      </c>
      <c r="D116" s="105"/>
      <c r="E116" s="62" t="s">
        <v>389</v>
      </c>
      <c r="F116" s="60"/>
      <c r="G116" s="92"/>
      <c r="H116" s="60"/>
      <c r="I116" s="60"/>
      <c r="J116" s="60"/>
      <c r="K116" s="71" t="str">
        <f>VLOOKUP(E116,'HEAD OF THE FAMILY'!$B$6:$J1851,9,FALSE)</f>
        <v>BLK 49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60">
        <f t="shared" si="1"/>
        <v>112</v>
      </c>
      <c r="B117" s="62" t="s">
        <v>387</v>
      </c>
      <c r="C117" s="62" t="s">
        <v>392</v>
      </c>
      <c r="D117" s="105"/>
      <c r="E117" s="62" t="s">
        <v>389</v>
      </c>
      <c r="F117" s="60"/>
      <c r="G117" s="92"/>
      <c r="H117" s="60"/>
      <c r="I117" s="60"/>
      <c r="J117" s="60"/>
      <c r="K117" s="71" t="str">
        <f>VLOOKUP(E117,'HEAD OF THE FAMILY'!$B$6:$J1851,9,FALSE)</f>
        <v>BLK 49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60">
        <f t="shared" si="1"/>
        <v>113</v>
      </c>
      <c r="B118" s="62" t="s">
        <v>394</v>
      </c>
      <c r="C118" s="62" t="s">
        <v>395</v>
      </c>
      <c r="D118" s="105"/>
      <c r="E118" s="62" t="s">
        <v>389</v>
      </c>
      <c r="F118" s="60"/>
      <c r="G118" s="92"/>
      <c r="H118" s="60"/>
      <c r="I118" s="60"/>
      <c r="J118" s="60"/>
      <c r="K118" s="71" t="str">
        <f>VLOOKUP(E118,'HEAD OF THE FAMILY'!$B$6:$J1851,9,FALSE)</f>
        <v>BLK 49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60">
        <f t="shared" si="1"/>
        <v>114</v>
      </c>
      <c r="B119" s="62" t="s">
        <v>394</v>
      </c>
      <c r="C119" s="62" t="s">
        <v>397</v>
      </c>
      <c r="D119" s="105"/>
      <c r="E119" s="62" t="s">
        <v>389</v>
      </c>
      <c r="F119" s="60"/>
      <c r="G119" s="92"/>
      <c r="H119" s="60"/>
      <c r="I119" s="60"/>
      <c r="J119" s="60"/>
      <c r="K119" s="71" t="str">
        <f>VLOOKUP(E119,'HEAD OF THE FAMILY'!$B$6:$J1851,9,FALSE)</f>
        <v>BLK 49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60">
        <f t="shared" si="1"/>
        <v>115</v>
      </c>
      <c r="B120" s="62" t="s">
        <v>400</v>
      </c>
      <c r="C120" s="62" t="s">
        <v>401</v>
      </c>
      <c r="D120" s="62" t="s">
        <v>119</v>
      </c>
      <c r="E120" s="62" t="s">
        <v>402</v>
      </c>
      <c r="F120" s="60"/>
      <c r="G120" s="92"/>
      <c r="H120" s="60"/>
      <c r="I120" s="60"/>
      <c r="J120" s="60"/>
      <c r="K120" s="71" t="str">
        <f>VLOOKUP(E120,'HEAD OF THE FAMILY'!$B$6:$J1851,9,FALSE)</f>
        <v>BLK 49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60">
        <f t="shared" si="1"/>
        <v>116</v>
      </c>
      <c r="B121" s="62" t="s">
        <v>400</v>
      </c>
      <c r="C121" s="62" t="s">
        <v>404</v>
      </c>
      <c r="D121" s="62" t="s">
        <v>119</v>
      </c>
      <c r="E121" s="62" t="s">
        <v>402</v>
      </c>
      <c r="F121" s="60"/>
      <c r="G121" s="92"/>
      <c r="H121" s="60"/>
      <c r="I121" s="60"/>
      <c r="J121" s="60"/>
      <c r="K121" s="71" t="str">
        <f>VLOOKUP(E121,'HEAD OF THE FAMILY'!$B$6:$J1851,9,FALSE)</f>
        <v>BLK 49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60">
        <f t="shared" si="1"/>
        <v>117</v>
      </c>
      <c r="B122" s="62" t="s">
        <v>400</v>
      </c>
      <c r="C122" s="62" t="s">
        <v>406</v>
      </c>
      <c r="D122" s="62" t="s">
        <v>119</v>
      </c>
      <c r="E122" s="62" t="s">
        <v>402</v>
      </c>
      <c r="F122" s="60"/>
      <c r="G122" s="92"/>
      <c r="H122" s="60"/>
      <c r="I122" s="60"/>
      <c r="J122" s="60"/>
      <c r="K122" s="71" t="str">
        <f>VLOOKUP(E122,'HEAD OF THE FAMILY'!$B$6:$J1851,9,FALSE)</f>
        <v>BLK 49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60">
        <f t="shared" si="1"/>
        <v>118</v>
      </c>
      <c r="B123" s="62" t="s">
        <v>408</v>
      </c>
      <c r="C123" s="62" t="s">
        <v>409</v>
      </c>
      <c r="D123" s="105"/>
      <c r="E123" s="62" t="s">
        <v>410</v>
      </c>
      <c r="F123" s="60"/>
      <c r="G123" s="92"/>
      <c r="H123" s="60"/>
      <c r="I123" s="60"/>
      <c r="J123" s="60"/>
      <c r="K123" s="71" t="str">
        <f>VLOOKUP(E123,'HEAD OF THE FAMILY'!$B$6:$J1851,9,FALSE)</f>
        <v>BLK 49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60">
        <f t="shared" si="1"/>
        <v>119</v>
      </c>
      <c r="B124" s="62" t="s">
        <v>408</v>
      </c>
      <c r="C124" s="62" t="s">
        <v>412</v>
      </c>
      <c r="D124" s="105"/>
      <c r="E124" s="62" t="s">
        <v>410</v>
      </c>
      <c r="F124" s="60"/>
      <c r="G124" s="92"/>
      <c r="H124" s="60"/>
      <c r="I124" s="60"/>
      <c r="J124" s="60"/>
      <c r="K124" s="71" t="str">
        <f>VLOOKUP(E124,'HEAD OF THE FAMILY'!$B$6:$J1851,9,FALSE)</f>
        <v>BLK 49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60">
        <f t="shared" si="1"/>
        <v>120</v>
      </c>
      <c r="B125" s="62" t="s">
        <v>408</v>
      </c>
      <c r="C125" s="62" t="s">
        <v>415</v>
      </c>
      <c r="D125" s="105"/>
      <c r="E125" s="62" t="s">
        <v>410</v>
      </c>
      <c r="F125" s="60"/>
      <c r="G125" s="92"/>
      <c r="H125" s="60"/>
      <c r="I125" s="60"/>
      <c r="J125" s="60"/>
      <c r="K125" s="71" t="str">
        <f>VLOOKUP(E125,'HEAD OF THE FAMILY'!$B$6:$J1851,9,FALSE)</f>
        <v>BLK 49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60">
        <f t="shared" si="1"/>
        <v>121</v>
      </c>
      <c r="B126" s="62" t="s">
        <v>416</v>
      </c>
      <c r="C126" s="62" t="s">
        <v>417</v>
      </c>
      <c r="D126" s="105"/>
      <c r="E126" s="62" t="s">
        <v>418</v>
      </c>
      <c r="F126" s="60"/>
      <c r="G126" s="92"/>
      <c r="H126" s="60"/>
      <c r="I126" s="60"/>
      <c r="J126" s="60"/>
      <c r="K126" s="71" t="str">
        <f>VLOOKUP(E126,'HEAD OF THE FAMILY'!$B$6:$J1851,9,FALSE)</f>
        <v>BLK 49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60">
        <f t="shared" si="1"/>
        <v>122</v>
      </c>
      <c r="B127" s="62" t="s">
        <v>416</v>
      </c>
      <c r="C127" s="62" t="s">
        <v>421</v>
      </c>
      <c r="D127" s="62" t="s">
        <v>58</v>
      </c>
      <c r="E127" s="62" t="s">
        <v>418</v>
      </c>
      <c r="F127" s="60"/>
      <c r="G127" s="92"/>
      <c r="H127" s="60"/>
      <c r="I127" s="60"/>
      <c r="J127" s="60"/>
      <c r="K127" s="71" t="str">
        <f>VLOOKUP(E127,'HEAD OF THE FAMILY'!$B$6:$J1851,9,FALSE)</f>
        <v>BLK 49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60">
        <f t="shared" si="1"/>
        <v>123</v>
      </c>
      <c r="B128" s="62" t="s">
        <v>424</v>
      </c>
      <c r="C128" s="62" t="s">
        <v>425</v>
      </c>
      <c r="D128" s="105"/>
      <c r="E128" s="62" t="s">
        <v>426</v>
      </c>
      <c r="F128" s="60"/>
      <c r="G128" s="92"/>
      <c r="H128" s="60"/>
      <c r="I128" s="60"/>
      <c r="J128" s="60"/>
      <c r="K128" s="71" t="str">
        <f>VLOOKUP(E128,'HEAD OF THE FAMILY'!$B$6:$J1851,9,FALSE)</f>
        <v>BLK 49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60">
        <f t="shared" si="1"/>
        <v>124</v>
      </c>
      <c r="B129" s="62" t="s">
        <v>424</v>
      </c>
      <c r="C129" s="62" t="s">
        <v>428</v>
      </c>
      <c r="D129" s="105"/>
      <c r="E129" s="62" t="s">
        <v>426</v>
      </c>
      <c r="F129" s="60"/>
      <c r="G129" s="92"/>
      <c r="H129" s="60"/>
      <c r="I129" s="60"/>
      <c r="J129" s="60"/>
      <c r="K129" s="71" t="str">
        <f>VLOOKUP(E129,'HEAD OF THE FAMILY'!$B$6:$J1851,9,FALSE)</f>
        <v>BLK 49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60">
        <f t="shared" si="1"/>
        <v>125</v>
      </c>
      <c r="B130" s="62" t="s">
        <v>430</v>
      </c>
      <c r="C130" s="62" t="s">
        <v>431</v>
      </c>
      <c r="D130" s="62" t="s">
        <v>95</v>
      </c>
      <c r="E130" s="62" t="s">
        <v>432</v>
      </c>
      <c r="F130" s="60"/>
      <c r="G130" s="92"/>
      <c r="H130" s="60"/>
      <c r="I130" s="60"/>
      <c r="J130" s="60"/>
      <c r="K130" s="71" t="str">
        <f>VLOOKUP(E130,'HEAD OF THE FAMILY'!$B$6:$J1851,9,FALSE)</f>
        <v>BLK 49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60">
        <f t="shared" si="1"/>
        <v>126</v>
      </c>
      <c r="B131" s="62" t="s">
        <v>434</v>
      </c>
      <c r="C131" s="62" t="s">
        <v>435</v>
      </c>
      <c r="D131" s="62" t="s">
        <v>58</v>
      </c>
      <c r="E131" s="62" t="s">
        <v>436</v>
      </c>
      <c r="F131" s="60"/>
      <c r="G131" s="92"/>
      <c r="H131" s="60"/>
      <c r="I131" s="60"/>
      <c r="J131" s="60"/>
      <c r="K131" s="71" t="str">
        <f>VLOOKUP(E131,'HEAD OF THE FAMILY'!$B$6:$J1851,9,FALSE)</f>
        <v>BLK 49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60">
        <f t="shared" si="1"/>
        <v>127</v>
      </c>
      <c r="B132" s="62" t="s">
        <v>434</v>
      </c>
      <c r="C132" s="62" t="s">
        <v>439</v>
      </c>
      <c r="D132" s="62" t="s">
        <v>58</v>
      </c>
      <c r="E132" s="62" t="s">
        <v>436</v>
      </c>
      <c r="F132" s="60"/>
      <c r="G132" s="92"/>
      <c r="H132" s="60"/>
      <c r="I132" s="60"/>
      <c r="J132" s="60"/>
      <c r="K132" s="71" t="str">
        <f>VLOOKUP(E132,'HEAD OF THE FAMILY'!$B$6:$J1851,9,FALSE)</f>
        <v>BLK 49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60">
        <f t="shared" si="1"/>
        <v>128</v>
      </c>
      <c r="B133" s="62" t="s">
        <v>441</v>
      </c>
      <c r="C133" s="62" t="s">
        <v>442</v>
      </c>
      <c r="D133" s="105"/>
      <c r="E133" s="62" t="s">
        <v>436</v>
      </c>
      <c r="F133" s="60"/>
      <c r="G133" s="92"/>
      <c r="H133" s="60"/>
      <c r="I133" s="60"/>
      <c r="J133" s="60"/>
      <c r="K133" s="71" t="str">
        <f>VLOOKUP(E133,'HEAD OF THE FAMILY'!$B$6:$J1851,9,FALSE)</f>
        <v>BLK 49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60">
        <f t="shared" si="1"/>
        <v>129</v>
      </c>
      <c r="B134" s="62" t="s">
        <v>443</v>
      </c>
      <c r="C134" s="62" t="s">
        <v>444</v>
      </c>
      <c r="D134" s="105"/>
      <c r="E134" s="62" t="s">
        <v>436</v>
      </c>
      <c r="F134" s="60"/>
      <c r="G134" s="92"/>
      <c r="H134" s="60"/>
      <c r="I134" s="60"/>
      <c r="J134" s="60"/>
      <c r="K134" s="71" t="str">
        <f>VLOOKUP(E134,'HEAD OF THE FAMILY'!$B$6:$J1851,9,FALSE)</f>
        <v>BLK 49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60">
        <f t="shared" si="1"/>
        <v>130</v>
      </c>
      <c r="B135" s="62" t="s">
        <v>447</v>
      </c>
      <c r="C135" s="62" t="s">
        <v>448</v>
      </c>
      <c r="D135" s="62" t="s">
        <v>58</v>
      </c>
      <c r="E135" s="62" t="s">
        <v>449</v>
      </c>
      <c r="F135" s="60"/>
      <c r="G135" s="92"/>
      <c r="H135" s="60"/>
      <c r="I135" s="60"/>
      <c r="J135" s="60"/>
      <c r="K135" s="71" t="str">
        <f>VLOOKUP(E135,'HEAD OF THE FAMILY'!$B$6:$J1851,9,FALSE)</f>
        <v>BLK 49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60">
        <f t="shared" si="1"/>
        <v>131</v>
      </c>
      <c r="B136" s="62" t="s">
        <v>451</v>
      </c>
      <c r="C136" s="62" t="s">
        <v>452</v>
      </c>
      <c r="D136" s="62" t="s">
        <v>71</v>
      </c>
      <c r="E136" s="62" t="s">
        <v>453</v>
      </c>
      <c r="F136" s="60"/>
      <c r="G136" s="92"/>
      <c r="H136" s="60"/>
      <c r="I136" s="60"/>
      <c r="J136" s="60"/>
      <c r="K136" s="71" t="str">
        <f>VLOOKUP(E136,'HEAD OF THE FAMILY'!$B$6:$J1851,9,FALSE)</f>
        <v>BLK 49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60">
        <f t="shared" si="1"/>
        <v>132</v>
      </c>
      <c r="B137" s="62" t="s">
        <v>451</v>
      </c>
      <c r="C137" s="62" t="s">
        <v>456</v>
      </c>
      <c r="D137" s="62" t="s">
        <v>71</v>
      </c>
      <c r="E137" s="62" t="s">
        <v>453</v>
      </c>
      <c r="F137" s="60"/>
      <c r="G137" s="92"/>
      <c r="H137" s="60"/>
      <c r="I137" s="60"/>
      <c r="J137" s="60"/>
      <c r="K137" s="71" t="str">
        <f>VLOOKUP(E137,'HEAD OF THE FAMILY'!$B$6:$J1851,9,FALSE)</f>
        <v>BLK 49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60">
        <f t="shared" si="1"/>
        <v>133</v>
      </c>
      <c r="B138" s="62" t="s">
        <v>459</v>
      </c>
      <c r="C138" s="62" t="s">
        <v>460</v>
      </c>
      <c r="D138" s="62" t="s">
        <v>71</v>
      </c>
      <c r="E138" s="62" t="s">
        <v>453</v>
      </c>
      <c r="F138" s="60"/>
      <c r="G138" s="92"/>
      <c r="H138" s="60"/>
      <c r="I138" s="60"/>
      <c r="J138" s="60"/>
      <c r="K138" s="71" t="str">
        <f>VLOOKUP(E138,'HEAD OF THE FAMILY'!$B$6:$J1851,9,FALSE)</f>
        <v>BLK 49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60">
        <f t="shared" si="1"/>
        <v>134</v>
      </c>
      <c r="B139" s="62" t="s">
        <v>459</v>
      </c>
      <c r="C139" s="62" t="s">
        <v>462</v>
      </c>
      <c r="D139" s="62" t="s">
        <v>71</v>
      </c>
      <c r="E139" s="62" t="s">
        <v>453</v>
      </c>
      <c r="F139" s="60"/>
      <c r="G139" s="92"/>
      <c r="H139" s="60"/>
      <c r="I139" s="60"/>
      <c r="J139" s="60"/>
      <c r="K139" s="71" t="str">
        <f>VLOOKUP(E139,'HEAD OF THE FAMILY'!$B$6:$J1851,9,FALSE)</f>
        <v>BLK 49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60">
        <f t="shared" si="1"/>
        <v>135</v>
      </c>
      <c r="B140" s="62" t="s">
        <v>459</v>
      </c>
      <c r="C140" s="62" t="s">
        <v>464</v>
      </c>
      <c r="D140" s="62" t="s">
        <v>71</v>
      </c>
      <c r="E140" s="62" t="s">
        <v>453</v>
      </c>
      <c r="F140" s="60"/>
      <c r="G140" s="92"/>
      <c r="H140" s="60"/>
      <c r="I140" s="60"/>
      <c r="J140" s="60"/>
      <c r="K140" s="71" t="str">
        <f>VLOOKUP(E140,'HEAD OF THE FAMILY'!$B$6:$J1851,9,FALSE)</f>
        <v>BLK 49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60">
        <f t="shared" si="1"/>
        <v>136</v>
      </c>
      <c r="B141" s="62" t="s">
        <v>466</v>
      </c>
      <c r="C141" s="62" t="s">
        <v>468</v>
      </c>
      <c r="D141" s="62" t="s">
        <v>469</v>
      </c>
      <c r="E141" s="62" t="s">
        <v>240</v>
      </c>
      <c r="F141" s="60"/>
      <c r="G141" s="92"/>
      <c r="H141" s="60"/>
      <c r="I141" s="60"/>
      <c r="J141" s="60"/>
      <c r="K141" s="71" t="str">
        <f>VLOOKUP(E141,'HEAD OF THE FAMILY'!$B$6:$J1851,9,FALSE)</f>
        <v>BLK 49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60">
        <f t="shared" si="1"/>
        <v>137</v>
      </c>
      <c r="B142" s="62" t="s">
        <v>466</v>
      </c>
      <c r="C142" s="62" t="s">
        <v>470</v>
      </c>
      <c r="D142" s="62" t="s">
        <v>469</v>
      </c>
      <c r="E142" s="62" t="s">
        <v>240</v>
      </c>
      <c r="F142" s="60"/>
      <c r="G142" s="92"/>
      <c r="H142" s="60"/>
      <c r="I142" s="60"/>
      <c r="J142" s="60"/>
      <c r="K142" s="71" t="str">
        <f>VLOOKUP(E142,'HEAD OF THE FAMILY'!$B$6:$J1851,9,FALSE)</f>
        <v>BLK 49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60">
        <f t="shared" si="1"/>
        <v>138</v>
      </c>
      <c r="B143" s="62" t="s">
        <v>466</v>
      </c>
      <c r="C143" s="62" t="s">
        <v>474</v>
      </c>
      <c r="D143" s="105"/>
      <c r="E143" s="62" t="s">
        <v>235</v>
      </c>
      <c r="F143" s="60"/>
      <c r="G143" s="92"/>
      <c r="H143" s="60"/>
      <c r="I143" s="60"/>
      <c r="J143" s="60"/>
      <c r="K143" s="71" t="str">
        <f>VLOOKUP(E143,'HEAD OF THE FAMILY'!$B$6:$J1851,9,FALSE)</f>
        <v>BLK 49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60">
        <f t="shared" si="1"/>
        <v>139</v>
      </c>
      <c r="B144" s="62" t="s">
        <v>466</v>
      </c>
      <c r="C144" s="62" t="s">
        <v>476</v>
      </c>
      <c r="D144" s="105"/>
      <c r="E144" s="62" t="s">
        <v>235</v>
      </c>
      <c r="F144" s="60"/>
      <c r="G144" s="92"/>
      <c r="H144" s="60"/>
      <c r="I144" s="60"/>
      <c r="J144" s="60"/>
      <c r="K144" s="71" t="str">
        <f>VLOOKUP(E144,'HEAD OF THE FAMILY'!$B$6:$J1851,9,FALSE)</f>
        <v>BLK 49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60">
        <f t="shared" si="1"/>
        <v>140</v>
      </c>
      <c r="B145" s="62" t="s">
        <v>466</v>
      </c>
      <c r="C145" s="62" t="s">
        <v>478</v>
      </c>
      <c r="D145" s="62" t="s">
        <v>329</v>
      </c>
      <c r="E145" s="62" t="s">
        <v>235</v>
      </c>
      <c r="F145" s="60"/>
      <c r="G145" s="92"/>
      <c r="H145" s="60"/>
      <c r="I145" s="60"/>
      <c r="J145" s="60"/>
      <c r="K145" s="71" t="str">
        <f>VLOOKUP(E145,'HEAD OF THE FAMILY'!$B$6:$J1851,9,FALSE)</f>
        <v>BLK 49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60">
        <f t="shared" si="1"/>
        <v>141</v>
      </c>
      <c r="B146" s="62" t="s">
        <v>481</v>
      </c>
      <c r="C146" s="62" t="s">
        <v>482</v>
      </c>
      <c r="D146" s="105"/>
      <c r="E146" s="62" t="s">
        <v>483</v>
      </c>
      <c r="F146" s="60"/>
      <c r="G146" s="92"/>
      <c r="H146" s="60"/>
      <c r="I146" s="60"/>
      <c r="J146" s="60"/>
      <c r="K146" s="71" t="str">
        <f>VLOOKUP(E146,'HEAD OF THE FAMILY'!$B$6:$J1851,9,FALSE)</f>
        <v>BLK 49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60">
        <f t="shared" si="1"/>
        <v>142</v>
      </c>
      <c r="B147" s="62" t="s">
        <v>484</v>
      </c>
      <c r="C147" s="62" t="s">
        <v>486</v>
      </c>
      <c r="D147" s="105"/>
      <c r="E147" s="62" t="s">
        <v>483</v>
      </c>
      <c r="F147" s="60"/>
      <c r="G147" s="92"/>
      <c r="H147" s="60"/>
      <c r="I147" s="60"/>
      <c r="J147" s="60"/>
      <c r="K147" s="71" t="str">
        <f>VLOOKUP(E147,'HEAD OF THE FAMILY'!$B$6:$J1851,9,FALSE)</f>
        <v>BLK 49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60">
        <f t="shared" si="1"/>
        <v>143</v>
      </c>
      <c r="B148" s="62" t="s">
        <v>481</v>
      </c>
      <c r="C148" s="62" t="s">
        <v>488</v>
      </c>
      <c r="D148" s="105"/>
      <c r="E148" s="62" t="s">
        <v>490</v>
      </c>
      <c r="F148" s="60"/>
      <c r="G148" s="92"/>
      <c r="H148" s="60"/>
      <c r="I148" s="60"/>
      <c r="J148" s="60"/>
      <c r="K148" s="71" t="str">
        <f>VLOOKUP(E148,'HEAD OF THE FAMILY'!$B$6:$J1851,9,FALSE)</f>
        <v>BLK 49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60">
        <f t="shared" si="1"/>
        <v>144</v>
      </c>
      <c r="B149" s="62" t="s">
        <v>492</v>
      </c>
      <c r="C149" s="62" t="s">
        <v>493</v>
      </c>
      <c r="D149" s="62" t="s">
        <v>494</v>
      </c>
      <c r="E149" s="62" t="s">
        <v>495</v>
      </c>
      <c r="F149" s="60"/>
      <c r="G149" s="92"/>
      <c r="H149" s="60"/>
      <c r="I149" s="60"/>
      <c r="J149" s="60"/>
      <c r="K149" s="71" t="str">
        <f>VLOOKUP(E149,'HEAD OF THE FAMILY'!$B$6:$J1851,9,FALSE)</f>
        <v>BLK 49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60">
        <f t="shared" si="1"/>
        <v>145</v>
      </c>
      <c r="B150" s="62" t="s">
        <v>492</v>
      </c>
      <c r="C150" s="62" t="s">
        <v>497</v>
      </c>
      <c r="D150" s="62" t="s">
        <v>494</v>
      </c>
      <c r="E150" s="62" t="s">
        <v>495</v>
      </c>
      <c r="F150" s="60"/>
      <c r="G150" s="92"/>
      <c r="H150" s="60"/>
      <c r="I150" s="60"/>
      <c r="J150" s="60"/>
      <c r="K150" s="71" t="str">
        <f>VLOOKUP(E150,'HEAD OF THE FAMILY'!$B$6:$J1851,9,FALSE)</f>
        <v>BLK 49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60">
        <f t="shared" si="1"/>
        <v>146</v>
      </c>
      <c r="B151" s="62" t="s">
        <v>498</v>
      </c>
      <c r="C151" s="62" t="s">
        <v>499</v>
      </c>
      <c r="D151" s="105"/>
      <c r="E151" s="62" t="s">
        <v>501</v>
      </c>
      <c r="F151" s="60"/>
      <c r="G151" s="92"/>
      <c r="H151" s="60"/>
      <c r="I151" s="60"/>
      <c r="J151" s="60"/>
      <c r="K151" s="71" t="str">
        <f>VLOOKUP(E151,'HEAD OF THE FAMILY'!$B$6:$J1851,9,FALSE)</f>
        <v>BLK 49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60">
        <f t="shared" si="1"/>
        <v>147</v>
      </c>
      <c r="B152" s="62" t="s">
        <v>498</v>
      </c>
      <c r="C152" s="62" t="s">
        <v>502</v>
      </c>
      <c r="D152" s="105"/>
      <c r="E152" s="62" t="s">
        <v>501</v>
      </c>
      <c r="F152" s="60"/>
      <c r="G152" s="92"/>
      <c r="H152" s="60"/>
      <c r="I152" s="60"/>
      <c r="J152" s="60"/>
      <c r="K152" s="71" t="str">
        <f>VLOOKUP(E152,'HEAD OF THE FAMILY'!$B$6:$J1851,9,FALSE)</f>
        <v>BLK 49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60">
        <f t="shared" si="1"/>
        <v>148</v>
      </c>
      <c r="B153" s="62" t="s">
        <v>505</v>
      </c>
      <c r="C153" s="62" t="s">
        <v>506</v>
      </c>
      <c r="D153" s="105"/>
      <c r="E153" s="62" t="s">
        <v>501</v>
      </c>
      <c r="F153" s="60"/>
      <c r="G153" s="92"/>
      <c r="H153" s="60"/>
      <c r="I153" s="60"/>
      <c r="J153" s="60"/>
      <c r="K153" s="71" t="str">
        <f>VLOOKUP(E153,'HEAD OF THE FAMILY'!$B$6:$J1851,9,FALSE)</f>
        <v>BLK 49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60">
        <f t="shared" si="1"/>
        <v>149</v>
      </c>
      <c r="B154" s="62" t="s">
        <v>481</v>
      </c>
      <c r="C154" s="62" t="s">
        <v>507</v>
      </c>
      <c r="D154" s="62" t="s">
        <v>71</v>
      </c>
      <c r="E154" s="62" t="s">
        <v>509</v>
      </c>
      <c r="F154" s="60"/>
      <c r="G154" s="92"/>
      <c r="H154" s="60"/>
      <c r="I154" s="60"/>
      <c r="J154" s="60"/>
      <c r="K154" s="71" t="str">
        <f>VLOOKUP(E154,'HEAD OF THE FAMILY'!$B$6:$J1851,9,FALSE)</f>
        <v>BLK 49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60">
        <f t="shared" si="1"/>
        <v>150</v>
      </c>
      <c r="B155" s="62" t="s">
        <v>481</v>
      </c>
      <c r="C155" s="62" t="s">
        <v>511</v>
      </c>
      <c r="D155" s="62" t="s">
        <v>71</v>
      </c>
      <c r="E155" s="62" t="s">
        <v>509</v>
      </c>
      <c r="F155" s="60"/>
      <c r="G155" s="92"/>
      <c r="H155" s="60"/>
      <c r="I155" s="60"/>
      <c r="J155" s="60"/>
      <c r="K155" s="71" t="str">
        <f>VLOOKUP(E155,'HEAD OF THE FAMILY'!$B$6:$J1851,9,FALSE)</f>
        <v>BLK 49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60">
        <f t="shared" si="1"/>
        <v>151</v>
      </c>
      <c r="B156" s="62" t="s">
        <v>513</v>
      </c>
      <c r="C156" s="62" t="s">
        <v>514</v>
      </c>
      <c r="D156" s="105"/>
      <c r="E156" s="62" t="s">
        <v>516</v>
      </c>
      <c r="F156" s="60"/>
      <c r="G156" s="92"/>
      <c r="H156" s="60"/>
      <c r="I156" s="60"/>
      <c r="J156" s="60"/>
      <c r="K156" s="71" t="str">
        <f>VLOOKUP(E156,'HEAD OF THE FAMILY'!$B$6:$J1851,9,FALSE)</f>
        <v>BLK 49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60">
        <f t="shared" si="1"/>
        <v>152</v>
      </c>
      <c r="B157" s="62" t="s">
        <v>513</v>
      </c>
      <c r="C157" s="62" t="s">
        <v>517</v>
      </c>
      <c r="D157" s="105"/>
      <c r="E157" s="62" t="s">
        <v>516</v>
      </c>
      <c r="F157" s="60"/>
      <c r="G157" s="92"/>
      <c r="H157" s="60"/>
      <c r="I157" s="60"/>
      <c r="J157" s="60"/>
      <c r="K157" s="71" t="str">
        <f>VLOOKUP(E157,'HEAD OF THE FAMILY'!$B$6:$J1851,9,FALSE)</f>
        <v>BLK 49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60">
        <f t="shared" si="1"/>
        <v>153</v>
      </c>
      <c r="B158" s="62" t="s">
        <v>513</v>
      </c>
      <c r="C158" s="62" t="s">
        <v>519</v>
      </c>
      <c r="D158" s="105"/>
      <c r="E158" s="62" t="s">
        <v>516</v>
      </c>
      <c r="F158" s="60"/>
      <c r="G158" s="92"/>
      <c r="H158" s="60"/>
      <c r="I158" s="60"/>
      <c r="J158" s="60"/>
      <c r="K158" s="71" t="str">
        <f>VLOOKUP(E158,'HEAD OF THE FAMILY'!$B$6:$J1851,9,FALSE)</f>
        <v>BLK 49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60">
        <f t="shared" si="1"/>
        <v>154</v>
      </c>
      <c r="B159" s="62" t="s">
        <v>513</v>
      </c>
      <c r="C159" s="62" t="s">
        <v>521</v>
      </c>
      <c r="D159" s="105"/>
      <c r="E159" s="62" t="s">
        <v>523</v>
      </c>
      <c r="F159" s="60"/>
      <c r="G159" s="92"/>
      <c r="H159" s="60"/>
      <c r="I159" s="60"/>
      <c r="J159" s="60"/>
      <c r="K159" s="71" t="str">
        <f>VLOOKUP(E159,'HEAD OF THE FAMILY'!$B$6:$J1851,9,FALSE)</f>
        <v>BLK 49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60">
        <f t="shared" si="1"/>
        <v>155</v>
      </c>
      <c r="B160" s="62" t="s">
        <v>513</v>
      </c>
      <c r="C160" s="62" t="s">
        <v>524</v>
      </c>
      <c r="D160" s="105"/>
      <c r="E160" s="62" t="s">
        <v>523</v>
      </c>
      <c r="F160" s="60"/>
      <c r="G160" s="92"/>
      <c r="H160" s="60"/>
      <c r="I160" s="60"/>
      <c r="J160" s="60"/>
      <c r="K160" s="71" t="str">
        <f>VLOOKUP(E160,'HEAD OF THE FAMILY'!$B$6:$J1851,9,FALSE)</f>
        <v>BLK 49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60">
        <f t="shared" si="1"/>
        <v>156</v>
      </c>
      <c r="B161" s="62" t="s">
        <v>513</v>
      </c>
      <c r="C161" s="62" t="s">
        <v>526</v>
      </c>
      <c r="D161" s="105"/>
      <c r="E161" s="62" t="s">
        <v>527</v>
      </c>
      <c r="F161" s="60"/>
      <c r="G161" s="92"/>
      <c r="H161" s="60"/>
      <c r="I161" s="60"/>
      <c r="J161" s="60"/>
      <c r="K161" s="71" t="str">
        <f>VLOOKUP(E161,'HEAD OF THE FAMILY'!$B$6:$J1851,9,FALSE)</f>
        <v>BLK 49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60">
        <f t="shared" si="1"/>
        <v>157</v>
      </c>
      <c r="B162" s="62" t="s">
        <v>513</v>
      </c>
      <c r="C162" s="62" t="s">
        <v>530</v>
      </c>
      <c r="D162" s="105"/>
      <c r="E162" s="62" t="s">
        <v>527</v>
      </c>
      <c r="F162" s="60"/>
      <c r="G162" s="92"/>
      <c r="H162" s="60"/>
      <c r="I162" s="60"/>
      <c r="J162" s="60"/>
      <c r="K162" s="71" t="str">
        <f>VLOOKUP(E162,'HEAD OF THE FAMILY'!$B$6:$J1851,9,FALSE)</f>
        <v>BLK 49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60">
        <f t="shared" si="1"/>
        <v>158</v>
      </c>
      <c r="B163" s="62" t="s">
        <v>533</v>
      </c>
      <c r="C163" s="62" t="s">
        <v>534</v>
      </c>
      <c r="D163" s="105"/>
      <c r="E163" s="62" t="s">
        <v>535</v>
      </c>
      <c r="F163" s="60"/>
      <c r="G163" s="92"/>
      <c r="H163" s="60"/>
      <c r="I163" s="60"/>
      <c r="J163" s="60"/>
      <c r="K163" s="71" t="str">
        <f>VLOOKUP(E163,'HEAD OF THE FAMILY'!$B$6:$J1851,9,FALSE)</f>
        <v>BLK 49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60">
        <f t="shared" si="1"/>
        <v>159</v>
      </c>
      <c r="B164" s="62" t="s">
        <v>536</v>
      </c>
      <c r="C164" s="62" t="s">
        <v>538</v>
      </c>
      <c r="D164" s="105"/>
      <c r="E164" s="62" t="s">
        <v>535</v>
      </c>
      <c r="F164" s="60"/>
      <c r="G164" s="92"/>
      <c r="H164" s="60"/>
      <c r="I164" s="60"/>
      <c r="J164" s="60"/>
      <c r="K164" s="71" t="str">
        <f>VLOOKUP(E164,'HEAD OF THE FAMILY'!$B$6:$J1851,9,FALSE)</f>
        <v>BLK 49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60">
        <f t="shared" si="1"/>
        <v>160</v>
      </c>
      <c r="B165" s="62" t="s">
        <v>536</v>
      </c>
      <c r="C165" s="62" t="s">
        <v>539</v>
      </c>
      <c r="D165" s="105"/>
      <c r="E165" s="62" t="s">
        <v>535</v>
      </c>
      <c r="F165" s="60"/>
      <c r="G165" s="92"/>
      <c r="H165" s="60"/>
      <c r="I165" s="60"/>
      <c r="J165" s="60"/>
      <c r="K165" s="71" t="str">
        <f>VLOOKUP(E165,'HEAD OF THE FAMILY'!$B$6:$J1851,9,FALSE)</f>
        <v>BLK 49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60">
        <f t="shared" si="1"/>
        <v>161</v>
      </c>
      <c r="B166" s="62" t="s">
        <v>536</v>
      </c>
      <c r="C166" s="62" t="s">
        <v>541</v>
      </c>
      <c r="D166" s="105"/>
      <c r="E166" s="62" t="s">
        <v>535</v>
      </c>
      <c r="F166" s="60"/>
      <c r="G166" s="92"/>
      <c r="H166" s="60"/>
      <c r="I166" s="60"/>
      <c r="J166" s="60"/>
      <c r="K166" s="71" t="str">
        <f>VLOOKUP(E166,'HEAD OF THE FAMILY'!$B$6:$J1851,9,FALSE)</f>
        <v>BLK 49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60">
        <f t="shared" si="1"/>
        <v>162</v>
      </c>
      <c r="B167" s="62" t="s">
        <v>543</v>
      </c>
      <c r="C167" s="62" t="s">
        <v>544</v>
      </c>
      <c r="D167" s="62" t="s">
        <v>71</v>
      </c>
      <c r="E167" s="62" t="s">
        <v>545</v>
      </c>
      <c r="F167" s="60"/>
      <c r="G167" s="92"/>
      <c r="H167" s="60"/>
      <c r="I167" s="60"/>
      <c r="J167" s="60"/>
      <c r="K167" s="71" t="str">
        <f>VLOOKUP(E167,'HEAD OF THE FAMILY'!$B$6:$J1851,9,FALSE)</f>
        <v>BLK 49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60">
        <f t="shared" si="1"/>
        <v>163</v>
      </c>
      <c r="B168" s="62" t="s">
        <v>548</v>
      </c>
      <c r="C168" s="62" t="s">
        <v>549</v>
      </c>
      <c r="D168" s="105"/>
      <c r="E168" s="62" t="s">
        <v>550</v>
      </c>
      <c r="F168" s="60"/>
      <c r="G168" s="92"/>
      <c r="H168" s="60"/>
      <c r="I168" s="60"/>
      <c r="J168" s="60"/>
      <c r="K168" s="71" t="str">
        <f>VLOOKUP(E168,'HEAD OF THE FAMILY'!$B$6:$J1851,9,FALSE)</f>
        <v>BLK 49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60">
        <f t="shared" si="1"/>
        <v>164</v>
      </c>
      <c r="B169" s="62" t="s">
        <v>551</v>
      </c>
      <c r="C169" s="62" t="s">
        <v>552</v>
      </c>
      <c r="D169" s="62" t="s">
        <v>494</v>
      </c>
      <c r="E169" s="62" t="s">
        <v>554</v>
      </c>
      <c r="F169" s="60"/>
      <c r="G169" s="92"/>
      <c r="H169" s="60"/>
      <c r="I169" s="60"/>
      <c r="J169" s="60"/>
      <c r="K169" s="71" t="str">
        <f>VLOOKUP(E169,'HEAD OF THE FAMILY'!$B$6:$J1851,9,FALSE)</f>
        <v>BLK 49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60">
        <f t="shared" si="1"/>
        <v>165</v>
      </c>
      <c r="B170" s="62" t="s">
        <v>551</v>
      </c>
      <c r="C170" s="62" t="s">
        <v>555</v>
      </c>
      <c r="D170" s="62" t="s">
        <v>494</v>
      </c>
      <c r="E170" s="62" t="s">
        <v>554</v>
      </c>
      <c r="F170" s="60"/>
      <c r="G170" s="92"/>
      <c r="H170" s="60"/>
      <c r="I170" s="60"/>
      <c r="J170" s="60"/>
      <c r="K170" s="71" t="str">
        <f>VLOOKUP(E170,'HEAD OF THE FAMILY'!$B$6:$J1851,9,FALSE)</f>
        <v>BLK 49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60">
        <f t="shared" si="1"/>
        <v>166</v>
      </c>
      <c r="B171" s="62" t="s">
        <v>557</v>
      </c>
      <c r="C171" s="62" t="s">
        <v>558</v>
      </c>
      <c r="D171" s="105"/>
      <c r="E171" s="62" t="s">
        <v>559</v>
      </c>
      <c r="F171" s="60"/>
      <c r="G171" s="92"/>
      <c r="H171" s="60"/>
      <c r="I171" s="60"/>
      <c r="J171" s="60"/>
      <c r="K171" s="71" t="str">
        <f>VLOOKUP(E171,'HEAD OF THE FAMILY'!$B$6:$J1851,9,FALSE)</f>
        <v>BLK 49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60">
        <f t="shared" si="1"/>
        <v>167</v>
      </c>
      <c r="B172" s="62" t="s">
        <v>557</v>
      </c>
      <c r="C172" s="62" t="s">
        <v>560</v>
      </c>
      <c r="D172" s="105"/>
      <c r="E172" s="62" t="s">
        <v>559</v>
      </c>
      <c r="F172" s="60"/>
      <c r="G172" s="92"/>
      <c r="H172" s="60"/>
      <c r="I172" s="60"/>
      <c r="J172" s="60"/>
      <c r="K172" s="71" t="str">
        <f>VLOOKUP(E172,'HEAD OF THE FAMILY'!$B$6:$J1851,9,FALSE)</f>
        <v>BLK 49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60">
        <f t="shared" si="1"/>
        <v>168</v>
      </c>
      <c r="B173" s="62" t="s">
        <v>557</v>
      </c>
      <c r="C173" s="62" t="s">
        <v>563</v>
      </c>
      <c r="D173" s="105"/>
      <c r="E173" s="62" t="s">
        <v>559</v>
      </c>
      <c r="F173" s="60"/>
      <c r="G173" s="92"/>
      <c r="H173" s="60"/>
      <c r="I173" s="60"/>
      <c r="J173" s="60"/>
      <c r="K173" s="71" t="str">
        <f>VLOOKUP(E173,'HEAD OF THE FAMILY'!$B$6:$J1851,9,FALSE)</f>
        <v>BLK 49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60">
        <f t="shared" si="1"/>
        <v>169</v>
      </c>
      <c r="B174" s="62" t="s">
        <v>565</v>
      </c>
      <c r="C174" s="62" t="s">
        <v>566</v>
      </c>
      <c r="D174" s="105"/>
      <c r="E174" s="62" t="s">
        <v>567</v>
      </c>
      <c r="F174" s="60"/>
      <c r="G174" s="92"/>
      <c r="H174" s="60"/>
      <c r="I174" s="60"/>
      <c r="J174" s="60"/>
      <c r="K174" s="71" t="str">
        <f>VLOOKUP(E174,'HEAD OF THE FAMILY'!$B$6:$J1851,9,FALSE)</f>
        <v>BLK 49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60">
        <f t="shared" si="1"/>
        <v>170</v>
      </c>
      <c r="B175" s="62" t="s">
        <v>568</v>
      </c>
      <c r="C175" s="62" t="s">
        <v>569</v>
      </c>
      <c r="D175" s="105"/>
      <c r="E175" s="62" t="s">
        <v>567</v>
      </c>
      <c r="F175" s="60"/>
      <c r="G175" s="92"/>
      <c r="H175" s="60"/>
      <c r="I175" s="60"/>
      <c r="J175" s="60"/>
      <c r="K175" s="71" t="str">
        <f>VLOOKUP(E175,'HEAD OF THE FAMILY'!$B$6:$J1851,9,FALSE)</f>
        <v>BLK 49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60">
        <f t="shared" si="1"/>
        <v>171</v>
      </c>
      <c r="B176" s="62" t="s">
        <v>572</v>
      </c>
      <c r="C176" s="62" t="s">
        <v>573</v>
      </c>
      <c r="D176" s="105"/>
      <c r="E176" s="62" t="s">
        <v>567</v>
      </c>
      <c r="F176" s="60"/>
      <c r="G176" s="92"/>
      <c r="H176" s="60"/>
      <c r="I176" s="60"/>
      <c r="J176" s="60"/>
      <c r="K176" s="71" t="str">
        <f>VLOOKUP(E176,'HEAD OF THE FAMILY'!$B$6:$J1851,9,FALSE)</f>
        <v>BLK 49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60">
        <f t="shared" si="1"/>
        <v>172</v>
      </c>
      <c r="B177" s="62" t="s">
        <v>568</v>
      </c>
      <c r="C177" s="62" t="s">
        <v>575</v>
      </c>
      <c r="D177" s="105"/>
      <c r="E177" s="62" t="s">
        <v>567</v>
      </c>
      <c r="F177" s="60"/>
      <c r="G177" s="92"/>
      <c r="H177" s="60"/>
      <c r="I177" s="60"/>
      <c r="J177" s="60"/>
      <c r="K177" s="71" t="str">
        <f>VLOOKUP(E177,'HEAD OF THE FAMILY'!$B$6:$J1851,9,FALSE)</f>
        <v>BLK 49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60">
        <f t="shared" si="1"/>
        <v>173</v>
      </c>
      <c r="B178" s="62" t="s">
        <v>576</v>
      </c>
      <c r="C178" s="62" t="s">
        <v>577</v>
      </c>
      <c r="D178" s="105"/>
      <c r="E178" s="62" t="s">
        <v>578</v>
      </c>
      <c r="F178" s="60"/>
      <c r="G178" s="92"/>
      <c r="H178" s="60"/>
      <c r="I178" s="60"/>
      <c r="J178" s="60"/>
      <c r="K178" s="71" t="str">
        <f>VLOOKUP(E178,'HEAD OF THE FAMILY'!$B$6:$J1851,9,FALSE)</f>
        <v>BLK 49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60">
        <f t="shared" si="1"/>
        <v>174</v>
      </c>
      <c r="B179" s="62" t="s">
        <v>576</v>
      </c>
      <c r="C179" s="62" t="s">
        <v>582</v>
      </c>
      <c r="D179" s="105"/>
      <c r="E179" s="62" t="s">
        <v>578</v>
      </c>
      <c r="F179" s="60"/>
      <c r="G179" s="92"/>
      <c r="H179" s="60"/>
      <c r="I179" s="60"/>
      <c r="J179" s="60"/>
      <c r="K179" s="71" t="str">
        <f>VLOOKUP(E179,'HEAD OF THE FAMILY'!$B$6:$J1851,9,FALSE)</f>
        <v>BLK 49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60">
        <f t="shared" si="1"/>
        <v>175</v>
      </c>
      <c r="B180" s="62" t="s">
        <v>576</v>
      </c>
      <c r="C180" s="62" t="s">
        <v>584</v>
      </c>
      <c r="D180" s="105"/>
      <c r="E180" s="62" t="s">
        <v>578</v>
      </c>
      <c r="F180" s="60"/>
      <c r="G180" s="92"/>
      <c r="H180" s="60"/>
      <c r="I180" s="60"/>
      <c r="J180" s="60"/>
      <c r="K180" s="71" t="str">
        <f>VLOOKUP(E180,'HEAD OF THE FAMILY'!$B$6:$J1851,9,FALSE)</f>
        <v>BLK 49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60">
        <f t="shared" si="1"/>
        <v>176</v>
      </c>
      <c r="B181" s="62" t="s">
        <v>585</v>
      </c>
      <c r="C181" s="62" t="s">
        <v>586</v>
      </c>
      <c r="D181" s="105"/>
      <c r="E181" s="62" t="s">
        <v>588</v>
      </c>
      <c r="F181" s="60"/>
      <c r="G181" s="92"/>
      <c r="H181" s="60"/>
      <c r="I181" s="60"/>
      <c r="J181" s="60"/>
      <c r="K181" s="71" t="str">
        <f>VLOOKUP(E181,'HEAD OF THE FAMILY'!$B$6:$J1851,9,FALSE)</f>
        <v>BLK 49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60">
        <f t="shared" si="1"/>
        <v>177</v>
      </c>
      <c r="B182" s="62" t="s">
        <v>585</v>
      </c>
      <c r="C182" s="62" t="s">
        <v>589</v>
      </c>
      <c r="D182" s="105"/>
      <c r="E182" s="62" t="s">
        <v>588</v>
      </c>
      <c r="F182" s="60"/>
      <c r="G182" s="92"/>
      <c r="H182" s="60"/>
      <c r="I182" s="60"/>
      <c r="J182" s="60"/>
      <c r="K182" s="71" t="str">
        <f>VLOOKUP(E182,'HEAD OF THE FAMILY'!$B$6:$J1851,9,FALSE)</f>
        <v>BLK 49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60">
        <f t="shared" si="1"/>
        <v>178</v>
      </c>
      <c r="B183" s="62" t="s">
        <v>591</v>
      </c>
      <c r="C183" s="62" t="s">
        <v>592</v>
      </c>
      <c r="D183" s="105"/>
      <c r="E183" s="62" t="s">
        <v>594</v>
      </c>
      <c r="F183" s="60"/>
      <c r="G183" s="92"/>
      <c r="H183" s="60"/>
      <c r="I183" s="60"/>
      <c r="J183" s="60"/>
      <c r="K183" s="71" t="str">
        <f>VLOOKUP(E183,'HEAD OF THE FAMILY'!$B$6:$J1851,9,FALSE)</f>
        <v>BLK 49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60">
        <f t="shared" si="1"/>
        <v>179</v>
      </c>
      <c r="B184" s="62" t="s">
        <v>585</v>
      </c>
      <c r="C184" s="62" t="s">
        <v>596</v>
      </c>
      <c r="D184" s="105"/>
      <c r="E184" s="62" t="s">
        <v>594</v>
      </c>
      <c r="F184" s="60"/>
      <c r="G184" s="92"/>
      <c r="H184" s="60"/>
      <c r="I184" s="60"/>
      <c r="J184" s="60"/>
      <c r="K184" s="71" t="str">
        <f>VLOOKUP(E184,'HEAD OF THE FAMILY'!$B$6:$J1851,9,FALSE)</f>
        <v>BLK 49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60">
        <f t="shared" si="1"/>
        <v>180</v>
      </c>
      <c r="B185" s="62" t="s">
        <v>598</v>
      </c>
      <c r="C185" s="62" t="s">
        <v>599</v>
      </c>
      <c r="D185" s="105"/>
      <c r="E185" s="62" t="s">
        <v>594</v>
      </c>
      <c r="F185" s="60"/>
      <c r="G185" s="92"/>
      <c r="H185" s="60"/>
      <c r="I185" s="60"/>
      <c r="J185" s="60"/>
      <c r="K185" s="71" t="str">
        <f>VLOOKUP(E185,'HEAD OF THE FAMILY'!$B$6:$J1851,9,FALSE)</f>
        <v>BLK 49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60">
        <f t="shared" si="1"/>
        <v>181</v>
      </c>
      <c r="B186" s="62" t="s">
        <v>602</v>
      </c>
      <c r="C186" s="62" t="s">
        <v>603</v>
      </c>
      <c r="D186" s="105"/>
      <c r="E186" s="62" t="s">
        <v>485</v>
      </c>
      <c r="F186" s="60"/>
      <c r="G186" s="92"/>
      <c r="H186" s="60"/>
      <c r="I186" s="60"/>
      <c r="J186" s="60"/>
      <c r="K186" s="71" t="str">
        <f>VLOOKUP(E186,'HEAD OF THE FAMILY'!$B$6:$J1851,9,FALSE)</f>
        <v>BLK 49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60">
        <f t="shared" si="1"/>
        <v>182</v>
      </c>
      <c r="B187" s="62" t="s">
        <v>602</v>
      </c>
      <c r="C187" s="62" t="s">
        <v>604</v>
      </c>
      <c r="D187" s="105"/>
      <c r="E187" s="62" t="s">
        <v>485</v>
      </c>
      <c r="F187" s="60"/>
      <c r="G187" s="92"/>
      <c r="H187" s="60"/>
      <c r="I187" s="60"/>
      <c r="J187" s="60"/>
      <c r="K187" s="71" t="str">
        <f>VLOOKUP(E187,'HEAD OF THE FAMILY'!$B$6:$J1851,9,FALSE)</f>
        <v>BLK 49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60">
        <f t="shared" si="1"/>
        <v>183</v>
      </c>
      <c r="B188" s="62" t="s">
        <v>602</v>
      </c>
      <c r="C188" s="62" t="s">
        <v>606</v>
      </c>
      <c r="D188" s="105"/>
      <c r="E188" s="62" t="s">
        <v>485</v>
      </c>
      <c r="F188" s="60"/>
      <c r="G188" s="92"/>
      <c r="H188" s="60"/>
      <c r="I188" s="60"/>
      <c r="J188" s="60"/>
      <c r="K188" s="71" t="str">
        <f>VLOOKUP(E188,'HEAD OF THE FAMILY'!$B$6:$J1851,9,FALSE)</f>
        <v>BLK 49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60">
        <f t="shared" si="1"/>
        <v>184</v>
      </c>
      <c r="B189" s="62" t="s">
        <v>609</v>
      </c>
      <c r="C189" s="62" t="s">
        <v>610</v>
      </c>
      <c r="D189" s="105"/>
      <c r="E189" s="62" t="s">
        <v>611</v>
      </c>
      <c r="F189" s="60"/>
      <c r="G189" s="92"/>
      <c r="H189" s="60"/>
      <c r="I189" s="60"/>
      <c r="J189" s="60"/>
      <c r="K189" s="71" t="str">
        <f>VLOOKUP(E189,'HEAD OF THE FAMILY'!$B$6:$J1851,9,FALSE)</f>
        <v>#N/A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60">
        <f t="shared" si="1"/>
        <v>185</v>
      </c>
      <c r="B190" s="62" t="s">
        <v>612</v>
      </c>
      <c r="C190" s="62" t="s">
        <v>613</v>
      </c>
      <c r="D190" s="62" t="s">
        <v>128</v>
      </c>
      <c r="E190" s="62" t="s">
        <v>614</v>
      </c>
      <c r="F190" s="60"/>
      <c r="G190" s="92"/>
      <c r="H190" s="60"/>
      <c r="I190" s="60"/>
      <c r="J190" s="60"/>
      <c r="K190" s="71" t="str">
        <f>VLOOKUP(E190,'HEAD OF THE FAMILY'!$B$6:$J1851,9,FALSE)</f>
        <v>BLK 49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60">
        <f t="shared" si="1"/>
        <v>186</v>
      </c>
      <c r="B191" s="62" t="s">
        <v>612</v>
      </c>
      <c r="C191" s="62" t="s">
        <v>617</v>
      </c>
      <c r="D191" s="62" t="s">
        <v>128</v>
      </c>
      <c r="E191" s="62" t="s">
        <v>614</v>
      </c>
      <c r="F191" s="60"/>
      <c r="G191" s="92"/>
      <c r="H191" s="60"/>
      <c r="I191" s="60"/>
      <c r="J191" s="60"/>
      <c r="K191" s="71" t="str">
        <f>VLOOKUP(E191,'HEAD OF THE FAMILY'!$B$6:$J1851,9,FALSE)</f>
        <v>BLK 49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60">
        <f t="shared" si="1"/>
        <v>187</v>
      </c>
      <c r="B192" s="62" t="s">
        <v>612</v>
      </c>
      <c r="C192" s="62" t="s">
        <v>620</v>
      </c>
      <c r="D192" s="62" t="s">
        <v>128</v>
      </c>
      <c r="E192" s="62" t="s">
        <v>614</v>
      </c>
      <c r="F192" s="60"/>
      <c r="G192" s="92"/>
      <c r="H192" s="60"/>
      <c r="I192" s="60"/>
      <c r="J192" s="60"/>
      <c r="K192" s="71" t="str">
        <f>VLOOKUP(E192,'HEAD OF THE FAMILY'!$B$6:$J1851,9,FALSE)</f>
        <v>BLK 49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60">
        <f t="shared" si="1"/>
        <v>188</v>
      </c>
      <c r="B193" s="62" t="s">
        <v>622</v>
      </c>
      <c r="C193" s="62" t="s">
        <v>623</v>
      </c>
      <c r="D193" s="105"/>
      <c r="E193" s="62" t="s">
        <v>171</v>
      </c>
      <c r="F193" s="60"/>
      <c r="G193" s="92"/>
      <c r="H193" s="60"/>
      <c r="I193" s="60"/>
      <c r="J193" s="60"/>
      <c r="K193" s="71" t="str">
        <f>VLOOKUP(E193,'HEAD OF THE FAMILY'!$B$6:$J1851,9,FALSE)</f>
        <v>BLK 49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60">
        <f t="shared" si="1"/>
        <v>189</v>
      </c>
      <c r="B194" s="62" t="s">
        <v>622</v>
      </c>
      <c r="C194" s="62" t="s">
        <v>625</v>
      </c>
      <c r="D194" s="105"/>
      <c r="E194" s="62" t="s">
        <v>171</v>
      </c>
      <c r="F194" s="60"/>
      <c r="G194" s="92"/>
      <c r="H194" s="60"/>
      <c r="I194" s="60"/>
      <c r="J194" s="60"/>
      <c r="K194" s="71" t="str">
        <f>VLOOKUP(E194,'HEAD OF THE FAMILY'!$B$6:$J1851,9,FALSE)</f>
        <v>BLK 49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60">
        <f t="shared" si="1"/>
        <v>190</v>
      </c>
      <c r="B195" s="62" t="s">
        <v>622</v>
      </c>
      <c r="C195" s="62" t="s">
        <v>627</v>
      </c>
      <c r="D195" s="105"/>
      <c r="E195" s="62" t="s">
        <v>171</v>
      </c>
      <c r="F195" s="60"/>
      <c r="G195" s="92"/>
      <c r="H195" s="60"/>
      <c r="I195" s="60"/>
      <c r="J195" s="60"/>
      <c r="K195" s="71" t="str">
        <f>VLOOKUP(E195,'HEAD OF THE FAMILY'!$B$6:$J1851,9,FALSE)</f>
        <v>BLK 49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60">
        <f t="shared" si="1"/>
        <v>191</v>
      </c>
      <c r="B196" s="62" t="s">
        <v>629</v>
      </c>
      <c r="C196" s="62" t="s">
        <v>630</v>
      </c>
      <c r="D196" s="105"/>
      <c r="E196" s="62" t="s">
        <v>631</v>
      </c>
      <c r="F196" s="60"/>
      <c r="G196" s="92"/>
      <c r="H196" s="60"/>
      <c r="I196" s="60"/>
      <c r="J196" s="60"/>
      <c r="K196" s="71" t="str">
        <f>VLOOKUP(E196,'HEAD OF THE FAMILY'!$B$6:$J1851,9,FALSE)</f>
        <v>BLK 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60">
        <f t="shared" si="1"/>
        <v>192</v>
      </c>
      <c r="B197" s="62" t="s">
        <v>629</v>
      </c>
      <c r="C197" s="62" t="s">
        <v>632</v>
      </c>
      <c r="D197" s="105"/>
      <c r="E197" s="62" t="s">
        <v>631</v>
      </c>
      <c r="F197" s="60"/>
      <c r="G197" s="92"/>
      <c r="H197" s="60"/>
      <c r="I197" s="60"/>
      <c r="J197" s="60"/>
      <c r="K197" s="71" t="str">
        <f>VLOOKUP(E197,'HEAD OF THE FAMILY'!$B$6:$J1851,9,FALSE)</f>
        <v>BLK 49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60">
        <f t="shared" si="1"/>
        <v>193</v>
      </c>
      <c r="B198" s="62" t="s">
        <v>635</v>
      </c>
      <c r="C198" s="62" t="s">
        <v>636</v>
      </c>
      <c r="D198" s="105"/>
      <c r="E198" s="62" t="s">
        <v>637</v>
      </c>
      <c r="F198" s="60"/>
      <c r="G198" s="92"/>
      <c r="H198" s="60"/>
      <c r="I198" s="60"/>
      <c r="J198" s="60"/>
      <c r="K198" s="71" t="str">
        <f>VLOOKUP(E198,'HEAD OF THE FAMILY'!$B$6:$J1851,9,FALSE)</f>
        <v>BLK 49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60">
        <f t="shared" si="1"/>
        <v>194</v>
      </c>
      <c r="B199" s="62" t="s">
        <v>635</v>
      </c>
      <c r="C199" s="62" t="s">
        <v>639</v>
      </c>
      <c r="D199" s="105"/>
      <c r="E199" s="62" t="s">
        <v>637</v>
      </c>
      <c r="F199" s="60"/>
      <c r="G199" s="92"/>
      <c r="H199" s="60"/>
      <c r="I199" s="60"/>
      <c r="J199" s="60"/>
      <c r="K199" s="71" t="str">
        <f>VLOOKUP(E199,'HEAD OF THE FAMILY'!$B$6:$J1851,9,FALSE)</f>
        <v>BLK 49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60">
        <f t="shared" si="1"/>
        <v>195</v>
      </c>
      <c r="B200" s="62" t="s">
        <v>622</v>
      </c>
      <c r="C200" s="62" t="s">
        <v>640</v>
      </c>
      <c r="D200" s="105"/>
      <c r="E200" s="62" t="s">
        <v>641</v>
      </c>
      <c r="F200" s="60"/>
      <c r="G200" s="92"/>
      <c r="H200" s="60"/>
      <c r="I200" s="60"/>
      <c r="J200" s="60"/>
      <c r="K200" s="71" t="str">
        <f>VLOOKUP(E200,'HEAD OF THE FAMILY'!$B$6:$J1851,9,FALSE)</f>
        <v>BLK 49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60">
        <f t="shared" si="1"/>
        <v>196</v>
      </c>
      <c r="B201" s="62" t="s">
        <v>622</v>
      </c>
      <c r="C201" s="62" t="s">
        <v>643</v>
      </c>
      <c r="D201" s="105"/>
      <c r="E201" s="62" t="s">
        <v>641</v>
      </c>
      <c r="F201" s="60"/>
      <c r="G201" s="92"/>
      <c r="H201" s="60"/>
      <c r="I201" s="60"/>
      <c r="J201" s="60"/>
      <c r="K201" s="71" t="str">
        <f>VLOOKUP(E201,'HEAD OF THE FAMILY'!$B$6:$J1851,9,FALSE)</f>
        <v>BLK 49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60">
        <f t="shared" si="1"/>
        <v>197</v>
      </c>
      <c r="B202" s="62" t="s">
        <v>622</v>
      </c>
      <c r="C202" s="62" t="s">
        <v>645</v>
      </c>
      <c r="D202" s="105"/>
      <c r="E202" s="62" t="s">
        <v>641</v>
      </c>
      <c r="F202" s="60"/>
      <c r="G202" s="92"/>
      <c r="H202" s="60"/>
      <c r="I202" s="60"/>
      <c r="J202" s="60"/>
      <c r="K202" s="71" t="str">
        <f>VLOOKUP(E202,'HEAD OF THE FAMILY'!$B$6:$J1851,9,FALSE)</f>
        <v>BLK 49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60">
        <f t="shared" si="1"/>
        <v>198</v>
      </c>
      <c r="B203" s="62" t="s">
        <v>647</v>
      </c>
      <c r="C203" s="62" t="s">
        <v>648</v>
      </c>
      <c r="D203" s="105"/>
      <c r="E203" s="62" t="s">
        <v>649</v>
      </c>
      <c r="F203" s="60"/>
      <c r="G203" s="92"/>
      <c r="H203" s="60"/>
      <c r="I203" s="60"/>
      <c r="J203" s="60"/>
      <c r="K203" s="71" t="str">
        <f>VLOOKUP(E203,'HEAD OF THE FAMILY'!$B$6:$J1851,9,FALSE)</f>
        <v>BLK 49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60">
        <f t="shared" si="1"/>
        <v>199</v>
      </c>
      <c r="B204" s="62" t="s">
        <v>652</v>
      </c>
      <c r="C204" s="62" t="s">
        <v>653</v>
      </c>
      <c r="D204" s="62" t="s">
        <v>494</v>
      </c>
      <c r="E204" s="62" t="s">
        <v>654</v>
      </c>
      <c r="F204" s="60"/>
      <c r="G204" s="92"/>
      <c r="H204" s="60"/>
      <c r="I204" s="60"/>
      <c r="J204" s="60"/>
      <c r="K204" s="71" t="str">
        <f>VLOOKUP(E204,'HEAD OF THE FAMILY'!$B$6:$J1851,9,FALSE)</f>
        <v>BLK 49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60">
        <f t="shared" si="1"/>
        <v>200</v>
      </c>
      <c r="B205" s="62" t="s">
        <v>513</v>
      </c>
      <c r="C205" s="62" t="s">
        <v>656</v>
      </c>
      <c r="D205" s="62" t="s">
        <v>657</v>
      </c>
      <c r="E205" s="62" t="s">
        <v>658</v>
      </c>
      <c r="F205" s="60"/>
      <c r="G205" s="92"/>
      <c r="H205" s="60"/>
      <c r="I205" s="60"/>
      <c r="J205" s="60"/>
      <c r="K205" s="71" t="str">
        <f>VLOOKUP(E205,'HEAD OF THE FAMILY'!$B$6:$J1851,9,FALSE)</f>
        <v>BLK 49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60">
        <f t="shared" si="1"/>
        <v>201</v>
      </c>
      <c r="B206" s="62" t="s">
        <v>513</v>
      </c>
      <c r="C206" s="62" t="s">
        <v>660</v>
      </c>
      <c r="D206" s="62" t="s">
        <v>657</v>
      </c>
      <c r="E206" s="62" t="s">
        <v>658</v>
      </c>
      <c r="F206" s="60"/>
      <c r="G206" s="92"/>
      <c r="H206" s="60"/>
      <c r="I206" s="60"/>
      <c r="J206" s="60"/>
      <c r="K206" s="71" t="str">
        <f>VLOOKUP(E206,'HEAD OF THE FAMILY'!$B$6:$J1851,9,FALSE)</f>
        <v>BLK 49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60">
        <f t="shared" si="1"/>
        <v>202</v>
      </c>
      <c r="B207" s="62" t="s">
        <v>513</v>
      </c>
      <c r="C207" s="62" t="s">
        <v>662</v>
      </c>
      <c r="D207" s="62" t="s">
        <v>657</v>
      </c>
      <c r="E207" s="62" t="s">
        <v>658</v>
      </c>
      <c r="F207" s="60"/>
      <c r="G207" s="92"/>
      <c r="H207" s="60"/>
      <c r="I207" s="60"/>
      <c r="J207" s="60"/>
      <c r="K207" s="71" t="str">
        <f>VLOOKUP(E207,'HEAD OF THE FAMILY'!$B$6:$J1851,9,FALSE)</f>
        <v>BLK 49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60">
        <f t="shared" si="1"/>
        <v>203</v>
      </c>
      <c r="B208" s="62" t="s">
        <v>513</v>
      </c>
      <c r="C208" s="62" t="s">
        <v>663</v>
      </c>
      <c r="D208" s="62" t="s">
        <v>657</v>
      </c>
      <c r="E208" s="62" t="s">
        <v>658</v>
      </c>
      <c r="F208" s="60"/>
      <c r="G208" s="92"/>
      <c r="H208" s="60"/>
      <c r="I208" s="60"/>
      <c r="J208" s="60"/>
      <c r="K208" s="71" t="str">
        <f>VLOOKUP(E208,'HEAD OF THE FAMILY'!$B$6:$J1851,9,FALSE)</f>
        <v>BLK 49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60">
        <f t="shared" si="1"/>
        <v>204</v>
      </c>
      <c r="B209" s="62" t="s">
        <v>408</v>
      </c>
      <c r="C209" s="62" t="s">
        <v>666</v>
      </c>
      <c r="D209" s="62" t="s">
        <v>494</v>
      </c>
      <c r="E209" s="62" t="s">
        <v>667</v>
      </c>
      <c r="F209" s="60"/>
      <c r="G209" s="92"/>
      <c r="H209" s="60"/>
      <c r="I209" s="60"/>
      <c r="J209" s="60"/>
      <c r="K209" s="71" t="str">
        <f>VLOOKUP(E209,'HEAD OF THE FAMILY'!$B$6:$J1851,9,FALSE)</f>
        <v>BLK 49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60">
        <f t="shared" si="1"/>
        <v>205</v>
      </c>
      <c r="B210" s="62" t="s">
        <v>513</v>
      </c>
      <c r="C210" s="62" t="s">
        <v>669</v>
      </c>
      <c r="D210" s="62" t="s">
        <v>657</v>
      </c>
      <c r="E210" s="62" t="s">
        <v>390</v>
      </c>
      <c r="F210" s="60"/>
      <c r="G210" s="92"/>
      <c r="H210" s="60"/>
      <c r="I210" s="60"/>
      <c r="J210" s="60"/>
      <c r="K210" s="71" t="str">
        <f>VLOOKUP(E210,'HEAD OF THE FAMILY'!$B$6:$J1851,9,FALSE)</f>
        <v>BLK 49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60">
        <f t="shared" si="1"/>
        <v>206</v>
      </c>
      <c r="B211" s="62" t="s">
        <v>670</v>
      </c>
      <c r="C211" s="62" t="s">
        <v>428</v>
      </c>
      <c r="D211" s="105"/>
      <c r="E211" s="62" t="s">
        <v>255</v>
      </c>
      <c r="F211" s="60"/>
      <c r="G211" s="92"/>
      <c r="H211" s="60"/>
      <c r="I211" s="60"/>
      <c r="J211" s="60"/>
      <c r="K211" s="71" t="str">
        <f>VLOOKUP(E211,'HEAD OF THE FAMILY'!$B$6:$J1851,9,FALSE)</f>
        <v>BLK 49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60">
        <f t="shared" si="1"/>
        <v>207</v>
      </c>
      <c r="B212" s="62" t="s">
        <v>670</v>
      </c>
      <c r="C212" s="62" t="s">
        <v>672</v>
      </c>
      <c r="D212" s="105"/>
      <c r="E212" s="62" t="s">
        <v>255</v>
      </c>
      <c r="F212" s="60"/>
      <c r="G212" s="92"/>
      <c r="H212" s="60"/>
      <c r="I212" s="60"/>
      <c r="J212" s="60"/>
      <c r="K212" s="71" t="str">
        <f>VLOOKUP(E212,'HEAD OF THE FAMILY'!$B$6:$J1851,9,FALSE)</f>
        <v>BLK 49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60">
        <f t="shared" si="1"/>
        <v>208</v>
      </c>
      <c r="B213" s="62" t="s">
        <v>674</v>
      </c>
      <c r="C213" s="62" t="s">
        <v>675</v>
      </c>
      <c r="D213" s="105"/>
      <c r="E213" s="62" t="s">
        <v>676</v>
      </c>
      <c r="F213" s="60"/>
      <c r="G213" s="92"/>
      <c r="H213" s="60"/>
      <c r="I213" s="60"/>
      <c r="J213" s="60"/>
      <c r="K213" s="71" t="str">
        <f>VLOOKUP(E213,'HEAD OF THE FAMILY'!$B$6:$J1851,9,FALSE)</f>
        <v>BLK 49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60">
        <f t="shared" si="1"/>
        <v>209</v>
      </c>
      <c r="B214" s="62" t="s">
        <v>674</v>
      </c>
      <c r="C214" s="62" t="s">
        <v>678</v>
      </c>
      <c r="D214" s="105"/>
      <c r="E214" s="62" t="s">
        <v>676</v>
      </c>
      <c r="F214" s="60"/>
      <c r="G214" s="92"/>
      <c r="H214" s="60"/>
      <c r="I214" s="60"/>
      <c r="J214" s="60"/>
      <c r="K214" s="71" t="str">
        <f>VLOOKUP(E214,'HEAD OF THE FAMILY'!$B$6:$J1851,9,FALSE)</f>
        <v>BLK 49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60">
        <f t="shared" si="1"/>
        <v>210</v>
      </c>
      <c r="B215" s="62" t="s">
        <v>679</v>
      </c>
      <c r="C215" s="62" t="s">
        <v>680</v>
      </c>
      <c r="D215" s="62" t="s">
        <v>681</v>
      </c>
      <c r="E215" s="62" t="s">
        <v>682</v>
      </c>
      <c r="F215" s="60"/>
      <c r="G215" s="92"/>
      <c r="H215" s="60"/>
      <c r="I215" s="60"/>
      <c r="J215" s="60"/>
      <c r="K215" s="71" t="str">
        <f>VLOOKUP(E215,'HEAD OF THE FAMILY'!$B$6:$J1851,9,FALSE)</f>
        <v>BLK 49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60">
        <f t="shared" si="1"/>
        <v>211</v>
      </c>
      <c r="B216" s="62" t="s">
        <v>684</v>
      </c>
      <c r="C216" s="62" t="s">
        <v>685</v>
      </c>
      <c r="D216" s="105"/>
      <c r="E216" s="62" t="s">
        <v>687</v>
      </c>
      <c r="F216" s="60"/>
      <c r="G216" s="92"/>
      <c r="H216" s="60"/>
      <c r="I216" s="60"/>
      <c r="J216" s="60"/>
      <c r="K216" s="71" t="str">
        <f>VLOOKUP(E216,'HEAD OF THE FAMILY'!$B$6:$J1851,9,FALSE)</f>
        <v>BLK 49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60">
        <f t="shared" si="1"/>
        <v>212</v>
      </c>
      <c r="B217" s="62" t="s">
        <v>684</v>
      </c>
      <c r="C217" s="62" t="s">
        <v>688</v>
      </c>
      <c r="D217" s="105"/>
      <c r="E217" s="62" t="s">
        <v>687</v>
      </c>
      <c r="F217" s="60"/>
      <c r="G217" s="92"/>
      <c r="H217" s="60"/>
      <c r="I217" s="60"/>
      <c r="J217" s="60"/>
      <c r="K217" s="71" t="str">
        <f>VLOOKUP(E217,'HEAD OF THE FAMILY'!$B$6:$J1851,9,FALSE)</f>
        <v>BLK 49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60">
        <f t="shared" si="1"/>
        <v>213</v>
      </c>
      <c r="B218" s="62" t="s">
        <v>690</v>
      </c>
      <c r="C218" s="62" t="s">
        <v>511</v>
      </c>
      <c r="D218" s="62" t="s">
        <v>494</v>
      </c>
      <c r="E218" s="62" t="s">
        <v>691</v>
      </c>
      <c r="F218" s="60"/>
      <c r="G218" s="92"/>
      <c r="H218" s="60"/>
      <c r="I218" s="60"/>
      <c r="J218" s="60"/>
      <c r="K218" s="71" t="str">
        <f>VLOOKUP(E218,'HEAD OF THE FAMILY'!$B$6:$J1851,9,FALSE)</f>
        <v>BLK 49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60">
        <f t="shared" si="1"/>
        <v>214</v>
      </c>
      <c r="B219" s="62" t="s">
        <v>622</v>
      </c>
      <c r="C219" s="62" t="s">
        <v>692</v>
      </c>
      <c r="D219" s="105"/>
      <c r="E219" s="62" t="s">
        <v>693</v>
      </c>
      <c r="F219" s="60"/>
      <c r="G219" s="92"/>
      <c r="H219" s="60"/>
      <c r="I219" s="60"/>
      <c r="J219" s="60"/>
      <c r="K219" s="71" t="str">
        <f>VLOOKUP(E219,'HEAD OF THE FAMILY'!$B$6:$J1851,9,FALSE)</f>
        <v>BLK 49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60">
        <f t="shared" si="1"/>
        <v>215</v>
      </c>
      <c r="B220" s="62" t="s">
        <v>622</v>
      </c>
      <c r="C220" s="62" t="s">
        <v>695</v>
      </c>
      <c r="D220" s="105"/>
      <c r="E220" s="62" t="s">
        <v>693</v>
      </c>
      <c r="F220" s="60"/>
      <c r="G220" s="92"/>
      <c r="H220" s="60"/>
      <c r="I220" s="60"/>
      <c r="J220" s="60"/>
      <c r="K220" s="71" t="str">
        <f>VLOOKUP(E220,'HEAD OF THE FAMILY'!$B$6:$J1851,9,FALSE)</f>
        <v>BLK 49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60">
        <f t="shared" si="1"/>
        <v>216</v>
      </c>
      <c r="B221" s="62" t="s">
        <v>622</v>
      </c>
      <c r="C221" s="62" t="s">
        <v>698</v>
      </c>
      <c r="D221" s="105"/>
      <c r="E221" s="62" t="s">
        <v>693</v>
      </c>
      <c r="F221" s="60"/>
      <c r="G221" s="92"/>
      <c r="H221" s="60"/>
      <c r="I221" s="60"/>
      <c r="J221" s="60"/>
      <c r="K221" s="71" t="str">
        <f>VLOOKUP(E221,'HEAD OF THE FAMILY'!$B$6:$J1851,9,FALSE)</f>
        <v>BLK 49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60">
        <f t="shared" si="1"/>
        <v>217</v>
      </c>
      <c r="B222" s="62" t="s">
        <v>622</v>
      </c>
      <c r="C222" s="62" t="s">
        <v>700</v>
      </c>
      <c r="D222" s="105"/>
      <c r="E222" s="62" t="s">
        <v>693</v>
      </c>
      <c r="F222" s="60"/>
      <c r="G222" s="92"/>
      <c r="H222" s="60"/>
      <c r="I222" s="60"/>
      <c r="J222" s="60"/>
      <c r="K222" s="71" t="str">
        <f>VLOOKUP(E222,'HEAD OF THE FAMILY'!$B$6:$J1851,9,FALSE)</f>
        <v>BLK 49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60">
        <f t="shared" si="1"/>
        <v>218</v>
      </c>
      <c r="B223" s="62" t="s">
        <v>622</v>
      </c>
      <c r="C223" s="62" t="s">
        <v>702</v>
      </c>
      <c r="D223" s="105"/>
      <c r="E223" s="62" t="s">
        <v>693</v>
      </c>
      <c r="F223" s="60"/>
      <c r="G223" s="92"/>
      <c r="H223" s="60"/>
      <c r="I223" s="60"/>
      <c r="J223" s="60"/>
      <c r="K223" s="71" t="str">
        <f>VLOOKUP(E223,'HEAD OF THE FAMILY'!$B$6:$J1851,9,FALSE)</f>
        <v>BLK 49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60">
        <f t="shared" si="1"/>
        <v>219</v>
      </c>
      <c r="B224" s="62" t="s">
        <v>704</v>
      </c>
      <c r="C224" s="62" t="s">
        <v>705</v>
      </c>
      <c r="D224" s="105"/>
      <c r="E224" s="62" t="s">
        <v>706</v>
      </c>
      <c r="F224" s="60"/>
      <c r="G224" s="92"/>
      <c r="H224" s="60"/>
      <c r="I224" s="60"/>
      <c r="J224" s="60"/>
      <c r="K224" s="71" t="str">
        <f>VLOOKUP(E224,'HEAD OF THE FAMILY'!$B$6:$J1851,9,FALSE)</f>
        <v>BLK 49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60">
        <f t="shared" si="1"/>
        <v>220</v>
      </c>
      <c r="B225" s="62" t="s">
        <v>708</v>
      </c>
      <c r="C225" s="62" t="s">
        <v>709</v>
      </c>
      <c r="D225" s="105"/>
      <c r="E225" s="62" t="s">
        <v>711</v>
      </c>
      <c r="F225" s="60"/>
      <c r="G225" s="92"/>
      <c r="H225" s="60"/>
      <c r="I225" s="60"/>
      <c r="J225" s="60"/>
      <c r="K225" s="71" t="str">
        <f>VLOOKUP(E225,'HEAD OF THE FAMILY'!$B$6:$J1851,9,FALSE)</f>
        <v>#N/A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60">
        <f t="shared" si="1"/>
        <v>221</v>
      </c>
      <c r="B226" s="62" t="s">
        <v>712</v>
      </c>
      <c r="C226" s="62" t="s">
        <v>713</v>
      </c>
      <c r="D226" s="105"/>
      <c r="E226" s="62" t="s">
        <v>715</v>
      </c>
      <c r="F226" s="60"/>
      <c r="G226" s="92"/>
      <c r="H226" s="60"/>
      <c r="I226" s="60"/>
      <c r="J226" s="60"/>
      <c r="K226" s="71" t="str">
        <f>VLOOKUP(E226,'HEAD OF THE FAMILY'!$B$6:$J1851,9,FALSE)</f>
        <v>BLK 49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60">
        <f t="shared" si="1"/>
        <v>222</v>
      </c>
      <c r="B227" s="62" t="s">
        <v>712</v>
      </c>
      <c r="C227" s="62" t="s">
        <v>717</v>
      </c>
      <c r="D227" s="105"/>
      <c r="E227" s="62" t="s">
        <v>715</v>
      </c>
      <c r="F227" s="60"/>
      <c r="G227" s="92"/>
      <c r="H227" s="60"/>
      <c r="I227" s="60"/>
      <c r="J227" s="60"/>
      <c r="K227" s="71" t="str">
        <f>VLOOKUP(E227,'HEAD OF THE FAMILY'!$B$6:$J1851,9,FALSE)</f>
        <v>BLK 49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60">
        <f t="shared" si="1"/>
        <v>223</v>
      </c>
      <c r="B228" s="62" t="s">
        <v>718</v>
      </c>
      <c r="C228" s="62" t="s">
        <v>720</v>
      </c>
      <c r="D228" s="105"/>
      <c r="E228" s="62" t="s">
        <v>715</v>
      </c>
      <c r="F228" s="60"/>
      <c r="G228" s="92"/>
      <c r="H228" s="60"/>
      <c r="I228" s="60"/>
      <c r="J228" s="60"/>
      <c r="K228" s="71" t="str">
        <f>VLOOKUP(E228,'HEAD OF THE FAMILY'!$B$6:$J1851,9,FALSE)</f>
        <v>BLK 49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60">
        <f t="shared" si="1"/>
        <v>224</v>
      </c>
      <c r="B229" s="62" t="s">
        <v>712</v>
      </c>
      <c r="C229" s="62" t="s">
        <v>722</v>
      </c>
      <c r="D229" s="105"/>
      <c r="E229" s="62" t="s">
        <v>715</v>
      </c>
      <c r="F229" s="60"/>
      <c r="G229" s="92"/>
      <c r="H229" s="60"/>
      <c r="I229" s="60"/>
      <c r="J229" s="60"/>
      <c r="K229" s="71" t="str">
        <f>VLOOKUP(E229,'HEAD OF THE FAMILY'!$B$6:$J1851,9,FALSE)</f>
        <v>BLK 49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60">
        <f t="shared" si="1"/>
        <v>225</v>
      </c>
      <c r="B230" s="62" t="s">
        <v>712</v>
      </c>
      <c r="C230" s="62" t="s">
        <v>724</v>
      </c>
      <c r="D230" s="105"/>
      <c r="E230" s="62" t="s">
        <v>715</v>
      </c>
      <c r="F230" s="60"/>
      <c r="G230" s="92"/>
      <c r="H230" s="60"/>
      <c r="I230" s="60"/>
      <c r="J230" s="60"/>
      <c r="K230" s="71" t="str">
        <f>VLOOKUP(E230,'HEAD OF THE FAMILY'!$B$6:$J1851,9,FALSE)</f>
        <v>BLK 49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60">
        <f t="shared" si="1"/>
        <v>226</v>
      </c>
      <c r="B231" s="62" t="s">
        <v>725</v>
      </c>
      <c r="C231" s="62" t="s">
        <v>726</v>
      </c>
      <c r="D231" s="105"/>
      <c r="E231" s="62" t="s">
        <v>727</v>
      </c>
      <c r="F231" s="60"/>
      <c r="G231" s="92"/>
      <c r="H231" s="60"/>
      <c r="I231" s="60"/>
      <c r="J231" s="75"/>
      <c r="K231" s="71" t="str">
        <f>VLOOKUP(E231,'HEAD OF THE FAMILY'!$B$6:$J1851,9,FALSE)</f>
        <v>BLK 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60">
        <f t="shared" si="1"/>
        <v>227</v>
      </c>
      <c r="B232" s="62" t="s">
        <v>729</v>
      </c>
      <c r="C232" s="62" t="s">
        <v>730</v>
      </c>
      <c r="D232" s="62" t="s">
        <v>374</v>
      </c>
      <c r="E232" s="62" t="s">
        <v>731</v>
      </c>
      <c r="F232" s="60"/>
      <c r="G232" s="92"/>
      <c r="H232" s="60"/>
      <c r="I232" s="60"/>
      <c r="J232" s="60"/>
      <c r="K232" s="71" t="str">
        <f>VLOOKUP(E232,'HEAD OF THE FAMILY'!$B$6:$J1851,9,FALSE)</f>
        <v>BLK 5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60">
        <f t="shared" si="1"/>
        <v>228</v>
      </c>
      <c r="B233" s="62" t="s">
        <v>733</v>
      </c>
      <c r="C233" s="62" t="s">
        <v>734</v>
      </c>
      <c r="D233" s="105"/>
      <c r="E233" s="62" t="s">
        <v>735</v>
      </c>
      <c r="F233" s="60"/>
      <c r="G233" s="92"/>
      <c r="H233" s="60"/>
      <c r="I233" s="60"/>
      <c r="J233" s="60"/>
      <c r="K233" s="71" t="str">
        <f>VLOOKUP(E233,'HEAD OF THE FAMILY'!$B$6:$J1851,9,FALSE)</f>
        <v>BLK 5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60">
        <f t="shared" si="1"/>
        <v>229</v>
      </c>
      <c r="B234" s="62" t="s">
        <v>736</v>
      </c>
      <c r="C234" s="62" t="s">
        <v>737</v>
      </c>
      <c r="D234" s="105"/>
      <c r="E234" s="62" t="s">
        <v>735</v>
      </c>
      <c r="F234" s="60"/>
      <c r="G234" s="92"/>
      <c r="H234" s="60"/>
      <c r="I234" s="60"/>
      <c r="J234" s="60"/>
      <c r="K234" s="71" t="str">
        <f>VLOOKUP(E234,'HEAD OF THE FAMILY'!$B$6:$J1851,9,FALSE)</f>
        <v>BLK 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60">
        <f t="shared" si="1"/>
        <v>230</v>
      </c>
      <c r="B235" s="62" t="s">
        <v>739</v>
      </c>
      <c r="C235" s="62" t="s">
        <v>740</v>
      </c>
      <c r="D235" s="105"/>
      <c r="E235" s="62" t="s">
        <v>735</v>
      </c>
      <c r="F235" s="60"/>
      <c r="G235" s="92"/>
      <c r="H235" s="60"/>
      <c r="I235" s="60"/>
      <c r="J235" s="60"/>
      <c r="K235" s="71" t="str">
        <f>VLOOKUP(E235,'HEAD OF THE FAMILY'!$B$6:$J1851,9,FALSE)</f>
        <v>BLK 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60">
        <f t="shared" si="1"/>
        <v>231</v>
      </c>
      <c r="B236" s="62" t="s">
        <v>741</v>
      </c>
      <c r="C236" s="62" t="s">
        <v>742</v>
      </c>
      <c r="D236" s="105"/>
      <c r="E236" s="62" t="s">
        <v>744</v>
      </c>
      <c r="F236" s="60"/>
      <c r="G236" s="92"/>
      <c r="H236" s="60"/>
      <c r="I236" s="60"/>
      <c r="J236" s="60"/>
      <c r="K236" s="71" t="str">
        <f>VLOOKUP(E236,'HEAD OF THE FAMILY'!$B$6:$J1851,9,FALSE)</f>
        <v>BLK 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60">
        <f t="shared" si="1"/>
        <v>232</v>
      </c>
      <c r="B237" s="62" t="s">
        <v>741</v>
      </c>
      <c r="C237" s="62" t="s">
        <v>745</v>
      </c>
      <c r="D237" s="105"/>
      <c r="E237" s="62" t="s">
        <v>744</v>
      </c>
      <c r="F237" s="60"/>
      <c r="G237" s="92"/>
      <c r="H237" s="60"/>
      <c r="I237" s="60"/>
      <c r="J237" s="60"/>
      <c r="K237" s="71" t="str">
        <f>VLOOKUP(E237,'HEAD OF THE FAMILY'!$B$6:$J1851,9,FALSE)</f>
        <v>BLK 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60">
        <f t="shared" si="1"/>
        <v>233</v>
      </c>
      <c r="B238" s="62" t="s">
        <v>741</v>
      </c>
      <c r="C238" s="62" t="s">
        <v>747</v>
      </c>
      <c r="D238" s="105"/>
      <c r="E238" s="62" t="s">
        <v>744</v>
      </c>
      <c r="F238" s="60"/>
      <c r="G238" s="92"/>
      <c r="H238" s="60"/>
      <c r="I238" s="60"/>
      <c r="J238" s="60"/>
      <c r="K238" s="71" t="str">
        <f>VLOOKUP(E238,'HEAD OF THE FAMILY'!$B$6:$J1851,9,FALSE)</f>
        <v>BLK 5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60">
        <f t="shared" si="1"/>
        <v>234</v>
      </c>
      <c r="B239" s="62" t="s">
        <v>741</v>
      </c>
      <c r="C239" s="62" t="s">
        <v>748</v>
      </c>
      <c r="D239" s="105"/>
      <c r="E239" s="62" t="s">
        <v>744</v>
      </c>
      <c r="F239" s="60"/>
      <c r="G239" s="92"/>
      <c r="H239" s="60"/>
      <c r="I239" s="60"/>
      <c r="J239" s="60"/>
      <c r="K239" s="71" t="str">
        <f>VLOOKUP(E239,'HEAD OF THE FAMILY'!$B$6:$J1851,9,FALSE)</f>
        <v>BLK 5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60">
        <f t="shared" si="1"/>
        <v>235</v>
      </c>
      <c r="B240" s="62" t="s">
        <v>741</v>
      </c>
      <c r="C240" s="62" t="s">
        <v>750</v>
      </c>
      <c r="D240" s="105"/>
      <c r="E240" s="62" t="s">
        <v>744</v>
      </c>
      <c r="F240" s="60"/>
      <c r="G240" s="92"/>
      <c r="H240" s="60"/>
      <c r="I240" s="60"/>
      <c r="J240" s="60"/>
      <c r="K240" s="71" t="str">
        <f>VLOOKUP(E240,'HEAD OF THE FAMILY'!$B$6:$J1851,9,FALSE)</f>
        <v>BLK 5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60">
        <f t="shared" si="1"/>
        <v>236</v>
      </c>
      <c r="B241" s="62" t="s">
        <v>752</v>
      </c>
      <c r="C241" s="62" t="s">
        <v>753</v>
      </c>
      <c r="D241" s="62" t="s">
        <v>71</v>
      </c>
      <c r="E241" s="62" t="s">
        <v>754</v>
      </c>
      <c r="F241" s="60"/>
      <c r="G241" s="92"/>
      <c r="H241" s="60"/>
      <c r="I241" s="60"/>
      <c r="J241" s="60"/>
      <c r="K241" s="71" t="str">
        <f>VLOOKUP(E241,'HEAD OF THE FAMILY'!$B$6:$J1851,9,FALSE)</f>
        <v>BLK 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60">
        <f t="shared" si="1"/>
        <v>237</v>
      </c>
      <c r="B242" s="62" t="s">
        <v>752</v>
      </c>
      <c r="C242" s="62" t="s">
        <v>756</v>
      </c>
      <c r="D242" s="62" t="s">
        <v>71</v>
      </c>
      <c r="E242" s="62" t="s">
        <v>754</v>
      </c>
      <c r="F242" s="60"/>
      <c r="G242" s="92"/>
      <c r="H242" s="60"/>
      <c r="I242" s="60"/>
      <c r="J242" s="60"/>
      <c r="K242" s="71" t="str">
        <f>VLOOKUP(E242,'HEAD OF THE FAMILY'!$B$6:$J1851,9,FALSE)</f>
        <v>BLK 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60">
        <f t="shared" si="1"/>
        <v>238</v>
      </c>
      <c r="B243" s="62" t="s">
        <v>758</v>
      </c>
      <c r="C243" s="62" t="s">
        <v>759</v>
      </c>
      <c r="D243" s="105"/>
      <c r="E243" s="62" t="s">
        <v>760</v>
      </c>
      <c r="F243" s="60"/>
      <c r="G243" s="92"/>
      <c r="H243" s="60"/>
      <c r="I243" s="60"/>
      <c r="J243" s="60"/>
      <c r="K243" s="71" t="str">
        <f>VLOOKUP(E243,'HEAD OF THE FAMILY'!$B$6:$J1851,9,FALSE)</f>
        <v>BLK 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60">
        <f t="shared" si="1"/>
        <v>239</v>
      </c>
      <c r="B244" s="62" t="s">
        <v>762</v>
      </c>
      <c r="C244" s="62" t="s">
        <v>763</v>
      </c>
      <c r="D244" s="105"/>
      <c r="E244" s="62" t="s">
        <v>764</v>
      </c>
      <c r="F244" s="60"/>
      <c r="G244" s="92"/>
      <c r="H244" s="60"/>
      <c r="I244" s="60"/>
      <c r="J244" s="60"/>
      <c r="K244" s="71" t="str">
        <f>VLOOKUP(E244,'HEAD OF THE FAMILY'!$B$6:$J1851,9,FALSE)</f>
        <v>BLK 5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60">
        <f t="shared" si="1"/>
        <v>240</v>
      </c>
      <c r="B245" s="62" t="s">
        <v>758</v>
      </c>
      <c r="C245" s="62" t="s">
        <v>766</v>
      </c>
      <c r="D245" s="105"/>
      <c r="E245" s="62" t="s">
        <v>764</v>
      </c>
      <c r="F245" s="60"/>
      <c r="G245" s="92"/>
      <c r="H245" s="60"/>
      <c r="I245" s="60"/>
      <c r="J245" s="60"/>
      <c r="K245" s="71" t="str">
        <f>VLOOKUP(E245,'HEAD OF THE FAMILY'!$B$6:$J1851,9,FALSE)</f>
        <v>BLK 5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60">
        <f t="shared" si="1"/>
        <v>241</v>
      </c>
      <c r="B246" s="62" t="s">
        <v>758</v>
      </c>
      <c r="C246" s="62" t="s">
        <v>768</v>
      </c>
      <c r="D246" s="105"/>
      <c r="E246" s="62" t="s">
        <v>764</v>
      </c>
      <c r="F246" s="60"/>
      <c r="G246" s="92"/>
      <c r="H246" s="60"/>
      <c r="I246" s="60"/>
      <c r="J246" s="60"/>
      <c r="K246" s="71" t="str">
        <f>VLOOKUP(E246,'HEAD OF THE FAMILY'!$B$6:$J1851,9,FALSE)</f>
        <v>BLK 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60">
        <f t="shared" si="1"/>
        <v>242</v>
      </c>
      <c r="B247" s="62" t="s">
        <v>769</v>
      </c>
      <c r="C247" s="62" t="s">
        <v>770</v>
      </c>
      <c r="D247" s="105"/>
      <c r="E247" s="62" t="s">
        <v>764</v>
      </c>
      <c r="F247" s="60"/>
      <c r="G247" s="92"/>
      <c r="H247" s="60"/>
      <c r="I247" s="60"/>
      <c r="J247" s="60"/>
      <c r="K247" s="71" t="str">
        <f>VLOOKUP(E247,'HEAD OF THE FAMILY'!$B$6:$J1851,9,FALSE)</f>
        <v>BLK 5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60">
        <f t="shared" si="1"/>
        <v>243</v>
      </c>
      <c r="B248" s="62" t="s">
        <v>769</v>
      </c>
      <c r="C248" s="62" t="s">
        <v>771</v>
      </c>
      <c r="D248" s="105"/>
      <c r="E248" s="62" t="s">
        <v>764</v>
      </c>
      <c r="F248" s="60"/>
      <c r="G248" s="92"/>
      <c r="H248" s="60"/>
      <c r="I248" s="60"/>
      <c r="J248" s="60"/>
      <c r="K248" s="71" t="str">
        <f>VLOOKUP(E248,'HEAD OF THE FAMILY'!$B$6:$J1851,9,FALSE)</f>
        <v>BLK 5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60">
        <f t="shared" si="1"/>
        <v>244</v>
      </c>
      <c r="B249" s="62" t="s">
        <v>758</v>
      </c>
      <c r="C249" s="62" t="s">
        <v>772</v>
      </c>
      <c r="D249" s="105"/>
      <c r="E249" s="62" t="s">
        <v>773</v>
      </c>
      <c r="F249" s="60"/>
      <c r="G249" s="92"/>
      <c r="H249" s="60"/>
      <c r="I249" s="60"/>
      <c r="J249" s="60"/>
      <c r="K249" s="71" t="str">
        <f>VLOOKUP(E249,'HEAD OF THE FAMILY'!$B$6:$J1851,9,FALSE)</f>
        <v>BLK 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60">
        <f t="shared" si="1"/>
        <v>245</v>
      </c>
      <c r="B250" s="62" t="s">
        <v>758</v>
      </c>
      <c r="C250" s="62" t="s">
        <v>775</v>
      </c>
      <c r="D250" s="105"/>
      <c r="E250" s="62" t="s">
        <v>773</v>
      </c>
      <c r="F250" s="60"/>
      <c r="G250" s="92"/>
      <c r="H250" s="60"/>
      <c r="I250" s="60"/>
      <c r="J250" s="60"/>
      <c r="K250" s="71" t="str">
        <f>VLOOKUP(E250,'HEAD OF THE FAMILY'!$B$6:$J1851,9,FALSE)</f>
        <v>BLK 5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60">
        <f t="shared" si="1"/>
        <v>246</v>
      </c>
      <c r="B251" s="62" t="s">
        <v>758</v>
      </c>
      <c r="C251" s="62" t="s">
        <v>776</v>
      </c>
      <c r="D251" s="105"/>
      <c r="E251" s="62" t="s">
        <v>773</v>
      </c>
      <c r="F251" s="60"/>
      <c r="G251" s="92"/>
      <c r="H251" s="60"/>
      <c r="I251" s="60"/>
      <c r="J251" s="60"/>
      <c r="K251" s="71" t="str">
        <f>VLOOKUP(E251,'HEAD OF THE FAMILY'!$B$6:$J1851,9,FALSE)</f>
        <v>BLK 5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60">
        <f t="shared" si="1"/>
        <v>247</v>
      </c>
      <c r="B252" s="62" t="s">
        <v>758</v>
      </c>
      <c r="C252" s="62" t="s">
        <v>777</v>
      </c>
      <c r="D252" s="105"/>
      <c r="E252" s="62" t="s">
        <v>773</v>
      </c>
      <c r="F252" s="60"/>
      <c r="G252" s="92"/>
      <c r="H252" s="60"/>
      <c r="I252" s="60"/>
      <c r="J252" s="60"/>
      <c r="K252" s="71" t="str">
        <f>VLOOKUP(E252,'HEAD OF THE FAMILY'!$B$6:$J1851,9,FALSE)</f>
        <v>BLK 5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60">
        <f t="shared" si="1"/>
        <v>248</v>
      </c>
      <c r="B253" s="62" t="s">
        <v>758</v>
      </c>
      <c r="C253" s="62" t="s">
        <v>779</v>
      </c>
      <c r="D253" s="105"/>
      <c r="E253" s="62" t="s">
        <v>773</v>
      </c>
      <c r="F253" s="60"/>
      <c r="G253" s="92"/>
      <c r="H253" s="60"/>
      <c r="I253" s="60"/>
      <c r="J253" s="60"/>
      <c r="K253" s="71" t="str">
        <f>VLOOKUP(E253,'HEAD OF THE FAMILY'!$B$6:$J1851,9,FALSE)</f>
        <v>BLK 5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60">
        <f t="shared" si="1"/>
        <v>249</v>
      </c>
      <c r="B254" s="62" t="s">
        <v>758</v>
      </c>
      <c r="C254" s="62" t="s">
        <v>780</v>
      </c>
      <c r="D254" s="105"/>
      <c r="E254" s="62" t="s">
        <v>773</v>
      </c>
      <c r="F254" s="60"/>
      <c r="G254" s="92"/>
      <c r="H254" s="60"/>
      <c r="I254" s="60"/>
      <c r="J254" s="60"/>
      <c r="K254" s="71" t="str">
        <f>VLOOKUP(E254,'HEAD OF THE FAMILY'!$B$6:$J1851,9,FALSE)</f>
        <v>BLK 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60">
        <f t="shared" si="1"/>
        <v>250</v>
      </c>
      <c r="B255" s="62" t="s">
        <v>758</v>
      </c>
      <c r="C255" s="62" t="s">
        <v>781</v>
      </c>
      <c r="D255" s="105"/>
      <c r="E255" s="62" t="s">
        <v>773</v>
      </c>
      <c r="F255" s="60"/>
      <c r="G255" s="92"/>
      <c r="H255" s="60"/>
      <c r="I255" s="60"/>
      <c r="J255" s="60"/>
      <c r="K255" s="71" t="str">
        <f>VLOOKUP(E255,'HEAD OF THE FAMILY'!$B$6:$J1851,9,FALSE)</f>
        <v>BLK 5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60">
        <f t="shared" si="1"/>
        <v>251</v>
      </c>
      <c r="B256" s="62" t="s">
        <v>758</v>
      </c>
      <c r="C256" s="62" t="s">
        <v>783</v>
      </c>
      <c r="D256" s="105"/>
      <c r="E256" s="62" t="s">
        <v>773</v>
      </c>
      <c r="F256" s="60"/>
      <c r="G256" s="92"/>
      <c r="H256" s="60"/>
      <c r="I256" s="60"/>
      <c r="J256" s="60"/>
      <c r="K256" s="71" t="str">
        <f>VLOOKUP(E256,'HEAD OF THE FAMILY'!$B$6:$J1851,9,FALSE)</f>
        <v>BLK 5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60">
        <f t="shared" si="1"/>
        <v>252</v>
      </c>
      <c r="B257" s="62" t="s">
        <v>758</v>
      </c>
      <c r="C257" s="62" t="s">
        <v>784</v>
      </c>
      <c r="D257" s="105"/>
      <c r="E257" s="62" t="s">
        <v>773</v>
      </c>
      <c r="F257" s="60"/>
      <c r="G257" s="92"/>
      <c r="H257" s="60"/>
      <c r="I257" s="60"/>
      <c r="J257" s="60"/>
      <c r="K257" s="71" t="str">
        <f>VLOOKUP(E257,'HEAD OF THE FAMILY'!$B$6:$J1851,9,FALSE)</f>
        <v>BLK 5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60">
        <f t="shared" si="1"/>
        <v>253</v>
      </c>
      <c r="B258" s="62" t="s">
        <v>786</v>
      </c>
      <c r="C258" s="62" t="s">
        <v>787</v>
      </c>
      <c r="D258" s="62" t="s">
        <v>71</v>
      </c>
      <c r="E258" s="62" t="s">
        <v>788</v>
      </c>
      <c r="F258" s="60"/>
      <c r="G258" s="92"/>
      <c r="H258" s="60"/>
      <c r="I258" s="60"/>
      <c r="J258" s="60"/>
      <c r="K258" s="71" t="str">
        <f>VLOOKUP(E258,'HEAD OF THE FAMILY'!$B$6:$J1851,9,FALSE)</f>
        <v>BLK 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60">
        <f t="shared" si="1"/>
        <v>254</v>
      </c>
      <c r="B259" s="62" t="s">
        <v>758</v>
      </c>
      <c r="C259" s="62" t="s">
        <v>763</v>
      </c>
      <c r="D259" s="105"/>
      <c r="E259" s="62" t="s">
        <v>106</v>
      </c>
      <c r="F259" s="60"/>
      <c r="G259" s="92"/>
      <c r="H259" s="60"/>
      <c r="I259" s="60"/>
      <c r="J259" s="60"/>
      <c r="K259" s="71" t="str">
        <f>VLOOKUP(E259,'HEAD OF THE FAMILY'!$B$6:$J1851,9,FALSE)</f>
        <v>BLK 5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60">
        <f t="shared" si="1"/>
        <v>255</v>
      </c>
      <c r="B260" s="62" t="s">
        <v>758</v>
      </c>
      <c r="C260" s="62" t="s">
        <v>790</v>
      </c>
      <c r="D260" s="105"/>
      <c r="E260" s="62" t="s">
        <v>106</v>
      </c>
      <c r="F260" s="60"/>
      <c r="G260" s="92"/>
      <c r="H260" s="60"/>
      <c r="I260" s="60"/>
      <c r="J260" s="60"/>
      <c r="K260" s="71" t="str">
        <f>VLOOKUP(E260,'HEAD OF THE FAMILY'!$B$6:$J1851,9,FALSE)</f>
        <v>BLK 5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60">
        <f t="shared" si="1"/>
        <v>256</v>
      </c>
      <c r="B261" s="62" t="s">
        <v>791</v>
      </c>
      <c r="C261" s="62" t="s">
        <v>792</v>
      </c>
      <c r="D261" s="105"/>
      <c r="E261" s="62" t="s">
        <v>574</v>
      </c>
      <c r="F261" s="60"/>
      <c r="G261" s="92"/>
      <c r="H261" s="60"/>
      <c r="I261" s="60"/>
      <c r="J261" s="60"/>
      <c r="K261" s="71" t="str">
        <f>VLOOKUP(E261,'HEAD OF THE FAMILY'!$B$6:$J1851,9,FALSE)</f>
        <v>BLK 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60">
        <f t="shared" si="1"/>
        <v>257</v>
      </c>
      <c r="B262" s="62" t="s">
        <v>758</v>
      </c>
      <c r="C262" s="62" t="s">
        <v>794</v>
      </c>
      <c r="D262" s="105"/>
      <c r="E262" s="62" t="s">
        <v>574</v>
      </c>
      <c r="F262" s="60"/>
      <c r="G262" s="92"/>
      <c r="H262" s="60"/>
      <c r="I262" s="60"/>
      <c r="J262" s="60"/>
      <c r="K262" s="71" t="str">
        <f>VLOOKUP(E262,'HEAD OF THE FAMILY'!$B$6:$J1851,9,FALSE)</f>
        <v>BLK 5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60">
        <f t="shared" si="1"/>
        <v>258</v>
      </c>
      <c r="B263" s="62" t="s">
        <v>758</v>
      </c>
      <c r="C263" s="62" t="s">
        <v>795</v>
      </c>
      <c r="D263" s="105"/>
      <c r="E263" s="62" t="s">
        <v>574</v>
      </c>
      <c r="F263" s="60"/>
      <c r="G263" s="92"/>
      <c r="H263" s="60"/>
      <c r="I263" s="60"/>
      <c r="J263" s="60"/>
      <c r="K263" s="71" t="str">
        <f>VLOOKUP(E263,'HEAD OF THE FAMILY'!$B$6:$J1851,9,FALSE)</f>
        <v>BLK 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60">
        <f t="shared" si="1"/>
        <v>259</v>
      </c>
      <c r="B264" s="62" t="s">
        <v>758</v>
      </c>
      <c r="C264" s="62" t="s">
        <v>796</v>
      </c>
      <c r="D264" s="105"/>
      <c r="E264" s="62" t="s">
        <v>797</v>
      </c>
      <c r="F264" s="60"/>
      <c r="G264" s="92"/>
      <c r="H264" s="60"/>
      <c r="I264" s="60"/>
      <c r="J264" s="60"/>
      <c r="K264" s="71" t="str">
        <f>VLOOKUP(E264,'HEAD OF THE FAMILY'!$B$6:$J1851,9,FALSE)</f>
        <v>BLK 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60">
        <f t="shared" si="1"/>
        <v>260</v>
      </c>
      <c r="B265" s="62" t="s">
        <v>758</v>
      </c>
      <c r="C265" s="62" t="s">
        <v>799</v>
      </c>
      <c r="D265" s="105"/>
      <c r="E265" s="62" t="s">
        <v>797</v>
      </c>
      <c r="F265" s="60"/>
      <c r="G265" s="92"/>
      <c r="H265" s="60"/>
      <c r="I265" s="60"/>
      <c r="J265" s="60"/>
      <c r="K265" s="71" t="str">
        <f>VLOOKUP(E265,'HEAD OF THE FAMILY'!$B$6:$J1851,9,FALSE)</f>
        <v>BLK 5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60">
        <f t="shared" si="1"/>
        <v>261</v>
      </c>
      <c r="B266" s="62" t="s">
        <v>758</v>
      </c>
      <c r="C266" s="62" t="s">
        <v>417</v>
      </c>
      <c r="D266" s="105"/>
      <c r="E266" s="62" t="s">
        <v>797</v>
      </c>
      <c r="F266" s="60"/>
      <c r="G266" s="92"/>
      <c r="H266" s="60"/>
      <c r="I266" s="60"/>
      <c r="J266" s="60"/>
      <c r="K266" s="71" t="str">
        <f>VLOOKUP(E266,'HEAD OF THE FAMILY'!$B$6:$J1851,9,FALSE)</f>
        <v>BLK 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60">
        <f t="shared" si="1"/>
        <v>262</v>
      </c>
      <c r="B267" s="62" t="s">
        <v>800</v>
      </c>
      <c r="C267" s="62" t="s">
        <v>802</v>
      </c>
      <c r="D267" s="105"/>
      <c r="E267" s="62" t="s">
        <v>803</v>
      </c>
      <c r="F267" s="60"/>
      <c r="G267" s="92"/>
      <c r="H267" s="60"/>
      <c r="I267" s="60"/>
      <c r="J267" s="60"/>
      <c r="K267" s="71" t="str">
        <f>VLOOKUP(E267,'HEAD OF THE FAMILY'!$B$6:$J1851,9,FALSE)</f>
        <v>BLK 3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60">
        <f t="shared" si="1"/>
        <v>263</v>
      </c>
      <c r="B268" s="62" t="s">
        <v>800</v>
      </c>
      <c r="C268" s="62" t="s">
        <v>804</v>
      </c>
      <c r="D268" s="105"/>
      <c r="E268" s="62" t="s">
        <v>803</v>
      </c>
      <c r="F268" s="60"/>
      <c r="G268" s="92"/>
      <c r="H268" s="60"/>
      <c r="I268" s="60"/>
      <c r="J268" s="60"/>
      <c r="K268" s="71" t="str">
        <f>VLOOKUP(E268,'HEAD OF THE FAMILY'!$B$6:$J1851,9,FALSE)</f>
        <v>BLK 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60">
        <f t="shared" si="1"/>
        <v>264</v>
      </c>
      <c r="B269" s="62" t="s">
        <v>806</v>
      </c>
      <c r="C269" s="62" t="s">
        <v>807</v>
      </c>
      <c r="D269" s="105"/>
      <c r="E269" s="62" t="s">
        <v>808</v>
      </c>
      <c r="F269" s="60"/>
      <c r="G269" s="92"/>
      <c r="H269" s="60"/>
      <c r="I269" s="60"/>
      <c r="J269" s="60"/>
      <c r="K269" s="71" t="str">
        <f>VLOOKUP(E269,'HEAD OF THE FAMILY'!$B$6:$J1851,9,FALSE)</f>
        <v>BLK 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60">
        <f t="shared" si="1"/>
        <v>265</v>
      </c>
      <c r="B270" s="62" t="s">
        <v>806</v>
      </c>
      <c r="C270" s="62" t="s">
        <v>809</v>
      </c>
      <c r="D270" s="105"/>
      <c r="E270" s="62" t="s">
        <v>808</v>
      </c>
      <c r="F270" s="60"/>
      <c r="G270" s="92"/>
      <c r="H270" s="60"/>
      <c r="I270" s="60"/>
      <c r="J270" s="60"/>
      <c r="K270" s="71" t="str">
        <f>VLOOKUP(E270,'HEAD OF THE FAMILY'!$B$6:$J1851,9,FALSE)</f>
        <v>BLK 5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60">
        <f t="shared" si="1"/>
        <v>266</v>
      </c>
      <c r="B271" s="62" t="s">
        <v>806</v>
      </c>
      <c r="C271" s="62" t="s">
        <v>812</v>
      </c>
      <c r="D271" s="105"/>
      <c r="E271" s="62" t="s">
        <v>808</v>
      </c>
      <c r="F271" s="60"/>
      <c r="G271" s="92"/>
      <c r="H271" s="60"/>
      <c r="I271" s="60"/>
      <c r="J271" s="60"/>
      <c r="K271" s="71" t="str">
        <f>VLOOKUP(E271,'HEAD OF THE FAMILY'!$B$6:$J1851,9,FALSE)</f>
        <v>BLK 5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60">
        <f t="shared" si="1"/>
        <v>267</v>
      </c>
      <c r="B272" s="62" t="s">
        <v>806</v>
      </c>
      <c r="C272" s="62" t="s">
        <v>815</v>
      </c>
      <c r="D272" s="105"/>
      <c r="E272" s="62" t="s">
        <v>808</v>
      </c>
      <c r="F272" s="60"/>
      <c r="G272" s="92"/>
      <c r="H272" s="60"/>
      <c r="I272" s="60"/>
      <c r="J272" s="60"/>
      <c r="K272" s="71" t="str">
        <f>VLOOKUP(E272,'HEAD OF THE FAMILY'!$B$6:$J1851,9,FALSE)</f>
        <v>BLK 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60">
        <f t="shared" si="1"/>
        <v>268</v>
      </c>
      <c r="B273" s="62" t="s">
        <v>816</v>
      </c>
      <c r="C273" s="62" t="s">
        <v>817</v>
      </c>
      <c r="D273" s="105"/>
      <c r="E273" s="62" t="s">
        <v>819</v>
      </c>
      <c r="F273" s="60"/>
      <c r="G273" s="92"/>
      <c r="H273" s="60"/>
      <c r="I273" s="60"/>
      <c r="J273" s="60"/>
      <c r="K273" s="71" t="str">
        <f>VLOOKUP(E273,'HEAD OF THE FAMILY'!$B$6:$J1851,9,FALSE)</f>
        <v>BLK 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60">
        <f t="shared" si="1"/>
        <v>269</v>
      </c>
      <c r="B274" s="62" t="s">
        <v>816</v>
      </c>
      <c r="C274" s="62" t="s">
        <v>821</v>
      </c>
      <c r="D274" s="105"/>
      <c r="E274" s="62" t="s">
        <v>819</v>
      </c>
      <c r="F274" s="60"/>
      <c r="G274" s="92"/>
      <c r="H274" s="60"/>
      <c r="I274" s="60"/>
      <c r="J274" s="60"/>
      <c r="K274" s="71" t="str">
        <f>VLOOKUP(E274,'HEAD OF THE FAMILY'!$B$6:$J1851,9,FALSE)</f>
        <v>BLK 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60">
        <f t="shared" si="1"/>
        <v>270</v>
      </c>
      <c r="B275" s="62" t="s">
        <v>822</v>
      </c>
      <c r="C275" s="62" t="s">
        <v>824</v>
      </c>
      <c r="D275" s="105"/>
      <c r="E275" s="62" t="s">
        <v>819</v>
      </c>
      <c r="F275" s="60"/>
      <c r="G275" s="92"/>
      <c r="H275" s="60"/>
      <c r="I275" s="60"/>
      <c r="J275" s="60"/>
      <c r="K275" s="71" t="str">
        <f>VLOOKUP(E275,'HEAD OF THE FAMILY'!$B$6:$J1851,9,FALSE)</f>
        <v>BLK 5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60">
        <f t="shared" si="1"/>
        <v>271</v>
      </c>
      <c r="B276" s="62" t="s">
        <v>822</v>
      </c>
      <c r="C276" s="62" t="s">
        <v>826</v>
      </c>
      <c r="D276" s="105"/>
      <c r="E276" s="62" t="s">
        <v>819</v>
      </c>
      <c r="F276" s="60"/>
      <c r="G276" s="92"/>
      <c r="H276" s="60"/>
      <c r="I276" s="60"/>
      <c r="J276" s="60"/>
      <c r="K276" s="71" t="str">
        <f>VLOOKUP(E276,'HEAD OF THE FAMILY'!$B$6:$J1851,9,FALSE)</f>
        <v>BLK 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60">
        <f t="shared" si="1"/>
        <v>272</v>
      </c>
      <c r="B277" s="62" t="s">
        <v>828</v>
      </c>
      <c r="C277" s="62" t="s">
        <v>829</v>
      </c>
      <c r="D277" s="105"/>
      <c r="E277" s="62" t="s">
        <v>754</v>
      </c>
      <c r="F277" s="60"/>
      <c r="G277" s="92"/>
      <c r="H277" s="60"/>
      <c r="I277" s="60"/>
      <c r="J277" s="60"/>
      <c r="K277" s="71" t="str">
        <f>VLOOKUP(E277,'HEAD OF THE FAMILY'!$B$6:$J1851,9,FALSE)</f>
        <v>BLK 5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60">
        <f t="shared" si="1"/>
        <v>273</v>
      </c>
      <c r="B278" s="62" t="s">
        <v>109</v>
      </c>
      <c r="C278" s="62" t="s">
        <v>832</v>
      </c>
      <c r="D278" s="105"/>
      <c r="E278" s="62" t="s">
        <v>833</v>
      </c>
      <c r="F278" s="60"/>
      <c r="G278" s="92"/>
      <c r="H278" s="60"/>
      <c r="I278" s="60"/>
      <c r="J278" s="60"/>
      <c r="K278" s="71" t="str">
        <f>VLOOKUP(E278,'HEAD OF THE FAMILY'!$B$6:$J1851,9,FALSE)</f>
        <v>BLK 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60">
        <f t="shared" si="1"/>
        <v>274</v>
      </c>
      <c r="B279" s="62" t="s">
        <v>836</v>
      </c>
      <c r="C279" s="62" t="s">
        <v>837</v>
      </c>
      <c r="D279" s="105"/>
      <c r="E279" s="62" t="s">
        <v>838</v>
      </c>
      <c r="F279" s="60"/>
      <c r="G279" s="92"/>
      <c r="H279" s="60"/>
      <c r="I279" s="60"/>
      <c r="J279" s="60"/>
      <c r="K279" s="71" t="str">
        <f>VLOOKUP(E279,'HEAD OF THE FAMILY'!$B$6:$J1851,9,FALSE)</f>
        <v>BLK 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60">
        <f t="shared" si="1"/>
        <v>275</v>
      </c>
      <c r="B280" s="62" t="s">
        <v>836</v>
      </c>
      <c r="C280" s="62" t="s">
        <v>841</v>
      </c>
      <c r="D280" s="105"/>
      <c r="E280" s="62" t="s">
        <v>838</v>
      </c>
      <c r="F280" s="60"/>
      <c r="G280" s="92"/>
      <c r="H280" s="60"/>
      <c r="I280" s="60"/>
      <c r="J280" s="60"/>
      <c r="K280" s="71" t="str">
        <f>VLOOKUP(E280,'HEAD OF THE FAMILY'!$B$6:$J1851,9,FALSE)</f>
        <v>BLK 5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60">
        <f t="shared" si="1"/>
        <v>276</v>
      </c>
      <c r="B281" s="62" t="s">
        <v>842</v>
      </c>
      <c r="C281" s="62" t="s">
        <v>843</v>
      </c>
      <c r="D281" s="105"/>
      <c r="E281" s="62" t="s">
        <v>838</v>
      </c>
      <c r="F281" s="60"/>
      <c r="G281" s="92"/>
      <c r="H281" s="60"/>
      <c r="I281" s="60"/>
      <c r="J281" s="60"/>
      <c r="K281" s="71" t="str">
        <f>VLOOKUP(E281,'HEAD OF THE FAMILY'!$B$6:$J1851,9,FALSE)</f>
        <v>BLK 5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60">
        <f t="shared" si="1"/>
        <v>277</v>
      </c>
      <c r="B282" s="62" t="s">
        <v>845</v>
      </c>
      <c r="C282" s="62" t="s">
        <v>846</v>
      </c>
      <c r="D282" s="62" t="s">
        <v>758</v>
      </c>
      <c r="E282" s="62" t="s">
        <v>847</v>
      </c>
      <c r="F282" s="60"/>
      <c r="G282" s="92"/>
      <c r="H282" s="60"/>
      <c r="I282" s="60"/>
      <c r="J282" s="60"/>
      <c r="K282" s="71" t="str">
        <f>VLOOKUP(E282,'HEAD OF THE FAMILY'!$B$6:$J1851,9,FALSE)</f>
        <v>BLK 5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60">
        <f t="shared" si="1"/>
        <v>278</v>
      </c>
      <c r="B283" s="62" t="s">
        <v>845</v>
      </c>
      <c r="C283" s="62" t="s">
        <v>849</v>
      </c>
      <c r="D283" s="62" t="s">
        <v>758</v>
      </c>
      <c r="E283" s="62" t="s">
        <v>847</v>
      </c>
      <c r="F283" s="60"/>
      <c r="G283" s="92"/>
      <c r="H283" s="60"/>
      <c r="I283" s="60"/>
      <c r="J283" s="60"/>
      <c r="K283" s="71" t="str">
        <f>VLOOKUP(E283,'HEAD OF THE FAMILY'!$B$6:$J1851,9,FALSE)</f>
        <v>BLK 5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60">
        <f t="shared" si="1"/>
        <v>279</v>
      </c>
      <c r="B284" s="62" t="s">
        <v>845</v>
      </c>
      <c r="C284" s="62" t="s">
        <v>851</v>
      </c>
      <c r="D284" s="62" t="s">
        <v>758</v>
      </c>
      <c r="E284" s="62" t="s">
        <v>847</v>
      </c>
      <c r="F284" s="60"/>
      <c r="G284" s="92"/>
      <c r="H284" s="60"/>
      <c r="I284" s="60"/>
      <c r="J284" s="60"/>
      <c r="K284" s="71" t="str">
        <f>VLOOKUP(E284,'HEAD OF THE FAMILY'!$B$6:$J1851,9,FALSE)</f>
        <v>BLK 5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60">
        <f t="shared" si="1"/>
        <v>280</v>
      </c>
      <c r="B285" s="62" t="s">
        <v>853</v>
      </c>
      <c r="C285" s="62" t="s">
        <v>855</v>
      </c>
      <c r="D285" s="105"/>
      <c r="E285" s="62" t="s">
        <v>856</v>
      </c>
      <c r="F285" s="60"/>
      <c r="G285" s="92"/>
      <c r="H285" s="60"/>
      <c r="I285" s="60"/>
      <c r="J285" s="60"/>
      <c r="K285" s="71" t="str">
        <f>VLOOKUP(E285,'HEAD OF THE FAMILY'!$B$6:$J1851,9,FALSE)</f>
        <v>BLK 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60">
        <f t="shared" si="1"/>
        <v>281</v>
      </c>
      <c r="B286" s="62" t="s">
        <v>858</v>
      </c>
      <c r="C286" s="62" t="s">
        <v>859</v>
      </c>
      <c r="D286" s="62" t="s">
        <v>657</v>
      </c>
      <c r="E286" s="62" t="s">
        <v>860</v>
      </c>
      <c r="F286" s="60"/>
      <c r="G286" s="92"/>
      <c r="H286" s="60"/>
      <c r="I286" s="60"/>
      <c r="J286" s="60"/>
      <c r="K286" s="71" t="str">
        <f>VLOOKUP(E286,'HEAD OF THE FAMILY'!$B$6:$J1851,9,FALSE)</f>
        <v>BLK 5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60">
        <f t="shared" si="1"/>
        <v>282</v>
      </c>
      <c r="B287" s="62" t="s">
        <v>858</v>
      </c>
      <c r="C287" s="62" t="s">
        <v>861</v>
      </c>
      <c r="D287" s="62" t="s">
        <v>657</v>
      </c>
      <c r="E287" s="62" t="s">
        <v>860</v>
      </c>
      <c r="F287" s="60"/>
      <c r="G287" s="92"/>
      <c r="H287" s="60"/>
      <c r="I287" s="60"/>
      <c r="J287" s="60"/>
      <c r="K287" s="71" t="str">
        <f>VLOOKUP(E287,'HEAD OF THE FAMILY'!$B$6:$J1851,9,FALSE)</f>
        <v>BLK 5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60">
        <f t="shared" si="1"/>
        <v>283</v>
      </c>
      <c r="B288" s="62" t="s">
        <v>863</v>
      </c>
      <c r="C288" s="62" t="s">
        <v>864</v>
      </c>
      <c r="D288" s="105"/>
      <c r="E288" s="62" t="s">
        <v>860</v>
      </c>
      <c r="F288" s="60"/>
      <c r="G288" s="92"/>
      <c r="H288" s="60"/>
      <c r="I288" s="60"/>
      <c r="J288" s="60"/>
      <c r="K288" s="71" t="str">
        <f>VLOOKUP(E288,'HEAD OF THE FAMILY'!$B$6:$J1851,9,FALSE)</f>
        <v>BLK 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60">
        <f t="shared" si="1"/>
        <v>284</v>
      </c>
      <c r="B289" s="62" t="s">
        <v>866</v>
      </c>
      <c r="C289" s="62" t="s">
        <v>867</v>
      </c>
      <c r="D289" s="105"/>
      <c r="E289" s="62" t="s">
        <v>868</v>
      </c>
      <c r="F289" s="60"/>
      <c r="G289" s="92"/>
      <c r="H289" s="60"/>
      <c r="I289" s="60"/>
      <c r="J289" s="60"/>
      <c r="K289" s="71" t="str">
        <f>VLOOKUP(E289,'HEAD OF THE FAMILY'!$B$6:$J1851,9,FALSE)</f>
        <v>BLK 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60">
        <f t="shared" si="1"/>
        <v>285</v>
      </c>
      <c r="B290" s="62" t="s">
        <v>869</v>
      </c>
      <c r="C290" s="62" t="s">
        <v>870</v>
      </c>
      <c r="D290" s="105"/>
      <c r="E290" s="62" t="s">
        <v>868</v>
      </c>
      <c r="F290" s="60"/>
      <c r="G290" s="92"/>
      <c r="H290" s="60"/>
      <c r="I290" s="60"/>
      <c r="J290" s="60"/>
      <c r="K290" s="71" t="str">
        <f>VLOOKUP(E290,'HEAD OF THE FAMILY'!$B$6:$J1851,9,FALSE)</f>
        <v>BLK 5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60">
        <f t="shared" si="1"/>
        <v>286</v>
      </c>
      <c r="B291" s="62" t="s">
        <v>866</v>
      </c>
      <c r="C291" s="62" t="s">
        <v>871</v>
      </c>
      <c r="D291" s="105"/>
      <c r="E291" s="62" t="s">
        <v>868</v>
      </c>
      <c r="F291" s="60"/>
      <c r="G291" s="92"/>
      <c r="H291" s="60"/>
      <c r="I291" s="60"/>
      <c r="J291" s="60"/>
      <c r="K291" s="71" t="str">
        <f>VLOOKUP(E291,'HEAD OF THE FAMILY'!$B$6:$J1851,9,FALSE)</f>
        <v>BLK 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60">
        <f t="shared" si="1"/>
        <v>287</v>
      </c>
      <c r="B292" s="62" t="s">
        <v>866</v>
      </c>
      <c r="C292" s="62" t="s">
        <v>874</v>
      </c>
      <c r="D292" s="105"/>
      <c r="E292" s="62" t="s">
        <v>868</v>
      </c>
      <c r="F292" s="60"/>
      <c r="G292" s="92"/>
      <c r="H292" s="60"/>
      <c r="I292" s="60"/>
      <c r="J292" s="60"/>
      <c r="K292" s="71" t="str">
        <f>VLOOKUP(E292,'HEAD OF THE FAMILY'!$B$6:$J1851,9,FALSE)</f>
        <v>BLK 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60">
        <f t="shared" si="1"/>
        <v>288</v>
      </c>
      <c r="B293" s="62" t="s">
        <v>863</v>
      </c>
      <c r="C293" s="62" t="s">
        <v>875</v>
      </c>
      <c r="D293" s="105"/>
      <c r="E293" s="62" t="s">
        <v>862</v>
      </c>
      <c r="F293" s="60"/>
      <c r="G293" s="92"/>
      <c r="H293" s="60"/>
      <c r="I293" s="60"/>
      <c r="J293" s="60"/>
      <c r="K293" s="71" t="str">
        <f>VLOOKUP(E293,'HEAD OF THE FAMILY'!$B$6:$J1851,9,FALSE)</f>
        <v>BLK 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60">
        <f t="shared" si="1"/>
        <v>289</v>
      </c>
      <c r="B294" s="62" t="s">
        <v>877</v>
      </c>
      <c r="C294" s="62" t="s">
        <v>878</v>
      </c>
      <c r="D294" s="62" t="s">
        <v>85</v>
      </c>
      <c r="E294" s="62" t="s">
        <v>879</v>
      </c>
      <c r="F294" s="60"/>
      <c r="G294" s="92"/>
      <c r="H294" s="60"/>
      <c r="I294" s="60"/>
      <c r="J294" s="60"/>
      <c r="K294" s="71" t="str">
        <f>VLOOKUP(E294,'HEAD OF THE FAMILY'!$B$6:$J1851,9,FALSE)</f>
        <v>BLK 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60">
        <f t="shared" si="1"/>
        <v>290</v>
      </c>
      <c r="B295" s="62" t="s">
        <v>877</v>
      </c>
      <c r="C295" s="62" t="s">
        <v>880</v>
      </c>
      <c r="D295" s="62" t="s">
        <v>85</v>
      </c>
      <c r="E295" s="62" t="s">
        <v>879</v>
      </c>
      <c r="F295" s="60"/>
      <c r="G295" s="92"/>
      <c r="H295" s="60"/>
      <c r="I295" s="60"/>
      <c r="J295" s="60"/>
      <c r="K295" s="71" t="str">
        <f>VLOOKUP(E295,'HEAD OF THE FAMILY'!$B$6:$J1851,9,FALSE)</f>
        <v>BLK 5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60">
        <f t="shared" si="1"/>
        <v>291</v>
      </c>
      <c r="B296" s="62" t="s">
        <v>881</v>
      </c>
      <c r="C296" s="62" t="s">
        <v>882</v>
      </c>
      <c r="D296" s="105"/>
      <c r="E296" s="62" t="s">
        <v>883</v>
      </c>
      <c r="F296" s="60"/>
      <c r="G296" s="92"/>
      <c r="H296" s="60"/>
      <c r="I296" s="60"/>
      <c r="J296" s="60"/>
      <c r="K296" s="71" t="str">
        <f>VLOOKUP(E296,'HEAD OF THE FAMILY'!$B$6:$J1851,9,FALSE)</f>
        <v>BLK 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60">
        <f t="shared" si="1"/>
        <v>292</v>
      </c>
      <c r="B297" s="62" t="s">
        <v>881</v>
      </c>
      <c r="C297" s="62" t="s">
        <v>886</v>
      </c>
      <c r="D297" s="105"/>
      <c r="E297" s="62" t="s">
        <v>883</v>
      </c>
      <c r="F297" s="60"/>
      <c r="G297" s="92"/>
      <c r="H297" s="60"/>
      <c r="I297" s="60"/>
      <c r="J297" s="60"/>
      <c r="K297" s="71" t="str">
        <f>VLOOKUP(E297,'HEAD OF THE FAMILY'!$B$6:$J1851,9,FALSE)</f>
        <v>BLK 5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60">
        <f t="shared" si="1"/>
        <v>293</v>
      </c>
      <c r="B298" s="62" t="s">
        <v>888</v>
      </c>
      <c r="C298" s="62" t="s">
        <v>889</v>
      </c>
      <c r="D298" s="105"/>
      <c r="E298" s="62" t="s">
        <v>890</v>
      </c>
      <c r="F298" s="60"/>
      <c r="G298" s="92"/>
      <c r="H298" s="60"/>
      <c r="I298" s="60"/>
      <c r="J298" s="60"/>
      <c r="K298" s="71" t="str">
        <f>VLOOKUP(E298,'HEAD OF THE FAMILY'!$B$6:$J1851,9,FALSE)</f>
        <v>BLK 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60">
        <f t="shared" si="1"/>
        <v>294</v>
      </c>
      <c r="B299" s="62" t="s">
        <v>892</v>
      </c>
      <c r="C299" s="62" t="s">
        <v>893</v>
      </c>
      <c r="D299" s="62" t="s">
        <v>894</v>
      </c>
      <c r="E299" s="62" t="s">
        <v>403</v>
      </c>
      <c r="F299" s="60"/>
      <c r="G299" s="92"/>
      <c r="H299" s="60"/>
      <c r="I299" s="60"/>
      <c r="J299" s="60"/>
      <c r="K299" s="71" t="str">
        <f>VLOOKUP(E299,'HEAD OF THE FAMILY'!$B$6:$J1851,9,FALSE)</f>
        <v>BLK 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60">
        <f t="shared" si="1"/>
        <v>295</v>
      </c>
      <c r="B300" s="62" t="s">
        <v>892</v>
      </c>
      <c r="C300" s="62" t="s">
        <v>896</v>
      </c>
      <c r="D300" s="62" t="s">
        <v>894</v>
      </c>
      <c r="E300" s="62" t="s">
        <v>403</v>
      </c>
      <c r="F300" s="60"/>
      <c r="G300" s="92"/>
      <c r="H300" s="60"/>
      <c r="I300" s="60"/>
      <c r="J300" s="60"/>
      <c r="K300" s="71" t="str">
        <f>VLOOKUP(E300,'HEAD OF THE FAMILY'!$B$6:$J1851,9,FALSE)</f>
        <v>BLK 5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60">
        <f t="shared" si="1"/>
        <v>296</v>
      </c>
      <c r="B301" s="62" t="s">
        <v>898</v>
      </c>
      <c r="C301" s="62" t="s">
        <v>899</v>
      </c>
      <c r="D301" s="105"/>
      <c r="E301" s="62" t="s">
        <v>900</v>
      </c>
      <c r="F301" s="60"/>
      <c r="G301" s="92"/>
      <c r="H301" s="60"/>
      <c r="I301" s="60"/>
      <c r="J301" s="60"/>
      <c r="K301" s="71" t="str">
        <f>VLOOKUP(E301,'HEAD OF THE FAMILY'!$B$6:$J1851,9,FALSE)</f>
        <v>BLK 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60">
        <f t="shared" si="1"/>
        <v>297</v>
      </c>
      <c r="B302" s="62" t="s">
        <v>898</v>
      </c>
      <c r="C302" s="62" t="s">
        <v>901</v>
      </c>
      <c r="D302" s="105"/>
      <c r="E302" s="62" t="s">
        <v>900</v>
      </c>
      <c r="F302" s="60"/>
      <c r="G302" s="92"/>
      <c r="H302" s="60"/>
      <c r="I302" s="60"/>
      <c r="J302" s="60"/>
      <c r="K302" s="71" t="str">
        <f>VLOOKUP(E302,'HEAD OF THE FAMILY'!$B$6:$J1851,9,FALSE)</f>
        <v>BLK 5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60">
        <f t="shared" si="1"/>
        <v>298</v>
      </c>
      <c r="B303" s="62" t="s">
        <v>898</v>
      </c>
      <c r="C303" s="62" t="s">
        <v>902</v>
      </c>
      <c r="D303" s="105"/>
      <c r="E303" s="62" t="s">
        <v>900</v>
      </c>
      <c r="F303" s="60"/>
      <c r="G303" s="92"/>
      <c r="H303" s="60"/>
      <c r="I303" s="60"/>
      <c r="J303" s="60"/>
      <c r="K303" s="71" t="str">
        <f>VLOOKUP(E303,'HEAD OF THE FAMILY'!$B$6:$J1851,9,FALSE)</f>
        <v>BLK 5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60">
        <f t="shared" si="1"/>
        <v>299</v>
      </c>
      <c r="B304" s="62" t="s">
        <v>904</v>
      </c>
      <c r="C304" s="62" t="s">
        <v>905</v>
      </c>
      <c r="D304" s="105"/>
      <c r="E304" s="62" t="s">
        <v>906</v>
      </c>
      <c r="F304" s="60"/>
      <c r="G304" s="92"/>
      <c r="H304" s="60"/>
      <c r="I304" s="60"/>
      <c r="J304" s="60"/>
      <c r="K304" s="71" t="str">
        <f>VLOOKUP(E304,'HEAD OF THE FAMILY'!$B$6:$J1851,9,FALSE)</f>
        <v>BLK 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60">
        <f t="shared" si="1"/>
        <v>300</v>
      </c>
      <c r="B305" s="62" t="s">
        <v>904</v>
      </c>
      <c r="C305" s="62" t="s">
        <v>908</v>
      </c>
      <c r="D305" s="105"/>
      <c r="E305" s="62" t="s">
        <v>906</v>
      </c>
      <c r="F305" s="60"/>
      <c r="G305" s="92"/>
      <c r="H305" s="60"/>
      <c r="I305" s="60"/>
      <c r="J305" s="60"/>
      <c r="K305" s="71" t="str">
        <f>VLOOKUP(E305,'HEAD OF THE FAMILY'!$B$6:$J1851,9,FALSE)</f>
        <v>BLK 5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60">
        <f t="shared" si="1"/>
        <v>301</v>
      </c>
      <c r="B306" s="62" t="s">
        <v>910</v>
      </c>
      <c r="C306" s="62" t="s">
        <v>911</v>
      </c>
      <c r="D306" s="62" t="s">
        <v>200</v>
      </c>
      <c r="E306" s="62" t="s">
        <v>912</v>
      </c>
      <c r="F306" s="60"/>
      <c r="G306" s="92"/>
      <c r="H306" s="60"/>
      <c r="I306" s="60"/>
      <c r="J306" s="60"/>
      <c r="K306" s="71" t="str">
        <f>VLOOKUP(E306,'HEAD OF THE FAMILY'!$B$6:$J1851,9,FALSE)</f>
        <v>BLK 5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60">
        <f t="shared" si="1"/>
        <v>302</v>
      </c>
      <c r="B307" s="62" t="s">
        <v>913</v>
      </c>
      <c r="C307" s="62" t="s">
        <v>914</v>
      </c>
      <c r="D307" s="62" t="s">
        <v>200</v>
      </c>
      <c r="E307" s="62" t="s">
        <v>912</v>
      </c>
      <c r="F307" s="60"/>
      <c r="G307" s="92"/>
      <c r="H307" s="60"/>
      <c r="I307" s="60"/>
      <c r="J307" s="60"/>
      <c r="K307" s="71" t="str">
        <f>VLOOKUP(E307,'HEAD OF THE FAMILY'!$B$6:$J1851,9,FALSE)</f>
        <v>BLK 5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60">
        <f t="shared" si="1"/>
        <v>303</v>
      </c>
      <c r="B308" s="62" t="s">
        <v>904</v>
      </c>
      <c r="C308" s="62" t="s">
        <v>916</v>
      </c>
      <c r="D308" s="105"/>
      <c r="E308" s="62" t="s">
        <v>917</v>
      </c>
      <c r="F308" s="60"/>
      <c r="G308" s="92"/>
      <c r="H308" s="60"/>
      <c r="I308" s="60"/>
      <c r="J308" s="60"/>
      <c r="K308" s="71" t="str">
        <f>VLOOKUP(E308,'HEAD OF THE FAMILY'!$B$6:$J1851,9,FALSE)</f>
        <v>#N/A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60">
        <f t="shared" si="1"/>
        <v>304</v>
      </c>
      <c r="B309" s="62" t="s">
        <v>904</v>
      </c>
      <c r="C309" s="62" t="s">
        <v>507</v>
      </c>
      <c r="D309" s="105"/>
      <c r="E309" s="62" t="s">
        <v>917</v>
      </c>
      <c r="F309" s="60"/>
      <c r="G309" s="92"/>
      <c r="H309" s="60"/>
      <c r="I309" s="60"/>
      <c r="J309" s="60"/>
      <c r="K309" s="71" t="str">
        <f>VLOOKUP(E309,'HEAD OF THE FAMILY'!$B$6:$J1851,9,FALSE)</f>
        <v>#N/A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60">
        <f t="shared" si="1"/>
        <v>305</v>
      </c>
      <c r="B310" s="62" t="s">
        <v>904</v>
      </c>
      <c r="C310" s="62" t="s">
        <v>919</v>
      </c>
      <c r="D310" s="105"/>
      <c r="E310" s="62" t="s">
        <v>917</v>
      </c>
      <c r="F310" s="60"/>
      <c r="G310" s="92"/>
      <c r="H310" s="60"/>
      <c r="I310" s="60"/>
      <c r="J310" s="60"/>
      <c r="K310" s="71" t="str">
        <f>VLOOKUP(E310,'HEAD OF THE FAMILY'!$B$6:$J1851,9,FALSE)</f>
        <v>#N/A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60">
        <f t="shared" si="1"/>
        <v>306</v>
      </c>
      <c r="B311" s="62" t="s">
        <v>904</v>
      </c>
      <c r="C311" s="62" t="s">
        <v>920</v>
      </c>
      <c r="D311" s="105"/>
      <c r="E311" s="62" t="s">
        <v>917</v>
      </c>
      <c r="F311" s="60"/>
      <c r="G311" s="92"/>
      <c r="H311" s="60"/>
      <c r="I311" s="60"/>
      <c r="J311" s="60"/>
      <c r="K311" s="71" t="str">
        <f>VLOOKUP(E311,'HEAD OF THE FAMILY'!$B$6:$J1851,9,FALSE)</f>
        <v>#N/A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60">
        <f t="shared" si="1"/>
        <v>307</v>
      </c>
      <c r="B312" s="62" t="s">
        <v>922</v>
      </c>
      <c r="C312" s="62" t="s">
        <v>923</v>
      </c>
      <c r="D312" s="62" t="s">
        <v>128</v>
      </c>
      <c r="E312" s="62" t="s">
        <v>924</v>
      </c>
      <c r="F312" s="60"/>
      <c r="G312" s="92"/>
      <c r="H312" s="60"/>
      <c r="I312" s="60"/>
      <c r="J312" s="60"/>
      <c r="K312" s="71" t="str">
        <f>VLOOKUP(E312,'HEAD OF THE FAMILY'!$B$6:$J1851,9,FALSE)</f>
        <v>BLK 5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60">
        <f t="shared" si="1"/>
        <v>308</v>
      </c>
      <c r="B313" s="62" t="s">
        <v>922</v>
      </c>
      <c r="C313" s="62" t="s">
        <v>926</v>
      </c>
      <c r="D313" s="62" t="s">
        <v>128</v>
      </c>
      <c r="E313" s="62" t="s">
        <v>924</v>
      </c>
      <c r="F313" s="60"/>
      <c r="G313" s="92"/>
      <c r="H313" s="60"/>
      <c r="I313" s="60"/>
      <c r="J313" s="60"/>
      <c r="K313" s="71" t="str">
        <f>VLOOKUP(E313,'HEAD OF THE FAMILY'!$B$6:$J1851,9,FALSE)</f>
        <v>BLK 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60">
        <f t="shared" si="1"/>
        <v>309</v>
      </c>
      <c r="B314" s="62" t="s">
        <v>922</v>
      </c>
      <c r="C314" s="62" t="s">
        <v>928</v>
      </c>
      <c r="D314" s="62" t="s">
        <v>85</v>
      </c>
      <c r="E314" s="62" t="s">
        <v>929</v>
      </c>
      <c r="F314" s="60"/>
      <c r="G314" s="92"/>
      <c r="H314" s="60"/>
      <c r="I314" s="60"/>
      <c r="J314" s="60"/>
      <c r="K314" s="71" t="str">
        <f>VLOOKUP(E314,'HEAD OF THE FAMILY'!$B$6:$J1851,9,FALSE)</f>
        <v>BLK 5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60">
        <f t="shared" si="1"/>
        <v>310</v>
      </c>
      <c r="B315" s="62" t="s">
        <v>932</v>
      </c>
      <c r="C315" s="62" t="s">
        <v>933</v>
      </c>
      <c r="D315" s="105"/>
      <c r="E315" s="62" t="s">
        <v>934</v>
      </c>
      <c r="F315" s="60"/>
      <c r="G315" s="92"/>
      <c r="H315" s="60"/>
      <c r="I315" s="60"/>
      <c r="J315" s="60"/>
      <c r="K315" s="71" t="str">
        <f>VLOOKUP(E315,'HEAD OF THE FAMILY'!$B$6:$J1851,9,FALSE)</f>
        <v>BLK 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60">
        <f t="shared" si="1"/>
        <v>311</v>
      </c>
      <c r="B316" s="62" t="s">
        <v>935</v>
      </c>
      <c r="C316" s="62" t="s">
        <v>936</v>
      </c>
      <c r="D316" s="62" t="s">
        <v>58</v>
      </c>
      <c r="E316" s="62" t="s">
        <v>934</v>
      </c>
      <c r="F316" s="60"/>
      <c r="G316" s="92"/>
      <c r="H316" s="60"/>
      <c r="I316" s="60"/>
      <c r="J316" s="60"/>
      <c r="K316" s="71" t="str">
        <f>VLOOKUP(E316,'HEAD OF THE FAMILY'!$B$6:$J1851,9,FALSE)</f>
        <v>BLK 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60">
        <f t="shared" si="1"/>
        <v>312</v>
      </c>
      <c r="B317" s="62" t="s">
        <v>932</v>
      </c>
      <c r="C317" s="62" t="s">
        <v>938</v>
      </c>
      <c r="D317" s="62" t="s">
        <v>71</v>
      </c>
      <c r="E317" s="62" t="s">
        <v>934</v>
      </c>
      <c r="F317" s="60"/>
      <c r="G317" s="92"/>
      <c r="H317" s="60"/>
      <c r="I317" s="60"/>
      <c r="J317" s="60"/>
      <c r="K317" s="71" t="str">
        <f>VLOOKUP(E317,'HEAD OF THE FAMILY'!$B$6:$J1851,9,FALSE)</f>
        <v>BLK 5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60">
        <f t="shared" si="1"/>
        <v>313</v>
      </c>
      <c r="B318" s="62" t="s">
        <v>939</v>
      </c>
      <c r="C318" s="62" t="s">
        <v>940</v>
      </c>
      <c r="D318" s="105"/>
      <c r="E318" s="62" t="s">
        <v>579</v>
      </c>
      <c r="F318" s="60"/>
      <c r="G318" s="92"/>
      <c r="H318" s="60"/>
      <c r="I318" s="60"/>
      <c r="J318" s="60"/>
      <c r="K318" s="71" t="str">
        <f>VLOOKUP(E318,'HEAD OF THE FAMILY'!$B$6:$J1851,9,FALSE)</f>
        <v>BLK 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60">
        <f t="shared" si="1"/>
        <v>314</v>
      </c>
      <c r="B319" s="62" t="s">
        <v>939</v>
      </c>
      <c r="C319" s="62" t="s">
        <v>943</v>
      </c>
      <c r="D319" s="105"/>
      <c r="E319" s="62" t="s">
        <v>579</v>
      </c>
      <c r="F319" s="60"/>
      <c r="G319" s="92"/>
      <c r="H319" s="60"/>
      <c r="I319" s="60"/>
      <c r="J319" s="60"/>
      <c r="K319" s="71" t="str">
        <f>VLOOKUP(E319,'HEAD OF THE FAMILY'!$B$6:$J1851,9,FALSE)</f>
        <v>BLK 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60">
        <f t="shared" si="1"/>
        <v>315</v>
      </c>
      <c r="B320" s="62" t="s">
        <v>888</v>
      </c>
      <c r="C320" s="62" t="s">
        <v>945</v>
      </c>
      <c r="D320" s="105"/>
      <c r="E320" s="62" t="s">
        <v>570</v>
      </c>
      <c r="F320" s="60"/>
      <c r="G320" s="92"/>
      <c r="H320" s="60"/>
      <c r="I320" s="60"/>
      <c r="J320" s="60"/>
      <c r="K320" s="71" t="str">
        <f>VLOOKUP(E320,'HEAD OF THE FAMILY'!$B$6:$J1851,9,FALSE)</f>
        <v>BLK 5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60">
        <f t="shared" si="1"/>
        <v>316</v>
      </c>
      <c r="B321" s="62" t="s">
        <v>939</v>
      </c>
      <c r="C321" s="62" t="s">
        <v>947</v>
      </c>
      <c r="D321" s="62" t="s">
        <v>894</v>
      </c>
      <c r="E321" s="62" t="s">
        <v>570</v>
      </c>
      <c r="F321" s="60"/>
      <c r="G321" s="92"/>
      <c r="H321" s="60"/>
      <c r="I321" s="60"/>
      <c r="J321" s="60"/>
      <c r="K321" s="71" t="str">
        <f>VLOOKUP(E321,'HEAD OF THE FAMILY'!$B$6:$J1851,9,FALSE)</f>
        <v>BLK 5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60">
        <f t="shared" si="1"/>
        <v>317</v>
      </c>
      <c r="B322" s="62" t="s">
        <v>949</v>
      </c>
      <c r="C322" s="62" t="s">
        <v>950</v>
      </c>
      <c r="D322" s="62" t="s">
        <v>95</v>
      </c>
      <c r="E322" s="62" t="s">
        <v>951</v>
      </c>
      <c r="F322" s="60"/>
      <c r="G322" s="92"/>
      <c r="H322" s="60"/>
      <c r="I322" s="60"/>
      <c r="J322" s="60"/>
      <c r="K322" s="71" t="str">
        <f>VLOOKUP(E322,'HEAD OF THE FAMILY'!$B$6:$J1851,9,FALSE)</f>
        <v>BLK 5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60">
        <f t="shared" si="1"/>
        <v>318</v>
      </c>
      <c r="B323" s="62" t="s">
        <v>949</v>
      </c>
      <c r="C323" s="62" t="s">
        <v>953</v>
      </c>
      <c r="D323" s="62" t="s">
        <v>95</v>
      </c>
      <c r="E323" s="62" t="s">
        <v>951</v>
      </c>
      <c r="F323" s="60"/>
      <c r="G323" s="92"/>
      <c r="H323" s="60"/>
      <c r="I323" s="60"/>
      <c r="J323" s="60"/>
      <c r="K323" s="71" t="str">
        <f>VLOOKUP(E323,'HEAD OF THE FAMILY'!$B$6:$J1851,9,FALSE)</f>
        <v>BLK 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60">
        <f t="shared" si="1"/>
        <v>319</v>
      </c>
      <c r="B324" s="62" t="s">
        <v>949</v>
      </c>
      <c r="C324" s="62" t="s">
        <v>954</v>
      </c>
      <c r="D324" s="62" t="s">
        <v>95</v>
      </c>
      <c r="E324" s="62" t="s">
        <v>951</v>
      </c>
      <c r="F324" s="60"/>
      <c r="G324" s="92"/>
      <c r="H324" s="60"/>
      <c r="I324" s="60"/>
      <c r="J324" s="60"/>
      <c r="K324" s="71" t="str">
        <f>VLOOKUP(E324,'HEAD OF THE FAMILY'!$B$6:$J1851,9,FALSE)</f>
        <v>BLK 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60">
        <f t="shared" si="1"/>
        <v>320</v>
      </c>
      <c r="B325" s="62" t="s">
        <v>949</v>
      </c>
      <c r="C325" s="62" t="s">
        <v>955</v>
      </c>
      <c r="D325" s="62" t="s">
        <v>95</v>
      </c>
      <c r="E325" s="62" t="s">
        <v>951</v>
      </c>
      <c r="F325" s="60"/>
      <c r="G325" s="92"/>
      <c r="H325" s="60"/>
      <c r="I325" s="60"/>
      <c r="J325" s="60"/>
      <c r="K325" s="71" t="str">
        <f>VLOOKUP(E325,'HEAD OF THE FAMILY'!$B$6:$J1851,9,FALSE)</f>
        <v>BLK 5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60">
        <f t="shared" si="1"/>
        <v>321</v>
      </c>
      <c r="B326" s="62" t="s">
        <v>949</v>
      </c>
      <c r="C326" s="62" t="s">
        <v>956</v>
      </c>
      <c r="D326" s="62" t="s">
        <v>957</v>
      </c>
      <c r="E326" s="62" t="s">
        <v>951</v>
      </c>
      <c r="F326" s="60"/>
      <c r="G326" s="92"/>
      <c r="H326" s="60"/>
      <c r="I326" s="60"/>
      <c r="J326" s="60"/>
      <c r="K326" s="71" t="str">
        <f>VLOOKUP(E326,'HEAD OF THE FAMILY'!$B$6:$J1851,9,FALSE)</f>
        <v>BLK 5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75">
        <v>322.0</v>
      </c>
      <c r="B327" s="62" t="s">
        <v>806</v>
      </c>
      <c r="C327" s="62" t="s">
        <v>959</v>
      </c>
      <c r="D327" s="62" t="s">
        <v>469</v>
      </c>
      <c r="E327" s="62" t="s">
        <v>282</v>
      </c>
      <c r="F327" s="60"/>
      <c r="G327" s="92"/>
      <c r="H327" s="60"/>
      <c r="I327" s="60"/>
      <c r="J327" s="60"/>
      <c r="K327" s="71" t="str">
        <f>VLOOKUP(E327,'HEAD OF THE FAMILY'!$B$6:$J1851,9,FALSE)</f>
        <v>BLK 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60">
        <f t="shared" ref="A328:A366" si="2">IF(B328="","",ROW()-5)</f>
        <v>323</v>
      </c>
      <c r="B328" s="62" t="s">
        <v>962</v>
      </c>
      <c r="C328" s="62" t="s">
        <v>963</v>
      </c>
      <c r="D328" s="105"/>
      <c r="E328" s="62" t="s">
        <v>964</v>
      </c>
      <c r="F328" s="60"/>
      <c r="G328" s="92"/>
      <c r="H328" s="60"/>
      <c r="I328" s="60"/>
      <c r="J328" s="60"/>
      <c r="K328" s="71" t="str">
        <f>VLOOKUP(E328,'HEAD OF THE FAMILY'!$B$6:$J1851,9,FALSE)</f>
        <v>BLK 5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60">
        <f t="shared" si="2"/>
        <v>324</v>
      </c>
      <c r="B329" s="62" t="s">
        <v>962</v>
      </c>
      <c r="C329" s="62" t="s">
        <v>967</v>
      </c>
      <c r="D329" s="62" t="s">
        <v>968</v>
      </c>
      <c r="E329" s="62" t="s">
        <v>969</v>
      </c>
      <c r="F329" s="60"/>
      <c r="G329" s="92"/>
      <c r="H329" s="60"/>
      <c r="I329" s="60"/>
      <c r="J329" s="60"/>
      <c r="K329" s="71" t="str">
        <f>VLOOKUP(E329,'HEAD OF THE FAMILY'!$B$6:$J1851,9,FALSE)</f>
        <v>BLK 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60">
        <f t="shared" si="2"/>
        <v>325</v>
      </c>
      <c r="B330" s="62" t="s">
        <v>962</v>
      </c>
      <c r="C330" s="62" t="s">
        <v>970</v>
      </c>
      <c r="D330" s="62" t="s">
        <v>968</v>
      </c>
      <c r="E330" s="62" t="s">
        <v>969</v>
      </c>
      <c r="F330" s="60"/>
      <c r="G330" s="92"/>
      <c r="H330" s="60"/>
      <c r="I330" s="60"/>
      <c r="J330" s="60"/>
      <c r="K330" s="71" t="str">
        <f>VLOOKUP(E330,'HEAD OF THE FAMILY'!$B$6:$J1851,9,FALSE)</f>
        <v>BLK 5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60">
        <f t="shared" si="2"/>
        <v>326</v>
      </c>
      <c r="B331" s="62" t="s">
        <v>962</v>
      </c>
      <c r="C331" s="62" t="s">
        <v>973</v>
      </c>
      <c r="D331" s="62" t="s">
        <v>968</v>
      </c>
      <c r="E331" s="62" t="s">
        <v>701</v>
      </c>
      <c r="F331" s="60"/>
      <c r="G331" s="92"/>
      <c r="H331" s="60"/>
      <c r="I331" s="60"/>
      <c r="J331" s="60"/>
      <c r="K331" s="71" t="str">
        <f>VLOOKUP(E331,'HEAD OF THE FAMILY'!$B$6:$J1851,9,FALSE)</f>
        <v>BLK 5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60">
        <f t="shared" si="2"/>
        <v>327</v>
      </c>
      <c r="B332" s="62" t="s">
        <v>962</v>
      </c>
      <c r="C332" s="62" t="s">
        <v>975</v>
      </c>
      <c r="D332" s="62" t="s">
        <v>212</v>
      </c>
      <c r="E332" s="62" t="s">
        <v>701</v>
      </c>
      <c r="F332" s="60"/>
      <c r="G332" s="92"/>
      <c r="H332" s="60"/>
      <c r="I332" s="60"/>
      <c r="J332" s="60"/>
      <c r="K332" s="71" t="str">
        <f>VLOOKUP(E332,'HEAD OF THE FAMILY'!$B$6:$J1851,9,FALSE)</f>
        <v>BLK 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60">
        <f t="shared" si="2"/>
        <v>328</v>
      </c>
      <c r="B333" s="62" t="s">
        <v>962</v>
      </c>
      <c r="C333" s="62" t="s">
        <v>976</v>
      </c>
      <c r="D333" s="62" t="s">
        <v>212</v>
      </c>
      <c r="E333" s="62" t="s">
        <v>701</v>
      </c>
      <c r="F333" s="60"/>
      <c r="G333" s="92"/>
      <c r="H333" s="60"/>
      <c r="I333" s="60"/>
      <c r="J333" s="60"/>
      <c r="K333" s="71" t="str">
        <f>VLOOKUP(E333,'HEAD OF THE FAMILY'!$B$6:$J1851,9,FALSE)</f>
        <v>BLK 5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60">
        <f t="shared" si="2"/>
        <v>329</v>
      </c>
      <c r="B334" s="62" t="s">
        <v>949</v>
      </c>
      <c r="C334" s="62" t="s">
        <v>979</v>
      </c>
      <c r="D334" s="62" t="s">
        <v>95</v>
      </c>
      <c r="E334" s="62" t="s">
        <v>677</v>
      </c>
      <c r="F334" s="60"/>
      <c r="G334" s="92"/>
      <c r="H334" s="60"/>
      <c r="I334" s="60"/>
      <c r="J334" s="60"/>
      <c r="K334" s="71" t="str">
        <f>VLOOKUP(E334,'HEAD OF THE FAMILY'!$B$6:$J1851,9,FALSE)</f>
        <v>BLK 5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60">
        <f t="shared" si="2"/>
        <v>330</v>
      </c>
      <c r="B335" s="62" t="s">
        <v>980</v>
      </c>
      <c r="C335" s="62" t="s">
        <v>981</v>
      </c>
      <c r="D335" s="62" t="s">
        <v>212</v>
      </c>
      <c r="E335" s="62" t="s">
        <v>982</v>
      </c>
      <c r="F335" s="60"/>
      <c r="G335" s="92"/>
      <c r="H335" s="60"/>
      <c r="I335" s="60"/>
      <c r="J335" s="60"/>
      <c r="K335" s="71" t="str">
        <f>VLOOKUP(E335,'HEAD OF THE FAMILY'!$B$6:$J1851,9,FALSE)</f>
        <v>BLK 5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60">
        <f t="shared" si="2"/>
        <v>331</v>
      </c>
      <c r="B336" s="62" t="s">
        <v>980</v>
      </c>
      <c r="C336" s="62" t="s">
        <v>985</v>
      </c>
      <c r="D336" s="62" t="s">
        <v>212</v>
      </c>
      <c r="E336" s="62" t="s">
        <v>982</v>
      </c>
      <c r="F336" s="60"/>
      <c r="G336" s="92"/>
      <c r="H336" s="60"/>
      <c r="I336" s="60"/>
      <c r="J336" s="60"/>
      <c r="K336" s="71" t="str">
        <f>VLOOKUP(E336,'HEAD OF THE FAMILY'!$B$6:$J1851,9,FALSE)</f>
        <v>BLK 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60">
        <f t="shared" si="2"/>
        <v>332</v>
      </c>
      <c r="B337" s="62" t="s">
        <v>980</v>
      </c>
      <c r="C337" s="62" t="s">
        <v>986</v>
      </c>
      <c r="D337" s="62" t="s">
        <v>212</v>
      </c>
      <c r="E337" s="62" t="s">
        <v>982</v>
      </c>
      <c r="F337" s="60"/>
      <c r="G337" s="92"/>
      <c r="H337" s="60"/>
      <c r="I337" s="60"/>
      <c r="J337" s="60"/>
      <c r="K337" s="71" t="str">
        <f>VLOOKUP(E337,'HEAD OF THE FAMILY'!$B$6:$J1851,9,FALSE)</f>
        <v>BLK 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60">
        <f t="shared" si="2"/>
        <v>333</v>
      </c>
      <c r="B338" s="62" t="s">
        <v>980</v>
      </c>
      <c r="C338" s="62" t="s">
        <v>989</v>
      </c>
      <c r="D338" s="62" t="s">
        <v>212</v>
      </c>
      <c r="E338" s="62" t="s">
        <v>982</v>
      </c>
      <c r="F338" s="60"/>
      <c r="G338" s="92"/>
      <c r="H338" s="60"/>
      <c r="I338" s="60"/>
      <c r="J338" s="60"/>
      <c r="K338" s="71" t="str">
        <f>VLOOKUP(E338,'HEAD OF THE FAMILY'!$B$6:$J1851,9,FALSE)</f>
        <v>BLK 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60">
        <f t="shared" si="2"/>
        <v>334</v>
      </c>
      <c r="B339" s="62" t="s">
        <v>980</v>
      </c>
      <c r="C339" s="62" t="s">
        <v>991</v>
      </c>
      <c r="D339" s="62" t="s">
        <v>212</v>
      </c>
      <c r="E339" s="62" t="s">
        <v>982</v>
      </c>
      <c r="F339" s="60"/>
      <c r="G339" s="92"/>
      <c r="H339" s="60"/>
      <c r="I339" s="60"/>
      <c r="J339" s="60"/>
      <c r="K339" s="71" t="str">
        <f>VLOOKUP(E339,'HEAD OF THE FAMILY'!$B$6:$J1851,9,FALSE)</f>
        <v>BLK 5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60">
        <f t="shared" si="2"/>
        <v>335</v>
      </c>
      <c r="B340" s="62" t="s">
        <v>993</v>
      </c>
      <c r="C340" s="62" t="s">
        <v>994</v>
      </c>
      <c r="D340" s="62" t="s">
        <v>212</v>
      </c>
      <c r="E340" s="62" t="s">
        <v>995</v>
      </c>
      <c r="F340" s="60"/>
      <c r="G340" s="92"/>
      <c r="H340" s="60"/>
      <c r="I340" s="60"/>
      <c r="J340" s="60"/>
      <c r="K340" s="71" t="str">
        <f>VLOOKUP(E340,'HEAD OF THE FAMILY'!$B$6:$J1851,9,FALSE)</f>
        <v>BLK 5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60">
        <f t="shared" si="2"/>
        <v>336</v>
      </c>
      <c r="B341" s="62" t="s">
        <v>993</v>
      </c>
      <c r="C341" s="62" t="s">
        <v>997</v>
      </c>
      <c r="D341" s="62" t="s">
        <v>212</v>
      </c>
      <c r="E341" s="62" t="s">
        <v>995</v>
      </c>
      <c r="F341" s="60"/>
      <c r="G341" s="92"/>
      <c r="H341" s="60"/>
      <c r="I341" s="60"/>
      <c r="J341" s="60"/>
      <c r="K341" s="71" t="str">
        <f>VLOOKUP(E341,'HEAD OF THE FAMILY'!$B$6:$J1851,9,FALSE)</f>
        <v>BLK 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60">
        <f t="shared" si="2"/>
        <v>337</v>
      </c>
      <c r="B342" s="62" t="s">
        <v>993</v>
      </c>
      <c r="C342" s="62" t="s">
        <v>999</v>
      </c>
      <c r="D342" s="62" t="s">
        <v>212</v>
      </c>
      <c r="E342" s="62" t="s">
        <v>995</v>
      </c>
      <c r="F342" s="60"/>
      <c r="G342" s="92"/>
      <c r="H342" s="60"/>
      <c r="I342" s="60"/>
      <c r="J342" s="60"/>
      <c r="K342" s="71" t="str">
        <f>VLOOKUP(E342,'HEAD OF THE FAMILY'!$B$6:$J1851,9,FALSE)</f>
        <v>BLK 5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60">
        <f t="shared" si="2"/>
        <v>338</v>
      </c>
      <c r="B343" s="62" t="s">
        <v>993</v>
      </c>
      <c r="C343" s="62" t="s">
        <v>1002</v>
      </c>
      <c r="D343" s="62" t="s">
        <v>212</v>
      </c>
      <c r="E343" s="62" t="s">
        <v>995</v>
      </c>
      <c r="F343" s="60"/>
      <c r="G343" s="92"/>
      <c r="H343" s="60"/>
      <c r="I343" s="60"/>
      <c r="J343" s="60"/>
      <c r="K343" s="71" t="str">
        <f>VLOOKUP(E343,'HEAD OF THE FAMILY'!$B$6:$J1851,9,FALSE)</f>
        <v>BLK 5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60">
        <f t="shared" si="2"/>
        <v>339</v>
      </c>
      <c r="B344" s="62" t="s">
        <v>993</v>
      </c>
      <c r="C344" s="62" t="s">
        <v>1003</v>
      </c>
      <c r="D344" s="62" t="s">
        <v>212</v>
      </c>
      <c r="E344" s="62" t="s">
        <v>995</v>
      </c>
      <c r="F344" s="60"/>
      <c r="G344" s="92"/>
      <c r="H344" s="60"/>
      <c r="I344" s="60"/>
      <c r="J344" s="60"/>
      <c r="K344" s="71" t="str">
        <f>VLOOKUP(E344,'HEAD OF THE FAMILY'!$B$6:$J1851,9,FALSE)</f>
        <v>BLK 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60">
        <f t="shared" si="2"/>
        <v>340</v>
      </c>
      <c r="B345" s="62" t="s">
        <v>993</v>
      </c>
      <c r="C345" s="62" t="s">
        <v>1006</v>
      </c>
      <c r="D345" s="62" t="s">
        <v>212</v>
      </c>
      <c r="E345" s="62" t="s">
        <v>995</v>
      </c>
      <c r="F345" s="60"/>
      <c r="G345" s="92"/>
      <c r="H345" s="60"/>
      <c r="I345" s="60"/>
      <c r="J345" s="60"/>
      <c r="K345" s="71" t="str">
        <f>VLOOKUP(E345,'HEAD OF THE FAMILY'!$B$6:$J1851,9,FALSE)</f>
        <v>BLK 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60">
        <f t="shared" si="2"/>
        <v>341</v>
      </c>
      <c r="B346" s="62" t="s">
        <v>993</v>
      </c>
      <c r="C346" s="62" t="s">
        <v>1008</v>
      </c>
      <c r="D346" s="62" t="s">
        <v>212</v>
      </c>
      <c r="E346" s="62" t="s">
        <v>995</v>
      </c>
      <c r="F346" s="60"/>
      <c r="G346" s="92"/>
      <c r="H346" s="60"/>
      <c r="I346" s="60"/>
      <c r="J346" s="60"/>
      <c r="K346" s="71" t="str">
        <f>VLOOKUP(E346,'HEAD OF THE FAMILY'!$B$6:$J1851,9,FALSE)</f>
        <v>BLK 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60">
        <f t="shared" si="2"/>
        <v>342</v>
      </c>
      <c r="B347" s="62" t="s">
        <v>1009</v>
      </c>
      <c r="C347" s="62" t="s">
        <v>1010</v>
      </c>
      <c r="D347" s="62" t="s">
        <v>894</v>
      </c>
      <c r="E347" s="62" t="s">
        <v>1011</v>
      </c>
      <c r="F347" s="60"/>
      <c r="G347" s="92"/>
      <c r="H347" s="60"/>
      <c r="I347" s="60"/>
      <c r="J347" s="60"/>
      <c r="K347" s="71" t="str">
        <f>VLOOKUP(E347,'HEAD OF THE FAMILY'!$B$6:$J1851,9,FALSE)</f>
        <v>BLK 5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60">
        <f t="shared" si="2"/>
        <v>343</v>
      </c>
      <c r="B348" s="62" t="s">
        <v>1009</v>
      </c>
      <c r="C348" s="62" t="s">
        <v>1013</v>
      </c>
      <c r="D348" s="62" t="s">
        <v>894</v>
      </c>
      <c r="E348" s="62" t="s">
        <v>1011</v>
      </c>
      <c r="F348" s="60"/>
      <c r="G348" s="92"/>
      <c r="H348" s="60"/>
      <c r="I348" s="60"/>
      <c r="J348" s="60"/>
      <c r="K348" s="71" t="str">
        <f>VLOOKUP(E348,'HEAD OF THE FAMILY'!$B$6:$J1851,9,FALSE)</f>
        <v>BLK 5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60">
        <f t="shared" si="2"/>
        <v>344</v>
      </c>
      <c r="B349" s="62" t="s">
        <v>1015</v>
      </c>
      <c r="C349" s="62" t="s">
        <v>205</v>
      </c>
      <c r="D349" s="105"/>
      <c r="E349" s="62" t="s">
        <v>1017</v>
      </c>
      <c r="F349" s="60"/>
      <c r="G349" s="92"/>
      <c r="H349" s="60"/>
      <c r="I349" s="60"/>
      <c r="J349" s="60"/>
      <c r="K349" s="71" t="str">
        <f>VLOOKUP(E349,'HEAD OF THE FAMILY'!$B$6:$J1851,9,FALSE)</f>
        <v>#N/A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60">
        <f t="shared" si="2"/>
        <v>345</v>
      </c>
      <c r="B350" s="62" t="s">
        <v>1015</v>
      </c>
      <c r="C350" s="62" t="s">
        <v>1018</v>
      </c>
      <c r="D350" s="105"/>
      <c r="E350" s="62" t="s">
        <v>1017</v>
      </c>
      <c r="F350" s="60"/>
      <c r="G350" s="92"/>
      <c r="H350" s="60"/>
      <c r="I350" s="60"/>
      <c r="J350" s="60"/>
      <c r="K350" s="71" t="str">
        <f>VLOOKUP(E350,'HEAD OF THE FAMILY'!$B$6:$J1851,9,FALSE)</f>
        <v>#N/A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60">
        <f t="shared" si="2"/>
        <v>346</v>
      </c>
      <c r="B351" s="62" t="s">
        <v>1015</v>
      </c>
      <c r="C351" s="62" t="s">
        <v>1021</v>
      </c>
      <c r="D351" s="105"/>
      <c r="E351" s="62" t="s">
        <v>1017</v>
      </c>
      <c r="F351" s="60"/>
      <c r="G351" s="92"/>
      <c r="H351" s="60"/>
      <c r="I351" s="60"/>
      <c r="J351" s="60"/>
      <c r="K351" s="71" t="str">
        <f>VLOOKUP(E351,'HEAD OF THE FAMILY'!$B$6:$J1851,9,FALSE)</f>
        <v>#N/A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60">
        <f t="shared" si="2"/>
        <v>347</v>
      </c>
      <c r="B352" s="62" t="s">
        <v>1023</v>
      </c>
      <c r="C352" s="62" t="s">
        <v>1024</v>
      </c>
      <c r="D352" s="62" t="s">
        <v>894</v>
      </c>
      <c r="E352" s="62" t="s">
        <v>813</v>
      </c>
      <c r="F352" s="60"/>
      <c r="G352" s="92"/>
      <c r="H352" s="60"/>
      <c r="I352" s="60"/>
      <c r="J352" s="60"/>
      <c r="K352" s="71" t="str">
        <f>VLOOKUP(E352,'HEAD OF THE FAMILY'!$B$6:$J1851,9,FALSE)</f>
        <v>BLK 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60">
        <f t="shared" si="2"/>
        <v>348</v>
      </c>
      <c r="B353" s="62" t="s">
        <v>1023</v>
      </c>
      <c r="C353" s="62" t="s">
        <v>1026</v>
      </c>
      <c r="D353" s="62" t="s">
        <v>894</v>
      </c>
      <c r="E353" s="62" t="s">
        <v>813</v>
      </c>
      <c r="F353" s="60"/>
      <c r="G353" s="92"/>
      <c r="H353" s="60"/>
      <c r="I353" s="60"/>
      <c r="J353" s="60"/>
      <c r="K353" s="71" t="str">
        <f>VLOOKUP(E353,'HEAD OF THE FAMILY'!$B$6:$J1851,9,FALSE)</f>
        <v>BLK 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60">
        <f t="shared" si="2"/>
        <v>349</v>
      </c>
      <c r="B354" s="62" t="s">
        <v>1023</v>
      </c>
      <c r="C354" s="62" t="s">
        <v>1027</v>
      </c>
      <c r="D354" s="62" t="s">
        <v>894</v>
      </c>
      <c r="E354" s="62" t="s">
        <v>813</v>
      </c>
      <c r="F354" s="60"/>
      <c r="G354" s="92"/>
      <c r="H354" s="60"/>
      <c r="I354" s="60"/>
      <c r="J354" s="60"/>
      <c r="K354" s="71" t="str">
        <f>VLOOKUP(E354,'HEAD OF THE FAMILY'!$B$6:$J1851,9,FALSE)</f>
        <v>BLK 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60">
        <f t="shared" si="2"/>
        <v>350</v>
      </c>
      <c r="B355" s="62" t="s">
        <v>725</v>
      </c>
      <c r="C355" s="62" t="s">
        <v>1029</v>
      </c>
      <c r="D355" s="105"/>
      <c r="E355" s="62" t="s">
        <v>1030</v>
      </c>
      <c r="F355" s="60"/>
      <c r="G355" s="92"/>
      <c r="H355" s="60"/>
      <c r="I355" s="60"/>
      <c r="J355" s="60"/>
      <c r="K355" s="71" t="str">
        <f>VLOOKUP(E355,'HEAD OF THE FAMILY'!$B$6:$J1851,9,FALSE)</f>
        <v>BLK 5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60">
        <f t="shared" si="2"/>
        <v>351</v>
      </c>
      <c r="B356" s="62" t="s">
        <v>725</v>
      </c>
      <c r="C356" s="62" t="s">
        <v>1032</v>
      </c>
      <c r="D356" s="105"/>
      <c r="E356" s="62" t="s">
        <v>1030</v>
      </c>
      <c r="F356" s="60"/>
      <c r="G356" s="92"/>
      <c r="H356" s="60"/>
      <c r="I356" s="60"/>
      <c r="J356" s="60"/>
      <c r="K356" s="71" t="str">
        <f>VLOOKUP(E356,'HEAD OF THE FAMILY'!$B$6:$J1851,9,FALSE)</f>
        <v>BLK 5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60">
        <f t="shared" si="2"/>
        <v>352</v>
      </c>
      <c r="B357" s="62" t="s">
        <v>690</v>
      </c>
      <c r="C357" s="62" t="s">
        <v>1034</v>
      </c>
      <c r="D357" s="105"/>
      <c r="E357" s="62" t="s">
        <v>1035</v>
      </c>
      <c r="F357" s="60"/>
      <c r="G357" s="92"/>
      <c r="H357" s="60"/>
      <c r="I357" s="60"/>
      <c r="J357" s="60"/>
      <c r="K357" s="71" t="str">
        <f>VLOOKUP(E357,'HEAD OF THE FAMILY'!$B$6:$J1851,9,FALSE)</f>
        <v>BLK 5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60">
        <f t="shared" si="2"/>
        <v>353</v>
      </c>
      <c r="B358" s="62" t="s">
        <v>690</v>
      </c>
      <c r="C358" s="62" t="s">
        <v>1036</v>
      </c>
      <c r="D358" s="105"/>
      <c r="E358" s="62" t="s">
        <v>1035</v>
      </c>
      <c r="F358" s="60"/>
      <c r="G358" s="92"/>
      <c r="H358" s="60"/>
      <c r="I358" s="60"/>
      <c r="J358" s="60"/>
      <c r="K358" s="71" t="str">
        <f>VLOOKUP(E358,'HEAD OF THE FAMILY'!$B$6:$J1851,9,FALSE)</f>
        <v>BLK 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60">
        <f t="shared" si="2"/>
        <v>354</v>
      </c>
      <c r="B359" s="62" t="s">
        <v>1038</v>
      </c>
      <c r="C359" s="62" t="s">
        <v>1039</v>
      </c>
      <c r="D359" s="105"/>
      <c r="E359" s="62" t="s">
        <v>719</v>
      </c>
      <c r="F359" s="60"/>
      <c r="G359" s="92"/>
      <c r="H359" s="60"/>
      <c r="I359" s="60"/>
      <c r="J359" s="60"/>
      <c r="K359" s="71" t="str">
        <f>VLOOKUP(E359,'HEAD OF THE FAMILY'!$B$6:$J1851,9,FALSE)</f>
        <v>BLK 5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60">
        <f t="shared" si="2"/>
        <v>355</v>
      </c>
      <c r="B360" s="62" t="s">
        <v>1038</v>
      </c>
      <c r="C360" s="62" t="s">
        <v>1041</v>
      </c>
      <c r="D360" s="105"/>
      <c r="E360" s="62" t="s">
        <v>719</v>
      </c>
      <c r="F360" s="60"/>
      <c r="G360" s="92"/>
      <c r="H360" s="60"/>
      <c r="I360" s="60"/>
      <c r="J360" s="60"/>
      <c r="K360" s="71" t="str">
        <f>VLOOKUP(E360,'HEAD OF THE FAMILY'!$B$6:$J1851,9,FALSE)</f>
        <v>BLK 5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60">
        <f t="shared" si="2"/>
        <v>356</v>
      </c>
      <c r="B361" s="62" t="s">
        <v>1038</v>
      </c>
      <c r="C361" s="62" t="s">
        <v>1043</v>
      </c>
      <c r="D361" s="105"/>
      <c r="E361" s="62" t="s">
        <v>719</v>
      </c>
      <c r="F361" s="60"/>
      <c r="G361" s="92"/>
      <c r="H361" s="60"/>
      <c r="I361" s="60"/>
      <c r="J361" s="60"/>
      <c r="K361" s="71" t="str">
        <f>VLOOKUP(E361,'HEAD OF THE FAMILY'!$B$6:$J1851,9,FALSE)</f>
        <v>BLK 5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60">
        <f t="shared" si="2"/>
        <v>357</v>
      </c>
      <c r="B362" s="62" t="s">
        <v>1045</v>
      </c>
      <c r="C362" s="62" t="s">
        <v>1046</v>
      </c>
      <c r="D362" s="105"/>
      <c r="E362" s="62" t="s">
        <v>1047</v>
      </c>
      <c r="F362" s="60"/>
      <c r="G362" s="92"/>
      <c r="H362" s="60"/>
      <c r="I362" s="60"/>
      <c r="J362" s="60"/>
      <c r="K362" s="71" t="str">
        <f>VLOOKUP(E362,'HEAD OF THE FAMILY'!$B$6:$J1851,9,FALSE)</f>
        <v>BLK 5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60">
        <f t="shared" si="2"/>
        <v>358</v>
      </c>
      <c r="B363" s="62" t="s">
        <v>1048</v>
      </c>
      <c r="C363" s="62" t="s">
        <v>1049</v>
      </c>
      <c r="D363" s="105"/>
      <c r="E363" s="62" t="s">
        <v>1050</v>
      </c>
      <c r="F363" s="60"/>
      <c r="G363" s="92"/>
      <c r="H363" s="60"/>
      <c r="I363" s="60"/>
      <c r="J363" s="60"/>
      <c r="K363" s="71" t="str">
        <f>VLOOKUP(E363,'HEAD OF THE FAMILY'!$B$6:$J1851,9,FALSE)</f>
        <v>BLK 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60">
        <f t="shared" si="2"/>
        <v>359</v>
      </c>
      <c r="B364" s="62" t="s">
        <v>1052</v>
      </c>
      <c r="C364" s="62" t="s">
        <v>1053</v>
      </c>
      <c r="D364" s="62" t="s">
        <v>1054</v>
      </c>
      <c r="E364" s="62" t="s">
        <v>743</v>
      </c>
      <c r="F364" s="60"/>
      <c r="G364" s="92"/>
      <c r="H364" s="60"/>
      <c r="I364" s="60"/>
      <c r="J364" s="60"/>
      <c r="K364" s="71" t="str">
        <f>VLOOKUP(E364,'HEAD OF THE FAMILY'!$B$6:$J1851,9,FALSE)</f>
        <v>BLK 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60">
        <f t="shared" si="2"/>
        <v>360</v>
      </c>
      <c r="B365" s="62" t="s">
        <v>1056</v>
      </c>
      <c r="C365" s="62" t="s">
        <v>1057</v>
      </c>
      <c r="D365" s="105"/>
      <c r="E365" s="62" t="s">
        <v>1058</v>
      </c>
      <c r="F365" s="60"/>
      <c r="G365" s="92"/>
      <c r="H365" s="60"/>
      <c r="I365" s="60"/>
      <c r="J365" s="60"/>
      <c r="K365" s="71" t="str">
        <f>VLOOKUP(E365,'HEAD OF THE FAMILY'!$B$6:$J1851,9,FALSE)</f>
        <v>BLK 5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60">
        <f t="shared" si="2"/>
        <v>361</v>
      </c>
      <c r="B366" s="62" t="s">
        <v>1059</v>
      </c>
      <c r="C366" s="62" t="s">
        <v>1060</v>
      </c>
      <c r="D366" s="105"/>
      <c r="E366" s="62" t="s">
        <v>1061</v>
      </c>
      <c r="F366" s="60"/>
      <c r="G366" s="92"/>
      <c r="H366" s="60"/>
      <c r="I366" s="60"/>
      <c r="J366" s="60"/>
      <c r="K366" s="71" t="str">
        <f>VLOOKUP(E366,'HEAD OF THE FAMILY'!$B$6:$J1851,9,FALSE)</f>
        <v>BLK 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75">
        <v>362.0</v>
      </c>
      <c r="B367" s="62" t="s">
        <v>1063</v>
      </c>
      <c r="C367" s="62" t="s">
        <v>1064</v>
      </c>
      <c r="D367" s="62" t="s">
        <v>1065</v>
      </c>
      <c r="E367" s="62" t="s">
        <v>1066</v>
      </c>
      <c r="F367" s="60"/>
      <c r="G367" s="92"/>
      <c r="H367" s="60"/>
      <c r="I367" s="60"/>
      <c r="J367" s="60"/>
      <c r="K367" s="71" t="str">
        <f>VLOOKUP(E367,'HEAD OF THE FAMILY'!$B$6:$J1851,9,FALSE)</f>
        <v>BLK 3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60">
        <f t="shared" ref="A368:A817" si="3">IF(B368="","",ROW()-5)</f>
        <v>363</v>
      </c>
      <c r="B368" s="62" t="s">
        <v>1068</v>
      </c>
      <c r="C368" s="62" t="s">
        <v>1069</v>
      </c>
      <c r="D368" s="105"/>
      <c r="E368" s="62" t="s">
        <v>1071</v>
      </c>
      <c r="F368" s="60"/>
      <c r="G368" s="92"/>
      <c r="H368" s="60"/>
      <c r="I368" s="60"/>
      <c r="J368" s="60"/>
      <c r="K368" s="71" t="str">
        <f>VLOOKUP(E368,'HEAD OF THE FAMILY'!$B$6:$J1851,9,FALSE)</f>
        <v>BLK 3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60">
        <f t="shared" si="3"/>
        <v>364</v>
      </c>
      <c r="B369" s="62" t="s">
        <v>1068</v>
      </c>
      <c r="C369" s="62" t="s">
        <v>1073</v>
      </c>
      <c r="D369" s="105"/>
      <c r="E369" s="62" t="s">
        <v>1071</v>
      </c>
      <c r="F369" s="60"/>
      <c r="G369" s="92"/>
      <c r="H369" s="60"/>
      <c r="I369" s="60"/>
      <c r="J369" s="60"/>
      <c r="K369" s="71" t="str">
        <f>VLOOKUP(E369,'HEAD OF THE FAMILY'!$B$6:$J1851,9,FALSE)</f>
        <v>BLK 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60">
        <f t="shared" si="3"/>
        <v>365</v>
      </c>
      <c r="B370" s="62" t="s">
        <v>1068</v>
      </c>
      <c r="C370" s="62" t="s">
        <v>511</v>
      </c>
      <c r="D370" s="105"/>
      <c r="E370" s="62" t="s">
        <v>1071</v>
      </c>
      <c r="F370" s="60"/>
      <c r="G370" s="92"/>
      <c r="H370" s="60"/>
      <c r="I370" s="60"/>
      <c r="J370" s="60"/>
      <c r="K370" s="71" t="str">
        <f>VLOOKUP(E370,'HEAD OF THE FAMILY'!$B$6:$J1851,9,FALSE)</f>
        <v>BLK 3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60">
        <f t="shared" si="3"/>
        <v>366</v>
      </c>
      <c r="B371" s="62" t="s">
        <v>1077</v>
      </c>
      <c r="C371" s="62" t="s">
        <v>1078</v>
      </c>
      <c r="D371" s="105"/>
      <c r="E371" s="62" t="s">
        <v>1079</v>
      </c>
      <c r="F371" s="60"/>
      <c r="G371" s="92"/>
      <c r="H371" s="60"/>
      <c r="I371" s="60"/>
      <c r="J371" s="60"/>
      <c r="K371" s="71" t="str">
        <f>VLOOKUP(E371,'HEAD OF THE FAMILY'!$B$6:$J1851,9,FALSE)</f>
        <v>BLK 5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60">
        <f t="shared" si="3"/>
        <v>367</v>
      </c>
      <c r="B372" s="62" t="s">
        <v>1077</v>
      </c>
      <c r="C372" s="62" t="s">
        <v>1081</v>
      </c>
      <c r="D372" s="105"/>
      <c r="E372" s="62" t="s">
        <v>1079</v>
      </c>
      <c r="F372" s="60"/>
      <c r="G372" s="92"/>
      <c r="H372" s="60"/>
      <c r="I372" s="60"/>
      <c r="J372" s="60"/>
      <c r="K372" s="71" t="str">
        <f>VLOOKUP(E372,'HEAD OF THE FAMILY'!$B$6:$J1851,9,FALSE)</f>
        <v>BLK 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60">
        <f t="shared" si="3"/>
        <v>368</v>
      </c>
      <c r="B373" s="62" t="s">
        <v>1077</v>
      </c>
      <c r="C373" s="62" t="s">
        <v>1084</v>
      </c>
      <c r="D373" s="105"/>
      <c r="E373" s="62" t="s">
        <v>1079</v>
      </c>
      <c r="F373" s="60"/>
      <c r="G373" s="92"/>
      <c r="H373" s="60"/>
      <c r="I373" s="60"/>
      <c r="J373" s="60"/>
      <c r="K373" s="71" t="str">
        <f>VLOOKUP(E373,'HEAD OF THE FAMILY'!$B$6:$J1851,9,FALSE)</f>
        <v>BLK 5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60">
        <f t="shared" si="3"/>
        <v>369</v>
      </c>
      <c r="B374" s="62" t="s">
        <v>1077</v>
      </c>
      <c r="C374" s="62" t="s">
        <v>1085</v>
      </c>
      <c r="D374" s="105"/>
      <c r="E374" s="62" t="s">
        <v>1086</v>
      </c>
      <c r="F374" s="60"/>
      <c r="G374" s="92"/>
      <c r="H374" s="60"/>
      <c r="I374" s="60"/>
      <c r="J374" s="60"/>
      <c r="K374" s="71" t="str">
        <f>VLOOKUP(E374,'HEAD OF THE FAMILY'!$B$6:$J1851,9,FALSE)</f>
        <v>BLK 5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60">
        <f t="shared" si="3"/>
        <v>370</v>
      </c>
      <c r="B375" s="62" t="s">
        <v>1056</v>
      </c>
      <c r="C375" s="62" t="s">
        <v>1087</v>
      </c>
      <c r="D375" s="62" t="s">
        <v>1088</v>
      </c>
      <c r="E375" s="62" t="s">
        <v>1089</v>
      </c>
      <c r="F375" s="60"/>
      <c r="G375" s="92"/>
      <c r="H375" s="60"/>
      <c r="I375" s="60"/>
      <c r="J375" s="60"/>
      <c r="K375" s="71" t="str">
        <f>VLOOKUP(E375,'HEAD OF THE FAMILY'!$B$6:$J1851,9,FALSE)</f>
        <v>#N/A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60">
        <f t="shared" si="3"/>
        <v>371</v>
      </c>
      <c r="B376" s="62" t="s">
        <v>1056</v>
      </c>
      <c r="C376" s="62" t="s">
        <v>1091</v>
      </c>
      <c r="D376" s="62" t="s">
        <v>1088</v>
      </c>
      <c r="E376" s="62" t="s">
        <v>1089</v>
      </c>
      <c r="F376" s="60"/>
      <c r="G376" s="92"/>
      <c r="H376" s="60"/>
      <c r="I376" s="60"/>
      <c r="J376" s="60"/>
      <c r="K376" s="71" t="str">
        <f>VLOOKUP(E376,'HEAD OF THE FAMILY'!$B$6:$J1851,9,FALSE)</f>
        <v>#N/A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60">
        <f t="shared" si="3"/>
        <v>372</v>
      </c>
      <c r="B377" s="62" t="s">
        <v>1056</v>
      </c>
      <c r="C377" s="62" t="s">
        <v>1092</v>
      </c>
      <c r="D377" s="62" t="s">
        <v>1088</v>
      </c>
      <c r="E377" s="62" t="s">
        <v>1089</v>
      </c>
      <c r="F377" s="60"/>
      <c r="G377" s="92"/>
      <c r="H377" s="60"/>
      <c r="I377" s="60"/>
      <c r="J377" s="60"/>
      <c r="K377" s="71" t="str">
        <f>VLOOKUP(E377,'HEAD OF THE FAMILY'!$B$6:$J1851,9,FALSE)</f>
        <v>#N/A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60">
        <f t="shared" si="3"/>
        <v>373</v>
      </c>
      <c r="B378" s="62" t="s">
        <v>1056</v>
      </c>
      <c r="C378" s="62" t="s">
        <v>1093</v>
      </c>
      <c r="D378" s="62" t="s">
        <v>1088</v>
      </c>
      <c r="E378" s="62" t="s">
        <v>1089</v>
      </c>
      <c r="F378" s="60"/>
      <c r="G378" s="92"/>
      <c r="H378" s="60"/>
      <c r="I378" s="60"/>
      <c r="J378" s="60"/>
      <c r="K378" s="71" t="str">
        <f>VLOOKUP(E378,'HEAD OF THE FAMILY'!$B$6:$J1851,9,FALSE)</f>
        <v>#N/A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60">
        <f t="shared" si="3"/>
        <v>374</v>
      </c>
      <c r="B379" s="62" t="s">
        <v>1056</v>
      </c>
      <c r="C379" s="62" t="s">
        <v>1094</v>
      </c>
      <c r="D379" s="62" t="s">
        <v>1088</v>
      </c>
      <c r="E379" s="62" t="s">
        <v>1089</v>
      </c>
      <c r="F379" s="60"/>
      <c r="G379" s="92"/>
      <c r="H379" s="60"/>
      <c r="I379" s="60"/>
      <c r="J379" s="60"/>
      <c r="K379" s="71" t="str">
        <f>VLOOKUP(E379,'HEAD OF THE FAMILY'!$B$6:$J1851,9,FALSE)</f>
        <v>#N/A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60">
        <f t="shared" si="3"/>
        <v>375</v>
      </c>
      <c r="B380" s="62" t="s">
        <v>1056</v>
      </c>
      <c r="C380" s="62" t="s">
        <v>1096</v>
      </c>
      <c r="D380" s="62" t="s">
        <v>1088</v>
      </c>
      <c r="E380" s="62" t="s">
        <v>1089</v>
      </c>
      <c r="F380" s="60"/>
      <c r="G380" s="92"/>
      <c r="H380" s="60"/>
      <c r="I380" s="60"/>
      <c r="J380" s="60"/>
      <c r="K380" s="71" t="str">
        <f>VLOOKUP(E380,'HEAD OF THE FAMILY'!$B$6:$J1851,9,FALSE)</f>
        <v>#N/A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60">
        <f t="shared" si="3"/>
        <v>376</v>
      </c>
      <c r="B381" s="62" t="s">
        <v>1098</v>
      </c>
      <c r="C381" s="62" t="s">
        <v>1099</v>
      </c>
      <c r="D381" s="105"/>
      <c r="E381" s="62" t="s">
        <v>496</v>
      </c>
      <c r="F381" s="60"/>
      <c r="G381" s="92"/>
      <c r="H381" s="60"/>
      <c r="I381" s="60"/>
      <c r="J381" s="60"/>
      <c r="K381" s="71" t="str">
        <f>VLOOKUP(E381,'HEAD OF THE FAMILY'!$B$6:$J1851,9,FALSE)</f>
        <v>BLK 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60">
        <f t="shared" si="3"/>
        <v>377</v>
      </c>
      <c r="B382" s="62" t="s">
        <v>1100</v>
      </c>
      <c r="C382" s="62" t="s">
        <v>1101</v>
      </c>
      <c r="D382" s="62" t="s">
        <v>1102</v>
      </c>
      <c r="E382" s="62" t="s">
        <v>1103</v>
      </c>
      <c r="F382" s="60"/>
      <c r="G382" s="92"/>
      <c r="H382" s="60"/>
      <c r="I382" s="60"/>
      <c r="J382" s="60"/>
      <c r="K382" s="71" t="str">
        <f>VLOOKUP(E382,'HEAD OF THE FAMILY'!$B$6:$J1851,9,FALSE)</f>
        <v>BLK 5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60">
        <f t="shared" si="3"/>
        <v>378</v>
      </c>
      <c r="B383" s="62" t="s">
        <v>1100</v>
      </c>
      <c r="C383" s="62" t="s">
        <v>1105</v>
      </c>
      <c r="D383" s="62" t="s">
        <v>1102</v>
      </c>
      <c r="E383" s="62" t="s">
        <v>1103</v>
      </c>
      <c r="F383" s="60"/>
      <c r="G383" s="92"/>
      <c r="H383" s="60"/>
      <c r="I383" s="60"/>
      <c r="J383" s="60"/>
      <c r="K383" s="71" t="str">
        <f>VLOOKUP(E383,'HEAD OF THE FAMILY'!$B$6:$J1851,9,FALSE)</f>
        <v>BLK 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60">
        <f t="shared" si="3"/>
        <v>379</v>
      </c>
      <c r="B384" s="62" t="s">
        <v>1100</v>
      </c>
      <c r="C384" s="62" t="s">
        <v>1107</v>
      </c>
      <c r="D384" s="62" t="s">
        <v>1102</v>
      </c>
      <c r="E384" s="62" t="s">
        <v>1103</v>
      </c>
      <c r="F384" s="60"/>
      <c r="G384" s="92"/>
      <c r="H384" s="60"/>
      <c r="I384" s="60"/>
      <c r="J384" s="60"/>
      <c r="K384" s="71" t="str">
        <f>VLOOKUP(E384,'HEAD OF THE FAMILY'!$B$6:$J1851,9,FALSE)</f>
        <v>BLK 5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60">
        <f t="shared" si="3"/>
        <v>380</v>
      </c>
      <c r="B385" s="62" t="s">
        <v>1100</v>
      </c>
      <c r="C385" s="62" t="s">
        <v>908</v>
      </c>
      <c r="D385" s="62" t="s">
        <v>1102</v>
      </c>
      <c r="E385" s="62" t="s">
        <v>1103</v>
      </c>
      <c r="F385" s="60"/>
      <c r="G385" s="92"/>
      <c r="H385" s="60"/>
      <c r="I385" s="60"/>
      <c r="J385" s="60"/>
      <c r="K385" s="71" t="str">
        <f>VLOOKUP(E385,'HEAD OF THE FAMILY'!$B$6:$J1851,9,FALSE)</f>
        <v>BLK 5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60">
        <f t="shared" si="3"/>
        <v>381</v>
      </c>
      <c r="B386" s="62" t="s">
        <v>1102</v>
      </c>
      <c r="C386" s="62" t="s">
        <v>1110</v>
      </c>
      <c r="D386" s="105"/>
      <c r="E386" s="62" t="s">
        <v>925</v>
      </c>
      <c r="F386" s="60"/>
      <c r="G386" s="92"/>
      <c r="H386" s="60"/>
      <c r="I386" s="60"/>
      <c r="J386" s="60"/>
      <c r="K386" s="71" t="str">
        <f>VLOOKUP(E386,'HEAD OF THE FAMILY'!$B$6:$J1851,9,FALSE)</f>
        <v>BLK 5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60">
        <f t="shared" si="3"/>
        <v>382</v>
      </c>
      <c r="B387" s="62" t="s">
        <v>1111</v>
      </c>
      <c r="C387" s="62" t="s">
        <v>1112</v>
      </c>
      <c r="D387" s="105"/>
      <c r="E387" s="62" t="s">
        <v>925</v>
      </c>
      <c r="F387" s="60"/>
      <c r="G387" s="92"/>
      <c r="H387" s="60"/>
      <c r="I387" s="60"/>
      <c r="J387" s="60"/>
      <c r="K387" s="71" t="str">
        <f>VLOOKUP(E387,'HEAD OF THE FAMILY'!$B$6:$J1851,9,FALSE)</f>
        <v>BLK 5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60">
        <f t="shared" si="3"/>
        <v>383</v>
      </c>
      <c r="B388" s="62" t="s">
        <v>1114</v>
      </c>
      <c r="C388" s="62" t="s">
        <v>1115</v>
      </c>
      <c r="D388" s="105"/>
      <c r="E388" s="62" t="s">
        <v>1116</v>
      </c>
      <c r="F388" s="60"/>
      <c r="G388" s="92"/>
      <c r="H388" s="60"/>
      <c r="I388" s="60"/>
      <c r="J388" s="60"/>
      <c r="K388" s="71" t="str">
        <f>VLOOKUP(E388,'HEAD OF THE FAMILY'!$B$6:$J1851,9,FALSE)</f>
        <v>BLK 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60">
        <f t="shared" si="3"/>
        <v>384</v>
      </c>
      <c r="B389" s="62" t="s">
        <v>1118</v>
      </c>
      <c r="C389" s="62" t="s">
        <v>1119</v>
      </c>
      <c r="D389" s="105"/>
      <c r="E389" s="62" t="s">
        <v>479</v>
      </c>
      <c r="F389" s="60"/>
      <c r="G389" s="92"/>
      <c r="H389" s="60"/>
      <c r="I389" s="60"/>
      <c r="J389" s="60"/>
      <c r="K389" s="71" t="str">
        <f>VLOOKUP(E389,'HEAD OF THE FAMILY'!$B$6:$J1851,9,FALSE)</f>
        <v>BLK 5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60">
        <f t="shared" si="3"/>
        <v>385</v>
      </c>
      <c r="B390" s="62" t="s">
        <v>1118</v>
      </c>
      <c r="C390" s="62" t="s">
        <v>1121</v>
      </c>
      <c r="D390" s="105"/>
      <c r="E390" s="62" t="s">
        <v>479</v>
      </c>
      <c r="F390" s="60"/>
      <c r="G390" s="92"/>
      <c r="H390" s="60"/>
      <c r="I390" s="60"/>
      <c r="J390" s="60"/>
      <c r="K390" s="71" t="str">
        <f>VLOOKUP(E390,'HEAD OF THE FAMILY'!$B$6:$J1851,9,FALSE)</f>
        <v>BLK 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60">
        <f t="shared" si="3"/>
        <v>386</v>
      </c>
      <c r="B391" s="62" t="s">
        <v>1118</v>
      </c>
      <c r="C391" s="62" t="s">
        <v>1123</v>
      </c>
      <c r="D391" s="105"/>
      <c r="E391" s="62" t="s">
        <v>479</v>
      </c>
      <c r="F391" s="60"/>
      <c r="G391" s="92"/>
      <c r="H391" s="60"/>
      <c r="I391" s="60"/>
      <c r="J391" s="60"/>
      <c r="K391" s="71" t="str">
        <f>VLOOKUP(E391,'HEAD OF THE FAMILY'!$B$6:$J1851,9,FALSE)</f>
        <v>BLK 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60">
        <f t="shared" si="3"/>
        <v>387</v>
      </c>
      <c r="B392" s="62" t="s">
        <v>1118</v>
      </c>
      <c r="C392" s="62" t="s">
        <v>1124</v>
      </c>
      <c r="D392" s="62" t="s">
        <v>1125</v>
      </c>
      <c r="E392" s="62" t="s">
        <v>1126</v>
      </c>
      <c r="F392" s="60"/>
      <c r="G392" s="92"/>
      <c r="H392" s="60"/>
      <c r="I392" s="60"/>
      <c r="J392" s="60"/>
      <c r="K392" s="71" t="str">
        <f>VLOOKUP(E392,'HEAD OF THE FAMILY'!$B$6:$J1851,9,FALSE)</f>
        <v>BLK 5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60">
        <f t="shared" si="3"/>
        <v>388</v>
      </c>
      <c r="B393" s="62" t="s">
        <v>1125</v>
      </c>
      <c r="C393" s="62" t="s">
        <v>1128</v>
      </c>
      <c r="D393" s="62" t="s">
        <v>1114</v>
      </c>
      <c r="E393" s="62" t="s">
        <v>1126</v>
      </c>
      <c r="F393" s="60"/>
      <c r="G393" s="92"/>
      <c r="H393" s="60"/>
      <c r="I393" s="60"/>
      <c r="J393" s="60"/>
      <c r="K393" s="71" t="str">
        <f>VLOOKUP(E393,'HEAD OF THE FAMILY'!$B$6:$J1851,9,FALSE)</f>
        <v>BLK 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60">
        <f t="shared" si="3"/>
        <v>389</v>
      </c>
      <c r="B394" s="62" t="s">
        <v>1125</v>
      </c>
      <c r="C394" s="62" t="s">
        <v>1129</v>
      </c>
      <c r="D394" s="62" t="s">
        <v>1114</v>
      </c>
      <c r="E394" s="62" t="s">
        <v>1126</v>
      </c>
      <c r="F394" s="60"/>
      <c r="G394" s="92"/>
      <c r="H394" s="60"/>
      <c r="I394" s="60"/>
      <c r="J394" s="60"/>
      <c r="K394" s="71" t="str">
        <f>VLOOKUP(E394,'HEAD OF THE FAMILY'!$B$6:$J1851,9,FALSE)</f>
        <v>BLK 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60">
        <f t="shared" si="3"/>
        <v>390</v>
      </c>
      <c r="B395" s="62" t="s">
        <v>1114</v>
      </c>
      <c r="C395" s="62" t="s">
        <v>1134</v>
      </c>
      <c r="D395" s="62" t="s">
        <v>657</v>
      </c>
      <c r="E395" s="62" t="s">
        <v>1135</v>
      </c>
      <c r="F395" s="60"/>
      <c r="G395" s="92"/>
      <c r="H395" s="60"/>
      <c r="I395" s="60"/>
      <c r="J395" s="60"/>
      <c r="K395" s="71" t="str">
        <f>VLOOKUP(E395,'HEAD OF THE FAMILY'!$B$6:$J1851,9,FALSE)</f>
        <v>BLK 5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60">
        <f t="shared" si="3"/>
        <v>391</v>
      </c>
      <c r="B396" s="62" t="s">
        <v>1114</v>
      </c>
      <c r="C396" s="62" t="s">
        <v>1137</v>
      </c>
      <c r="D396" s="62" t="s">
        <v>657</v>
      </c>
      <c r="E396" s="62" t="s">
        <v>1135</v>
      </c>
      <c r="F396" s="60"/>
      <c r="G396" s="92"/>
      <c r="H396" s="60"/>
      <c r="I396" s="60"/>
      <c r="J396" s="60"/>
      <c r="K396" s="71" t="str">
        <f>VLOOKUP(E396,'HEAD OF THE FAMILY'!$B$6:$J1851,9,FALSE)</f>
        <v>BLK 5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60">
        <f t="shared" si="3"/>
        <v>392</v>
      </c>
      <c r="B397" s="62" t="s">
        <v>1114</v>
      </c>
      <c r="C397" s="62" t="s">
        <v>1140</v>
      </c>
      <c r="D397" s="62" t="s">
        <v>494</v>
      </c>
      <c r="E397" s="62" t="s">
        <v>810</v>
      </c>
      <c r="F397" s="60"/>
      <c r="G397" s="92"/>
      <c r="H397" s="60"/>
      <c r="I397" s="60"/>
      <c r="J397" s="60"/>
      <c r="K397" s="71" t="str">
        <f>VLOOKUP(E397,'HEAD OF THE FAMILY'!$B$6:$J1851,9,FALSE)</f>
        <v>BLK 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60">
        <f t="shared" si="3"/>
        <v>393</v>
      </c>
      <c r="B398" s="62" t="s">
        <v>1114</v>
      </c>
      <c r="C398" s="62" t="s">
        <v>1142</v>
      </c>
      <c r="D398" s="62" t="s">
        <v>1143</v>
      </c>
      <c r="E398" s="62" t="s">
        <v>810</v>
      </c>
      <c r="F398" s="60"/>
      <c r="G398" s="92"/>
      <c r="H398" s="60"/>
      <c r="I398" s="60"/>
      <c r="J398" s="60"/>
      <c r="K398" s="71" t="str">
        <f>VLOOKUP(E398,'HEAD OF THE FAMILY'!$B$6:$J1851,9,FALSE)</f>
        <v>BLK 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60">
        <f t="shared" si="3"/>
        <v>394</v>
      </c>
      <c r="B399" s="62" t="s">
        <v>1063</v>
      </c>
      <c r="C399" s="62" t="s">
        <v>1146</v>
      </c>
      <c r="D399" s="62" t="s">
        <v>71</v>
      </c>
      <c r="E399" s="62" t="s">
        <v>1147</v>
      </c>
      <c r="F399" s="60"/>
      <c r="G399" s="92"/>
      <c r="H399" s="60"/>
      <c r="I399" s="60"/>
      <c r="J399" s="60"/>
      <c r="K399" s="71" t="str">
        <f>VLOOKUP(E399,'HEAD OF THE FAMILY'!$B$6:$J1851,9,FALSE)</f>
        <v>BLK 5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60">
        <f t="shared" si="3"/>
        <v>395</v>
      </c>
      <c r="B400" s="62" t="s">
        <v>1114</v>
      </c>
      <c r="C400" s="62" t="s">
        <v>1149</v>
      </c>
      <c r="D400" s="62" t="s">
        <v>968</v>
      </c>
      <c r="E400" s="62" t="s">
        <v>1150</v>
      </c>
      <c r="F400" s="60"/>
      <c r="G400" s="92"/>
      <c r="H400" s="60"/>
      <c r="I400" s="60"/>
      <c r="J400" s="60"/>
      <c r="K400" s="71" t="str">
        <f>VLOOKUP(E400,'HEAD OF THE FAMILY'!$B$6:$J1851,9,FALSE)</f>
        <v>BLK 5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60">
        <f t="shared" si="3"/>
        <v>396</v>
      </c>
      <c r="B401" s="62" t="s">
        <v>1114</v>
      </c>
      <c r="C401" s="62" t="s">
        <v>1154</v>
      </c>
      <c r="D401" s="62" t="s">
        <v>968</v>
      </c>
      <c r="E401" s="62" t="s">
        <v>1150</v>
      </c>
      <c r="F401" s="60"/>
      <c r="G401" s="92"/>
      <c r="H401" s="60"/>
      <c r="I401" s="60"/>
      <c r="J401" s="60"/>
      <c r="K401" s="71" t="str">
        <f>VLOOKUP(E401,'HEAD OF THE FAMILY'!$B$6:$J1851,9,FALSE)</f>
        <v>BLK 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60">
        <f t="shared" si="3"/>
        <v>397</v>
      </c>
      <c r="B402" s="62" t="s">
        <v>1114</v>
      </c>
      <c r="C402" s="62" t="s">
        <v>1156</v>
      </c>
      <c r="D402" s="62" t="s">
        <v>968</v>
      </c>
      <c r="E402" s="62" t="s">
        <v>1150</v>
      </c>
      <c r="F402" s="60"/>
      <c r="G402" s="92"/>
      <c r="H402" s="60"/>
      <c r="I402" s="60"/>
      <c r="J402" s="60"/>
      <c r="K402" s="71" t="str">
        <f>VLOOKUP(E402,'HEAD OF THE FAMILY'!$B$6:$J1851,9,FALSE)</f>
        <v>BLK 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60">
        <f t="shared" si="3"/>
        <v>398</v>
      </c>
      <c r="B403" s="62" t="s">
        <v>1158</v>
      </c>
      <c r="C403" s="62" t="s">
        <v>1159</v>
      </c>
      <c r="D403" s="105"/>
      <c r="E403" s="62" t="s">
        <v>1160</v>
      </c>
      <c r="F403" s="60"/>
      <c r="G403" s="92"/>
      <c r="H403" s="60"/>
      <c r="I403" s="60"/>
      <c r="J403" s="60"/>
      <c r="K403" s="71" t="str">
        <f>VLOOKUP(E403,'HEAD OF THE FAMILY'!$B$6:$J1851,9,FALSE)</f>
        <v>BLK 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60">
        <f t="shared" si="3"/>
        <v>399</v>
      </c>
      <c r="B404" s="62" t="s">
        <v>690</v>
      </c>
      <c r="C404" s="62" t="s">
        <v>1163</v>
      </c>
      <c r="D404" s="62" t="s">
        <v>95</v>
      </c>
      <c r="E404" s="62" t="s">
        <v>1164</v>
      </c>
      <c r="F404" s="60"/>
      <c r="G404" s="92"/>
      <c r="H404" s="60"/>
      <c r="I404" s="60"/>
      <c r="J404" s="60"/>
      <c r="K404" s="71" t="str">
        <f>VLOOKUP(E404,'HEAD OF THE FAMILY'!$B$6:$J1851,9,FALSE)</f>
        <v>BLK 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60">
        <f t="shared" si="3"/>
        <v>400</v>
      </c>
      <c r="B405" s="62" t="s">
        <v>690</v>
      </c>
      <c r="C405" s="62" t="s">
        <v>1167</v>
      </c>
      <c r="D405" s="62" t="s">
        <v>95</v>
      </c>
      <c r="E405" s="62" t="s">
        <v>1164</v>
      </c>
      <c r="F405" s="60"/>
      <c r="G405" s="92"/>
      <c r="H405" s="60"/>
      <c r="I405" s="60"/>
      <c r="J405" s="60"/>
      <c r="K405" s="71" t="str">
        <f>VLOOKUP(E405,'HEAD OF THE FAMILY'!$B$6:$J1851,9,FALSE)</f>
        <v>BLK 5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60">
        <f t="shared" si="3"/>
        <v>401</v>
      </c>
      <c r="B406" s="62" t="s">
        <v>690</v>
      </c>
      <c r="C406" s="62" t="s">
        <v>1170</v>
      </c>
      <c r="D406" s="105"/>
      <c r="E406" s="62" t="s">
        <v>1171</v>
      </c>
      <c r="F406" s="60"/>
      <c r="G406" s="92"/>
      <c r="H406" s="60"/>
      <c r="I406" s="60"/>
      <c r="J406" s="60"/>
      <c r="K406" s="71" t="str">
        <f>VLOOKUP(E406,'HEAD OF THE FAMILY'!$B$6:$J1851,9,FALSE)</f>
        <v>BLK 5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60">
        <f t="shared" si="3"/>
        <v>402</v>
      </c>
      <c r="B407" s="62" t="s">
        <v>1172</v>
      </c>
      <c r="C407" s="62" t="s">
        <v>1173</v>
      </c>
      <c r="D407" s="62" t="s">
        <v>657</v>
      </c>
      <c r="E407" s="62" t="s">
        <v>1175</v>
      </c>
      <c r="F407" s="60"/>
      <c r="G407" s="92"/>
      <c r="H407" s="60"/>
      <c r="I407" s="60"/>
      <c r="J407" s="60"/>
      <c r="K407" s="71" t="str">
        <f>VLOOKUP(E407,'HEAD OF THE FAMILY'!$B$6:$J1851,9,FALSE)</f>
        <v>BLK 5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60">
        <f t="shared" si="3"/>
        <v>403</v>
      </c>
      <c r="B408" s="62" t="s">
        <v>1172</v>
      </c>
      <c r="C408" s="62" t="s">
        <v>1178</v>
      </c>
      <c r="D408" s="62" t="s">
        <v>657</v>
      </c>
      <c r="E408" s="62" t="s">
        <v>1175</v>
      </c>
      <c r="F408" s="60"/>
      <c r="G408" s="92"/>
      <c r="H408" s="60"/>
      <c r="I408" s="60"/>
      <c r="J408" s="60"/>
      <c r="K408" s="71" t="str">
        <f>VLOOKUP(E408,'HEAD OF THE FAMILY'!$B$6:$J1851,9,FALSE)</f>
        <v>BLK 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60">
        <f t="shared" si="3"/>
        <v>404</v>
      </c>
      <c r="B409" s="62" t="s">
        <v>1179</v>
      </c>
      <c r="C409" s="62" t="s">
        <v>1180</v>
      </c>
      <c r="D409" s="105"/>
      <c r="E409" s="62" t="s">
        <v>1182</v>
      </c>
      <c r="F409" s="60"/>
      <c r="G409" s="92"/>
      <c r="H409" s="60"/>
      <c r="I409" s="60"/>
      <c r="J409" s="60"/>
      <c r="K409" s="71" t="str">
        <f>VLOOKUP(E409,'HEAD OF THE FAMILY'!$B$6:$J1851,9,FALSE)</f>
        <v>BLK 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60">
        <f t="shared" si="3"/>
        <v>405</v>
      </c>
      <c r="B410" s="62" t="s">
        <v>1183</v>
      </c>
      <c r="C410" s="62" t="s">
        <v>1184</v>
      </c>
      <c r="D410" s="105"/>
      <c r="E410" s="62" t="s">
        <v>1185</v>
      </c>
      <c r="F410" s="60"/>
      <c r="G410" s="92"/>
      <c r="H410" s="60"/>
      <c r="I410" s="60"/>
      <c r="J410" s="60"/>
      <c r="K410" s="71" t="str">
        <f>VLOOKUP(E410,'HEAD OF THE FAMILY'!$B$6:$J1851,9,FALSE)</f>
        <v>BLK 5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60">
        <f t="shared" si="3"/>
        <v>406</v>
      </c>
      <c r="B411" s="62" t="s">
        <v>1183</v>
      </c>
      <c r="C411" s="62" t="s">
        <v>1187</v>
      </c>
      <c r="D411" s="105"/>
      <c r="E411" s="62" t="s">
        <v>1185</v>
      </c>
      <c r="F411" s="60"/>
      <c r="G411" s="92"/>
      <c r="H411" s="60"/>
      <c r="I411" s="60"/>
      <c r="J411" s="60"/>
      <c r="K411" s="71" t="str">
        <f>VLOOKUP(E411,'HEAD OF THE FAMILY'!$B$6:$J1851,9,FALSE)</f>
        <v>BLK 5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60">
        <f t="shared" si="3"/>
        <v>407</v>
      </c>
      <c r="B412" s="62" t="s">
        <v>1188</v>
      </c>
      <c r="C412" s="62" t="s">
        <v>1189</v>
      </c>
      <c r="D412" s="105"/>
      <c r="E412" s="62" t="s">
        <v>1185</v>
      </c>
      <c r="F412" s="60"/>
      <c r="G412" s="92"/>
      <c r="H412" s="60"/>
      <c r="I412" s="60"/>
      <c r="J412" s="60"/>
      <c r="K412" s="71" t="str">
        <f>VLOOKUP(E412,'HEAD OF THE FAMILY'!$B$6:$J1851,9,FALSE)</f>
        <v>BLK 5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60">
        <f t="shared" si="3"/>
        <v>408</v>
      </c>
      <c r="B413" s="62" t="s">
        <v>1188</v>
      </c>
      <c r="C413" s="62" t="s">
        <v>1192</v>
      </c>
      <c r="D413" s="105"/>
      <c r="E413" s="62" t="s">
        <v>1185</v>
      </c>
      <c r="F413" s="60"/>
      <c r="G413" s="92"/>
      <c r="H413" s="60"/>
      <c r="I413" s="60"/>
      <c r="J413" s="60"/>
      <c r="K413" s="71" t="str">
        <f>VLOOKUP(E413,'HEAD OF THE FAMILY'!$B$6:$J1851,9,FALSE)</f>
        <v>BLK 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60">
        <f t="shared" si="3"/>
        <v>409</v>
      </c>
      <c r="B414" s="62" t="s">
        <v>1193</v>
      </c>
      <c r="C414" s="62" t="s">
        <v>1194</v>
      </c>
      <c r="D414" s="105"/>
      <c r="E414" s="62" t="s">
        <v>1196</v>
      </c>
      <c r="F414" s="60"/>
      <c r="G414" s="92"/>
      <c r="H414" s="60"/>
      <c r="I414" s="60"/>
      <c r="J414" s="60"/>
      <c r="K414" s="71" t="str">
        <f>VLOOKUP(E414,'HEAD OF THE FAMILY'!$B$6:$J1851,9,FALSE)</f>
        <v>BLK 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60">
        <f t="shared" si="3"/>
        <v>410</v>
      </c>
      <c r="B415" s="62" t="s">
        <v>1193</v>
      </c>
      <c r="C415" s="62" t="s">
        <v>1198</v>
      </c>
      <c r="D415" s="105"/>
      <c r="E415" s="62" t="s">
        <v>1196</v>
      </c>
      <c r="F415" s="60"/>
      <c r="G415" s="92"/>
      <c r="H415" s="60"/>
      <c r="I415" s="60"/>
      <c r="J415" s="60"/>
      <c r="K415" s="71" t="str">
        <f>VLOOKUP(E415,'HEAD OF THE FAMILY'!$B$6:$J1851,9,FALSE)</f>
        <v>BLK 5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60">
        <f t="shared" si="3"/>
        <v>411</v>
      </c>
      <c r="B416" s="62" t="s">
        <v>1200</v>
      </c>
      <c r="C416" s="62" t="s">
        <v>1201</v>
      </c>
      <c r="D416" s="105"/>
      <c r="E416" s="62" t="s">
        <v>1202</v>
      </c>
      <c r="F416" s="60"/>
      <c r="G416" s="92"/>
      <c r="H416" s="60"/>
      <c r="I416" s="60"/>
      <c r="J416" s="60"/>
      <c r="K416" s="71" t="str">
        <f>VLOOKUP(E416,'HEAD OF THE FAMILY'!$B$6:$J1851,9,FALSE)</f>
        <v>BLK 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60">
        <f t="shared" si="3"/>
        <v>412</v>
      </c>
      <c r="B417" s="62" t="s">
        <v>1204</v>
      </c>
      <c r="C417" s="62" t="s">
        <v>1205</v>
      </c>
      <c r="D417" s="105"/>
      <c r="E417" s="62" t="s">
        <v>1206</v>
      </c>
      <c r="F417" s="60"/>
      <c r="G417" s="92"/>
      <c r="H417" s="60"/>
      <c r="I417" s="60"/>
      <c r="J417" s="60"/>
      <c r="K417" s="71" t="str">
        <f>VLOOKUP(E417,'HEAD OF THE FAMILY'!$B$6:$J1851,9,FALSE)</f>
        <v>BLK 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60">
        <f t="shared" si="3"/>
        <v>413</v>
      </c>
      <c r="B418" s="62" t="s">
        <v>1208</v>
      </c>
      <c r="C418" s="62" t="s">
        <v>1209</v>
      </c>
      <c r="D418" s="105"/>
      <c r="E418" s="62" t="s">
        <v>1206</v>
      </c>
      <c r="F418" s="60"/>
      <c r="G418" s="92"/>
      <c r="H418" s="60"/>
      <c r="I418" s="60"/>
      <c r="J418" s="60"/>
      <c r="K418" s="71" t="str">
        <f>VLOOKUP(E418,'HEAD OF THE FAMILY'!$B$6:$J1851,9,FALSE)</f>
        <v>BLK 5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60">
        <f t="shared" si="3"/>
        <v>414</v>
      </c>
      <c r="B419" s="62" t="s">
        <v>1208</v>
      </c>
      <c r="C419" s="62" t="s">
        <v>1210</v>
      </c>
      <c r="D419" s="105"/>
      <c r="E419" s="62" t="s">
        <v>1206</v>
      </c>
      <c r="F419" s="60"/>
      <c r="G419" s="92"/>
      <c r="H419" s="60"/>
      <c r="I419" s="60"/>
      <c r="J419" s="60"/>
      <c r="K419" s="71" t="str">
        <f>VLOOKUP(E419,'HEAD OF THE FAMILY'!$B$6:$J1851,9,FALSE)</f>
        <v>BLK 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60">
        <f t="shared" si="3"/>
        <v>415</v>
      </c>
      <c r="B420" s="62" t="s">
        <v>181</v>
      </c>
      <c r="C420" s="62" t="s">
        <v>1213</v>
      </c>
      <c r="D420" s="105"/>
      <c r="E420" s="62" t="s">
        <v>746</v>
      </c>
      <c r="F420" s="60"/>
      <c r="G420" s="92"/>
      <c r="H420" s="60"/>
      <c r="I420" s="60"/>
      <c r="J420" s="60"/>
      <c r="K420" s="71" t="str">
        <f>VLOOKUP(E420,'HEAD OF THE FAMILY'!$B$6:$J1851,9,FALSE)</f>
        <v>BLK 5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60">
        <f t="shared" si="3"/>
        <v>416</v>
      </c>
      <c r="B421" s="62" t="s">
        <v>181</v>
      </c>
      <c r="C421" s="62" t="s">
        <v>1215</v>
      </c>
      <c r="D421" s="105"/>
      <c r="E421" s="62" t="s">
        <v>746</v>
      </c>
      <c r="F421" s="60"/>
      <c r="G421" s="92"/>
      <c r="H421" s="60"/>
      <c r="I421" s="60"/>
      <c r="J421" s="60"/>
      <c r="K421" s="71" t="str">
        <f>VLOOKUP(E421,'HEAD OF THE FAMILY'!$B$6:$J1851,9,FALSE)</f>
        <v>BLK 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60">
        <f t="shared" si="3"/>
        <v>417</v>
      </c>
      <c r="B422" s="62" t="s">
        <v>1217</v>
      </c>
      <c r="C422" s="62" t="s">
        <v>1218</v>
      </c>
      <c r="D422" s="105"/>
      <c r="E422" s="62" t="s">
        <v>273</v>
      </c>
      <c r="F422" s="60"/>
      <c r="G422" s="92"/>
      <c r="H422" s="60"/>
      <c r="I422" s="60"/>
      <c r="J422" s="60"/>
      <c r="K422" s="71" t="str">
        <f>VLOOKUP(E422,'HEAD OF THE FAMILY'!$B$6:$J1851,9,FALSE)</f>
        <v>BLK 5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60">
        <f t="shared" si="3"/>
        <v>418</v>
      </c>
      <c r="B423" s="62" t="s">
        <v>1217</v>
      </c>
      <c r="C423" s="62" t="s">
        <v>1220</v>
      </c>
      <c r="D423" s="105"/>
      <c r="E423" s="62" t="s">
        <v>273</v>
      </c>
      <c r="F423" s="60"/>
      <c r="G423" s="92"/>
      <c r="H423" s="60"/>
      <c r="I423" s="60"/>
      <c r="J423" s="60"/>
      <c r="K423" s="71" t="str">
        <f>VLOOKUP(E423,'HEAD OF THE FAMILY'!$B$6:$J1851,9,FALSE)</f>
        <v>BLK 5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60">
        <f t="shared" si="3"/>
        <v>419</v>
      </c>
      <c r="B424" s="62" t="s">
        <v>1222</v>
      </c>
      <c r="C424" s="62" t="s">
        <v>1078</v>
      </c>
      <c r="D424" s="105"/>
      <c r="E424" s="62" t="s">
        <v>1223</v>
      </c>
      <c r="F424" s="60"/>
      <c r="G424" s="92"/>
      <c r="H424" s="60"/>
      <c r="I424" s="60"/>
      <c r="J424" s="60"/>
      <c r="K424" s="71" t="str">
        <f>VLOOKUP(E424,'HEAD OF THE FAMILY'!$B$6:$J1851,9,FALSE)</f>
        <v>BLK 5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60">
        <f t="shared" si="3"/>
        <v>420</v>
      </c>
      <c r="B425" s="62" t="s">
        <v>1222</v>
      </c>
      <c r="C425" s="62" t="s">
        <v>1225</v>
      </c>
      <c r="D425" s="105"/>
      <c r="E425" s="62" t="s">
        <v>1223</v>
      </c>
      <c r="F425" s="60"/>
      <c r="G425" s="92"/>
      <c r="H425" s="60"/>
      <c r="I425" s="60"/>
      <c r="J425" s="60"/>
      <c r="K425" s="71" t="str">
        <f>VLOOKUP(E425,'HEAD OF THE FAMILY'!$B$6:$J1851,9,FALSE)</f>
        <v>BLK 5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60">
        <f t="shared" si="3"/>
        <v>421</v>
      </c>
      <c r="B426" s="62" t="s">
        <v>1222</v>
      </c>
      <c r="C426" s="62" t="s">
        <v>1227</v>
      </c>
      <c r="D426" s="105"/>
      <c r="E426" s="62" t="s">
        <v>1223</v>
      </c>
      <c r="F426" s="60"/>
      <c r="G426" s="92"/>
      <c r="H426" s="60"/>
      <c r="I426" s="60"/>
      <c r="J426" s="60"/>
      <c r="K426" s="71" t="str">
        <f>VLOOKUP(E426,'HEAD OF THE FAMILY'!$B$6:$J1851,9,FALSE)</f>
        <v>BLK 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60">
        <f t="shared" si="3"/>
        <v>422</v>
      </c>
      <c r="B427" s="62" t="s">
        <v>1222</v>
      </c>
      <c r="C427" s="62" t="s">
        <v>236</v>
      </c>
      <c r="D427" s="105"/>
      <c r="E427" s="62" t="s">
        <v>1223</v>
      </c>
      <c r="F427" s="60"/>
      <c r="G427" s="92"/>
      <c r="H427" s="60"/>
      <c r="I427" s="60"/>
      <c r="J427" s="60"/>
      <c r="K427" s="71" t="str">
        <f>VLOOKUP(E427,'HEAD OF THE FAMILY'!$B$6:$J1851,9,FALSE)</f>
        <v>BLK 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60">
        <f t="shared" si="3"/>
        <v>423</v>
      </c>
      <c r="B428" s="62" t="s">
        <v>1222</v>
      </c>
      <c r="C428" s="62" t="s">
        <v>1230</v>
      </c>
      <c r="D428" s="105"/>
      <c r="E428" s="62" t="s">
        <v>1223</v>
      </c>
      <c r="F428" s="60"/>
      <c r="G428" s="92"/>
      <c r="H428" s="60"/>
      <c r="I428" s="60"/>
      <c r="J428" s="60"/>
      <c r="K428" s="71" t="str">
        <f>VLOOKUP(E428,'HEAD OF THE FAMILY'!$B$6:$J1851,9,FALSE)</f>
        <v>BLK 5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60">
        <f t="shared" si="3"/>
        <v>424</v>
      </c>
      <c r="B429" s="62" t="s">
        <v>1222</v>
      </c>
      <c r="C429" s="62" t="s">
        <v>1232</v>
      </c>
      <c r="D429" s="105"/>
      <c r="E429" s="62" t="s">
        <v>1233</v>
      </c>
      <c r="F429" s="60"/>
      <c r="G429" s="92"/>
      <c r="H429" s="60"/>
      <c r="I429" s="60"/>
      <c r="J429" s="60"/>
      <c r="K429" s="71" t="str">
        <f>VLOOKUP(E429,'HEAD OF THE FAMILY'!$B$6:$J1851,9,FALSE)</f>
        <v>#N/A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60">
        <f t="shared" si="3"/>
        <v>425</v>
      </c>
      <c r="B430" s="62" t="s">
        <v>1234</v>
      </c>
      <c r="C430" s="62" t="s">
        <v>1235</v>
      </c>
      <c r="D430" s="105"/>
      <c r="E430" s="62" t="s">
        <v>1233</v>
      </c>
      <c r="F430" s="60"/>
      <c r="G430" s="92"/>
      <c r="H430" s="60"/>
      <c r="I430" s="60"/>
      <c r="J430" s="60"/>
      <c r="K430" s="71" t="str">
        <f>VLOOKUP(E430,'HEAD OF THE FAMILY'!$B$6:$J1851,9,FALSE)</f>
        <v>#N/A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60">
        <f t="shared" si="3"/>
        <v>426</v>
      </c>
      <c r="B431" s="62" t="s">
        <v>1234</v>
      </c>
      <c r="C431" s="62" t="s">
        <v>1238</v>
      </c>
      <c r="D431" s="105"/>
      <c r="E431" s="62" t="s">
        <v>1233</v>
      </c>
      <c r="F431" s="60"/>
      <c r="G431" s="92"/>
      <c r="H431" s="60"/>
      <c r="I431" s="60"/>
      <c r="J431" s="60"/>
      <c r="K431" s="71" t="str">
        <f>VLOOKUP(E431,'HEAD OF THE FAMILY'!$B$6:$J1851,9,FALSE)</f>
        <v>#N/A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60">
        <f t="shared" si="3"/>
        <v>427</v>
      </c>
      <c r="B432" s="62" t="s">
        <v>1239</v>
      </c>
      <c r="C432" s="62" t="s">
        <v>1240</v>
      </c>
      <c r="D432" s="105"/>
      <c r="E432" s="62" t="s">
        <v>1233</v>
      </c>
      <c r="F432" s="60"/>
      <c r="G432" s="92"/>
      <c r="H432" s="60"/>
      <c r="I432" s="60"/>
      <c r="J432" s="60"/>
      <c r="K432" s="71" t="str">
        <f>VLOOKUP(E432,'HEAD OF THE FAMILY'!$B$6:$J1851,9,FALSE)</f>
        <v>#N/A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60">
        <f t="shared" si="3"/>
        <v>428</v>
      </c>
      <c r="B433" s="62" t="s">
        <v>1234</v>
      </c>
      <c r="C433" s="62" t="s">
        <v>1241</v>
      </c>
      <c r="D433" s="105"/>
      <c r="E433" s="62" t="s">
        <v>1233</v>
      </c>
      <c r="F433" s="60"/>
      <c r="G433" s="92"/>
      <c r="H433" s="60"/>
      <c r="I433" s="60"/>
      <c r="J433" s="60"/>
      <c r="K433" s="71" t="str">
        <f>VLOOKUP(E433,'HEAD OF THE FAMILY'!$B$6:$J1851,9,FALSE)</f>
        <v>#N/A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60">
        <f t="shared" si="3"/>
        <v>429</v>
      </c>
      <c r="B434" s="62" t="s">
        <v>1242</v>
      </c>
      <c r="C434" s="62" t="s">
        <v>1244</v>
      </c>
      <c r="D434" s="105"/>
      <c r="E434" s="62" t="s">
        <v>1245</v>
      </c>
      <c r="F434" s="60"/>
      <c r="G434" s="92"/>
      <c r="H434" s="60"/>
      <c r="I434" s="60"/>
      <c r="J434" s="60"/>
      <c r="K434" s="71" t="str">
        <f>VLOOKUP(E434,'HEAD OF THE FAMILY'!$B$6:$J1851,9,FALSE)</f>
        <v>BLK 5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60">
        <f t="shared" si="3"/>
        <v>430</v>
      </c>
      <c r="B435" s="62" t="s">
        <v>1247</v>
      </c>
      <c r="C435" s="62" t="s">
        <v>1248</v>
      </c>
      <c r="D435" s="105"/>
      <c r="E435" s="62" t="s">
        <v>1122</v>
      </c>
      <c r="F435" s="60"/>
      <c r="G435" s="92"/>
      <c r="H435" s="60"/>
      <c r="I435" s="60"/>
      <c r="J435" s="60"/>
      <c r="K435" s="71" t="str">
        <f>VLOOKUP(E435,'HEAD OF THE FAMILY'!$B$6:$J1851,9,FALSE)</f>
        <v>BLK 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60">
        <f t="shared" si="3"/>
        <v>431</v>
      </c>
      <c r="B436" s="62" t="s">
        <v>1247</v>
      </c>
      <c r="C436" s="62" t="s">
        <v>1250</v>
      </c>
      <c r="D436" s="105"/>
      <c r="E436" s="62" t="s">
        <v>1122</v>
      </c>
      <c r="F436" s="60"/>
      <c r="G436" s="92"/>
      <c r="H436" s="60"/>
      <c r="I436" s="60"/>
      <c r="J436" s="60"/>
      <c r="K436" s="71" t="str">
        <f>VLOOKUP(E436,'HEAD OF THE FAMILY'!$B$6:$J1851,9,FALSE)</f>
        <v>BLK 5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60">
        <f t="shared" si="3"/>
        <v>432</v>
      </c>
      <c r="B437" s="62" t="s">
        <v>1252</v>
      </c>
      <c r="C437" s="62" t="s">
        <v>1253</v>
      </c>
      <c r="D437" s="105"/>
      <c r="E437" s="62" t="s">
        <v>1254</v>
      </c>
      <c r="F437" s="60"/>
      <c r="G437" s="92"/>
      <c r="H437" s="60"/>
      <c r="I437" s="60"/>
      <c r="J437" s="60"/>
      <c r="K437" s="71" t="str">
        <f>VLOOKUP(E437,'HEAD OF THE FAMILY'!$B$6:$J1851,9,FALSE)</f>
        <v>BLK 5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60">
        <f t="shared" si="3"/>
        <v>433</v>
      </c>
      <c r="B438" s="62" t="s">
        <v>1204</v>
      </c>
      <c r="C438" s="62" t="s">
        <v>1255</v>
      </c>
      <c r="D438" s="105"/>
      <c r="E438" s="62" t="s">
        <v>1254</v>
      </c>
      <c r="F438" s="60"/>
      <c r="G438" s="92"/>
      <c r="H438" s="60"/>
      <c r="I438" s="60"/>
      <c r="J438" s="60"/>
      <c r="K438" s="71" t="str">
        <f>VLOOKUP(E438,'HEAD OF THE FAMILY'!$B$6:$J1851,9,FALSE)</f>
        <v>BLK 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60">
        <f t="shared" si="3"/>
        <v>434</v>
      </c>
      <c r="B439" s="62" t="s">
        <v>1204</v>
      </c>
      <c r="C439" s="62" t="s">
        <v>1257</v>
      </c>
      <c r="D439" s="62"/>
      <c r="E439" s="62" t="s">
        <v>1254</v>
      </c>
      <c r="F439" s="60"/>
      <c r="G439" s="92"/>
      <c r="H439" s="60"/>
      <c r="I439" s="60"/>
      <c r="J439" s="60"/>
      <c r="K439" s="71" t="str">
        <f>VLOOKUP(E439,'HEAD OF THE FAMILY'!$B$6:$J1851,9,FALSE)</f>
        <v>BLK 5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60">
        <f t="shared" si="3"/>
        <v>435</v>
      </c>
      <c r="B440" s="62" t="s">
        <v>1204</v>
      </c>
      <c r="C440" s="62" t="s">
        <v>1259</v>
      </c>
      <c r="D440" s="105"/>
      <c r="E440" s="62" t="s">
        <v>1260</v>
      </c>
      <c r="F440" s="60"/>
      <c r="G440" s="92"/>
      <c r="H440" s="60"/>
      <c r="I440" s="60"/>
      <c r="J440" s="60"/>
      <c r="K440" s="71" t="str">
        <f>VLOOKUP(E440,'HEAD OF THE FAMILY'!$B$6:$J1851,9,FALSE)</f>
        <v>BLK 5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60">
        <f t="shared" si="3"/>
        <v>436</v>
      </c>
      <c r="B441" s="62" t="s">
        <v>1261</v>
      </c>
      <c r="C441" s="62" t="s">
        <v>1262</v>
      </c>
      <c r="D441" s="105"/>
      <c r="E441" s="62" t="s">
        <v>1260</v>
      </c>
      <c r="F441" s="60"/>
      <c r="G441" s="92"/>
      <c r="H441" s="60"/>
      <c r="I441" s="60"/>
      <c r="J441" s="60"/>
      <c r="K441" s="71" t="str">
        <f>VLOOKUP(E441,'HEAD OF THE FAMILY'!$B$6:$J1851,9,FALSE)</f>
        <v>BLK 5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60">
        <f t="shared" si="3"/>
        <v>437</v>
      </c>
      <c r="B442" s="62" t="s">
        <v>1264</v>
      </c>
      <c r="C442" s="62" t="s">
        <v>1265</v>
      </c>
      <c r="D442" s="105"/>
      <c r="E442" s="62" t="s">
        <v>1260</v>
      </c>
      <c r="F442" s="60"/>
      <c r="G442" s="92"/>
      <c r="H442" s="60"/>
      <c r="I442" s="60"/>
      <c r="J442" s="60"/>
      <c r="K442" s="71" t="str">
        <f>VLOOKUP(E442,'HEAD OF THE FAMILY'!$B$6:$J1851,9,FALSE)</f>
        <v>BLK 5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60">
        <f t="shared" si="3"/>
        <v>438</v>
      </c>
      <c r="B443" s="62" t="s">
        <v>1268</v>
      </c>
      <c r="C443" s="62" t="s">
        <v>1269</v>
      </c>
      <c r="D443" s="105"/>
      <c r="E443" s="62" t="s">
        <v>437</v>
      </c>
      <c r="F443" s="60"/>
      <c r="G443" s="92"/>
      <c r="H443" s="60"/>
      <c r="I443" s="60"/>
      <c r="J443" s="60"/>
      <c r="K443" s="71" t="str">
        <f>VLOOKUP(E443,'HEAD OF THE FAMILY'!$B$6:$J1851,9,FALSE)</f>
        <v>BLK 5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60">
        <f t="shared" si="3"/>
        <v>439</v>
      </c>
      <c r="B444" s="62" t="s">
        <v>1270</v>
      </c>
      <c r="C444" s="62" t="s">
        <v>1271</v>
      </c>
      <c r="D444" s="105"/>
      <c r="E444" s="62" t="s">
        <v>1144</v>
      </c>
      <c r="F444" s="60"/>
      <c r="G444" s="92"/>
      <c r="H444" s="60"/>
      <c r="I444" s="60"/>
      <c r="J444" s="60"/>
      <c r="K444" s="71" t="str">
        <f>VLOOKUP(E444,'HEAD OF THE FAMILY'!$B$6:$J1851,9,FALSE)</f>
        <v>BLK 5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60">
        <f t="shared" si="3"/>
        <v>440</v>
      </c>
      <c r="B445" s="62" t="s">
        <v>1273</v>
      </c>
      <c r="C445" s="62" t="s">
        <v>1274</v>
      </c>
      <c r="D445" s="105"/>
      <c r="E445" s="62" t="s">
        <v>1144</v>
      </c>
      <c r="F445" s="60"/>
      <c r="G445" s="92"/>
      <c r="H445" s="60"/>
      <c r="I445" s="60"/>
      <c r="J445" s="60"/>
      <c r="K445" s="71" t="str">
        <f>VLOOKUP(E445,'HEAD OF THE FAMILY'!$B$6:$J1851,9,FALSE)</f>
        <v>BLK 5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60">
        <f t="shared" si="3"/>
        <v>441</v>
      </c>
      <c r="B446" s="62" t="s">
        <v>1273</v>
      </c>
      <c r="C446" s="62" t="s">
        <v>1276</v>
      </c>
      <c r="D446" s="105"/>
      <c r="E446" s="62" t="s">
        <v>1144</v>
      </c>
      <c r="F446" s="60"/>
      <c r="G446" s="92"/>
      <c r="H446" s="60"/>
      <c r="I446" s="60"/>
      <c r="J446" s="60"/>
      <c r="K446" s="71" t="str">
        <f>VLOOKUP(E446,'HEAD OF THE FAMILY'!$B$6:$J1851,9,FALSE)</f>
        <v>BLK 5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60">
        <f t="shared" si="3"/>
        <v>442</v>
      </c>
      <c r="B447" s="62" t="s">
        <v>1273</v>
      </c>
      <c r="C447" s="62" t="s">
        <v>1278</v>
      </c>
      <c r="D447" s="105"/>
      <c r="E447" s="62" t="s">
        <v>1144</v>
      </c>
      <c r="F447" s="60"/>
      <c r="G447" s="92"/>
      <c r="H447" s="60"/>
      <c r="I447" s="60"/>
      <c r="J447" s="60"/>
      <c r="K447" s="71" t="str">
        <f>VLOOKUP(E447,'HEAD OF THE FAMILY'!$B$6:$J1851,9,FALSE)</f>
        <v>BLK 5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60">
        <f t="shared" si="3"/>
        <v>443</v>
      </c>
      <c r="B448" s="62" t="s">
        <v>1280</v>
      </c>
      <c r="C448" s="62" t="s">
        <v>1281</v>
      </c>
      <c r="D448" s="105"/>
      <c r="E448" s="62" t="s">
        <v>1282</v>
      </c>
      <c r="F448" s="60"/>
      <c r="G448" s="92"/>
      <c r="H448" s="60"/>
      <c r="I448" s="60"/>
      <c r="J448" s="60"/>
      <c r="K448" s="71" t="str">
        <f>VLOOKUP(E448,'HEAD OF THE FAMILY'!$B$6:$J1851,9,FALSE)</f>
        <v>BLK 5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60">
        <f t="shared" si="3"/>
        <v>444</v>
      </c>
      <c r="B449" s="62" t="s">
        <v>1283</v>
      </c>
      <c r="C449" s="62" t="s">
        <v>1284</v>
      </c>
      <c r="D449" s="62" t="s">
        <v>200</v>
      </c>
      <c r="E449" s="62" t="s">
        <v>63</v>
      </c>
      <c r="F449" s="60"/>
      <c r="G449" s="92"/>
      <c r="H449" s="60"/>
      <c r="I449" s="60"/>
      <c r="J449" s="60"/>
      <c r="K449" s="71" t="str">
        <f>VLOOKUP(E449,'HEAD OF THE FAMILY'!$B$6:$J1851,9,FALSE)</f>
        <v>BLK 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60">
        <f t="shared" si="3"/>
        <v>445</v>
      </c>
      <c r="B450" s="62" t="s">
        <v>1286</v>
      </c>
      <c r="C450" s="62" t="s">
        <v>1287</v>
      </c>
      <c r="D450" s="105"/>
      <c r="E450" s="62" t="s">
        <v>1289</v>
      </c>
      <c r="F450" s="60"/>
      <c r="G450" s="92"/>
      <c r="H450" s="60"/>
      <c r="I450" s="60"/>
      <c r="J450" s="60"/>
      <c r="K450" s="71" t="str">
        <f>VLOOKUP(E450,'HEAD OF THE FAMILY'!$B$6:$J1851,9,FALSE)</f>
        <v>BLK 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60">
        <f t="shared" si="3"/>
        <v>446</v>
      </c>
      <c r="B451" s="62" t="s">
        <v>1286</v>
      </c>
      <c r="C451" s="62" t="s">
        <v>1290</v>
      </c>
      <c r="D451" s="105"/>
      <c r="E451" s="62" t="s">
        <v>1289</v>
      </c>
      <c r="F451" s="60"/>
      <c r="G451" s="92"/>
      <c r="H451" s="60"/>
      <c r="I451" s="60"/>
      <c r="J451" s="60"/>
      <c r="K451" s="71" t="str">
        <f>VLOOKUP(E451,'HEAD OF THE FAMILY'!$B$6:$J1851,9,FALSE)</f>
        <v>BLK 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60">
        <f t="shared" si="3"/>
        <v>447</v>
      </c>
      <c r="B452" s="62" t="s">
        <v>1292</v>
      </c>
      <c r="C452" s="62" t="s">
        <v>1293</v>
      </c>
      <c r="D452" s="105"/>
      <c r="E452" s="62" t="s">
        <v>143</v>
      </c>
      <c r="F452" s="60"/>
      <c r="G452" s="92"/>
      <c r="H452" s="60"/>
      <c r="I452" s="60"/>
      <c r="J452" s="60"/>
      <c r="K452" s="71" t="str">
        <f>VLOOKUP(E452,'HEAD OF THE FAMILY'!$B$6:$J1851,9,FALSE)</f>
        <v>BLK 5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60">
        <f t="shared" si="3"/>
        <v>448</v>
      </c>
      <c r="B453" s="62" t="s">
        <v>1294</v>
      </c>
      <c r="C453" s="62" t="s">
        <v>1295</v>
      </c>
      <c r="D453" s="105"/>
      <c r="E453" s="62" t="s">
        <v>143</v>
      </c>
      <c r="F453" s="60"/>
      <c r="G453" s="92"/>
      <c r="H453" s="60"/>
      <c r="I453" s="60"/>
      <c r="J453" s="60"/>
      <c r="K453" s="71" t="str">
        <f>VLOOKUP(E453,'HEAD OF THE FAMILY'!$B$6:$J1851,9,FALSE)</f>
        <v>BLK 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60">
        <f t="shared" si="3"/>
        <v>449</v>
      </c>
      <c r="B454" s="62" t="s">
        <v>1292</v>
      </c>
      <c r="C454" s="62" t="s">
        <v>1298</v>
      </c>
      <c r="D454" s="105"/>
      <c r="E454" s="62" t="s">
        <v>143</v>
      </c>
      <c r="F454" s="60"/>
      <c r="G454" s="92"/>
      <c r="H454" s="60"/>
      <c r="I454" s="60"/>
      <c r="J454" s="60"/>
      <c r="K454" s="71" t="str">
        <f>VLOOKUP(E454,'HEAD OF THE FAMILY'!$B$6:$J1851,9,FALSE)</f>
        <v>BLK 5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60">
        <f t="shared" si="3"/>
        <v>450</v>
      </c>
      <c r="B455" s="62" t="s">
        <v>1292</v>
      </c>
      <c r="C455" s="62" t="s">
        <v>1299</v>
      </c>
      <c r="D455" s="105"/>
      <c r="E455" s="62" t="s">
        <v>143</v>
      </c>
      <c r="F455" s="60"/>
      <c r="G455" s="92"/>
      <c r="H455" s="60"/>
      <c r="I455" s="60"/>
      <c r="J455" s="60"/>
      <c r="K455" s="71" t="str">
        <f>VLOOKUP(E455,'HEAD OF THE FAMILY'!$B$6:$J1851,9,FALSE)</f>
        <v>BLK 5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60">
        <f t="shared" si="3"/>
        <v>451</v>
      </c>
      <c r="B456" s="62" t="s">
        <v>1292</v>
      </c>
      <c r="C456" s="62" t="s">
        <v>1303</v>
      </c>
      <c r="D456" s="105"/>
      <c r="E456" s="62" t="s">
        <v>143</v>
      </c>
      <c r="F456" s="60"/>
      <c r="G456" s="92"/>
      <c r="H456" s="60"/>
      <c r="I456" s="60"/>
      <c r="J456" s="60"/>
      <c r="K456" s="71" t="str">
        <f>VLOOKUP(E456,'HEAD OF THE FAMILY'!$B$6:$J1851,9,FALSE)</f>
        <v>BLK 5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60">
        <f t="shared" si="3"/>
        <v>452</v>
      </c>
      <c r="B457" s="62" t="s">
        <v>1294</v>
      </c>
      <c r="C457" s="62" t="s">
        <v>1305</v>
      </c>
      <c r="D457" s="105"/>
      <c r="E457" s="62" t="s">
        <v>429</v>
      </c>
      <c r="F457" s="60"/>
      <c r="G457" s="92"/>
      <c r="H457" s="60"/>
      <c r="I457" s="60"/>
      <c r="J457" s="60"/>
      <c r="K457" s="71" t="str">
        <f>VLOOKUP(E457,'HEAD OF THE FAMILY'!$B$6:$J1851,9,FALSE)</f>
        <v>BLK 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60">
        <f t="shared" si="3"/>
        <v>453</v>
      </c>
      <c r="B458" s="62" t="s">
        <v>1294</v>
      </c>
      <c r="C458" s="62" t="s">
        <v>1307</v>
      </c>
      <c r="D458" s="105"/>
      <c r="E458" s="62" t="s">
        <v>437</v>
      </c>
      <c r="F458" s="60"/>
      <c r="G458" s="92"/>
      <c r="H458" s="60"/>
      <c r="I458" s="60"/>
      <c r="J458" s="60"/>
      <c r="K458" s="71" t="str">
        <f>VLOOKUP(E458,'HEAD OF THE FAMILY'!$B$6:$J1851,9,FALSE)</f>
        <v>BLK 5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60">
        <f t="shared" si="3"/>
        <v>454</v>
      </c>
      <c r="B459" s="62" t="s">
        <v>1294</v>
      </c>
      <c r="C459" s="62" t="s">
        <v>1309</v>
      </c>
      <c r="D459" s="105"/>
      <c r="E459" s="62" t="s">
        <v>429</v>
      </c>
      <c r="F459" s="60"/>
      <c r="G459" s="92"/>
      <c r="H459" s="60"/>
      <c r="I459" s="60"/>
      <c r="J459" s="60"/>
      <c r="K459" s="71" t="str">
        <f>VLOOKUP(E459,'HEAD OF THE FAMILY'!$B$6:$J1851,9,FALSE)</f>
        <v>BLK 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60">
        <f t="shared" si="3"/>
        <v>455</v>
      </c>
      <c r="B460" s="62" t="s">
        <v>1311</v>
      </c>
      <c r="C460" s="62" t="s">
        <v>1312</v>
      </c>
      <c r="D460" s="105"/>
      <c r="E460" s="62" t="s">
        <v>429</v>
      </c>
      <c r="F460" s="60"/>
      <c r="G460" s="92"/>
      <c r="H460" s="60"/>
      <c r="I460" s="60"/>
      <c r="J460" s="60"/>
      <c r="K460" s="71" t="str">
        <f>VLOOKUP(E460,'HEAD OF THE FAMILY'!$B$6:$J1851,9,FALSE)</f>
        <v>BLK 5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60">
        <f t="shared" si="3"/>
        <v>456</v>
      </c>
      <c r="B461" s="62" t="s">
        <v>1294</v>
      </c>
      <c r="C461" s="62" t="s">
        <v>1315</v>
      </c>
      <c r="D461" s="105"/>
      <c r="E461" s="62" t="s">
        <v>774</v>
      </c>
      <c r="F461" s="60"/>
      <c r="G461" s="92"/>
      <c r="H461" s="60"/>
      <c r="I461" s="60"/>
      <c r="J461" s="60"/>
      <c r="K461" s="71" t="str">
        <f>VLOOKUP(E461,'HEAD OF THE FAMILY'!$B$6:$J1851,9,FALSE)</f>
        <v>BLK 5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60">
        <f t="shared" si="3"/>
        <v>457</v>
      </c>
      <c r="B462" s="62" t="s">
        <v>1294</v>
      </c>
      <c r="C462" s="62" t="s">
        <v>1316</v>
      </c>
      <c r="D462" s="105"/>
      <c r="E462" s="62" t="s">
        <v>774</v>
      </c>
      <c r="F462" s="60"/>
      <c r="G462" s="92"/>
      <c r="H462" s="60"/>
      <c r="I462" s="60"/>
      <c r="J462" s="60"/>
      <c r="K462" s="71" t="str">
        <f>VLOOKUP(E462,'HEAD OF THE FAMILY'!$B$6:$J1851,9,FALSE)</f>
        <v>BLK 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60">
        <f t="shared" si="3"/>
        <v>458</v>
      </c>
      <c r="B463" s="62" t="s">
        <v>1319</v>
      </c>
      <c r="C463" s="62" t="s">
        <v>1320</v>
      </c>
      <c r="D463" s="62" t="s">
        <v>95</v>
      </c>
      <c r="E463" s="62" t="s">
        <v>1321</v>
      </c>
      <c r="F463" s="60"/>
      <c r="G463" s="92"/>
      <c r="H463" s="60"/>
      <c r="I463" s="60"/>
      <c r="J463" s="60"/>
      <c r="K463" s="71" t="str">
        <f>VLOOKUP(E463,'HEAD OF THE FAMILY'!$B$6:$J1851,9,FALSE)</f>
        <v>BLK 5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60">
        <f t="shared" si="3"/>
        <v>459</v>
      </c>
      <c r="B464" s="62" t="s">
        <v>1319</v>
      </c>
      <c r="C464" s="62" t="s">
        <v>1322</v>
      </c>
      <c r="D464" s="62" t="s">
        <v>95</v>
      </c>
      <c r="E464" s="62" t="s">
        <v>1321</v>
      </c>
      <c r="F464" s="60"/>
      <c r="G464" s="92"/>
      <c r="H464" s="60"/>
      <c r="I464" s="60"/>
      <c r="J464" s="60"/>
      <c r="K464" s="71" t="str">
        <f>VLOOKUP(E464,'HEAD OF THE FAMILY'!$B$6:$J1851,9,FALSE)</f>
        <v>BLK 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60">
        <f t="shared" si="3"/>
        <v>460</v>
      </c>
      <c r="B465" s="62" t="s">
        <v>1319</v>
      </c>
      <c r="C465" s="62" t="s">
        <v>1323</v>
      </c>
      <c r="D465" s="62" t="s">
        <v>95</v>
      </c>
      <c r="E465" s="62" t="s">
        <v>1321</v>
      </c>
      <c r="F465" s="60"/>
      <c r="G465" s="92"/>
      <c r="H465" s="60"/>
      <c r="I465" s="60"/>
      <c r="J465" s="60"/>
      <c r="K465" s="71" t="str">
        <f>VLOOKUP(E465,'HEAD OF THE FAMILY'!$B$6:$J1851,9,FALSE)</f>
        <v>BLK 5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60">
        <f t="shared" si="3"/>
        <v>461</v>
      </c>
      <c r="B466" s="62" t="s">
        <v>1325</v>
      </c>
      <c r="C466" s="62" t="s">
        <v>1326</v>
      </c>
      <c r="D466" s="105"/>
      <c r="E466" s="62" t="s">
        <v>1327</v>
      </c>
      <c r="F466" s="60"/>
      <c r="G466" s="92"/>
      <c r="H466" s="60"/>
      <c r="I466" s="60"/>
      <c r="J466" s="75" t="s">
        <v>19</v>
      </c>
      <c r="K466" s="71" t="str">
        <f>VLOOKUP(E466,'HEAD OF THE FAMILY'!$B$6:$J1851,9,FALSE)</f>
        <v>BLK 3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60">
        <f t="shared" si="3"/>
        <v>462</v>
      </c>
      <c r="B467" s="62" t="s">
        <v>1328</v>
      </c>
      <c r="C467" s="62" t="s">
        <v>1329</v>
      </c>
      <c r="D467" s="62" t="s">
        <v>469</v>
      </c>
      <c r="E467" s="62" t="s">
        <v>930</v>
      </c>
      <c r="F467" s="60"/>
      <c r="G467" s="92"/>
      <c r="H467" s="60"/>
      <c r="I467" s="60"/>
      <c r="J467" s="60"/>
      <c r="K467" s="71" t="str">
        <f>VLOOKUP(E467,'HEAD OF THE FAMILY'!$B$6:$J1851,9,FALSE)</f>
        <v>BLK 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60">
        <f t="shared" si="3"/>
        <v>463</v>
      </c>
      <c r="B468" s="62" t="s">
        <v>1328</v>
      </c>
      <c r="C468" s="62" t="s">
        <v>1332</v>
      </c>
      <c r="D468" s="62" t="s">
        <v>469</v>
      </c>
      <c r="E468" s="62" t="s">
        <v>930</v>
      </c>
      <c r="F468" s="60"/>
      <c r="G468" s="92"/>
      <c r="H468" s="60"/>
      <c r="I468" s="60"/>
      <c r="J468" s="60"/>
      <c r="K468" s="71" t="str">
        <f>VLOOKUP(E468,'HEAD OF THE FAMILY'!$B$6:$J1851,9,FALSE)</f>
        <v>BLK 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60">
        <f t="shared" si="3"/>
        <v>464</v>
      </c>
      <c r="B469" s="62" t="s">
        <v>1328</v>
      </c>
      <c r="C469" s="62" t="s">
        <v>1334</v>
      </c>
      <c r="D469" s="62" t="s">
        <v>469</v>
      </c>
      <c r="E469" s="62" t="s">
        <v>930</v>
      </c>
      <c r="F469" s="60"/>
      <c r="G469" s="92"/>
      <c r="H469" s="60"/>
      <c r="I469" s="60"/>
      <c r="J469" s="60"/>
      <c r="K469" s="71" t="str">
        <f>VLOOKUP(E469,'HEAD OF THE FAMILY'!$B$6:$J1851,9,FALSE)</f>
        <v>BLK 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60">
        <f t="shared" si="3"/>
        <v>465</v>
      </c>
      <c r="B470" s="62" t="s">
        <v>1335</v>
      </c>
      <c r="C470" s="62" t="s">
        <v>1336</v>
      </c>
      <c r="D470" s="105"/>
      <c r="E470" s="62" t="s">
        <v>1337</v>
      </c>
      <c r="F470" s="60"/>
      <c r="G470" s="92"/>
      <c r="H470" s="60"/>
      <c r="I470" s="60"/>
      <c r="J470" s="60"/>
      <c r="K470" s="71" t="str">
        <f>VLOOKUP(E470,'HEAD OF THE FAMILY'!$B$6:$J1851,9,FALSE)</f>
        <v>BLK 3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60">
        <f t="shared" si="3"/>
        <v>466</v>
      </c>
      <c r="B471" s="62" t="s">
        <v>1339</v>
      </c>
      <c r="C471" s="62" t="s">
        <v>1340</v>
      </c>
      <c r="D471" s="105"/>
      <c r="E471" s="62" t="s">
        <v>1341</v>
      </c>
      <c r="F471" s="60"/>
      <c r="G471" s="92"/>
      <c r="H471" s="60"/>
      <c r="I471" s="60"/>
      <c r="J471" s="60"/>
      <c r="K471" s="71" t="str">
        <f>VLOOKUP(E471,'HEAD OF THE FAMILY'!$B$6:$J1851,9,FALSE)</f>
        <v>BLK 3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60">
        <f t="shared" si="3"/>
        <v>467</v>
      </c>
      <c r="B472" s="62" t="s">
        <v>1344</v>
      </c>
      <c r="C472" s="62" t="s">
        <v>1345</v>
      </c>
      <c r="D472" s="62" t="s">
        <v>1346</v>
      </c>
      <c r="E472" s="62" t="s">
        <v>1300</v>
      </c>
      <c r="F472" s="60"/>
      <c r="G472" s="92"/>
      <c r="H472" s="60"/>
      <c r="I472" s="60"/>
      <c r="J472" s="60"/>
      <c r="K472" s="71" t="str">
        <f>VLOOKUP(E472,'HEAD OF THE FAMILY'!$B$6:$J1851,9,FALSE)</f>
        <v>BLK 3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60">
        <f t="shared" si="3"/>
        <v>468</v>
      </c>
      <c r="B473" s="62" t="s">
        <v>1348</v>
      </c>
      <c r="C473" s="62" t="s">
        <v>1350</v>
      </c>
      <c r="D473" s="62" t="s">
        <v>71</v>
      </c>
      <c r="E473" s="62" t="s">
        <v>1014</v>
      </c>
      <c r="F473" s="60"/>
      <c r="G473" s="92"/>
      <c r="H473" s="60"/>
      <c r="I473" s="60"/>
      <c r="J473" s="60"/>
      <c r="K473" s="71" t="str">
        <f>VLOOKUP(E473,'HEAD OF THE FAMILY'!$B$6:$J1851,9,FALSE)</f>
        <v>BLK 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60">
        <f t="shared" si="3"/>
        <v>469</v>
      </c>
      <c r="B474" s="62" t="s">
        <v>1348</v>
      </c>
      <c r="C474" s="62" t="s">
        <v>1351</v>
      </c>
      <c r="D474" s="62" t="s">
        <v>71</v>
      </c>
      <c r="E474" s="62" t="s">
        <v>1014</v>
      </c>
      <c r="F474" s="60"/>
      <c r="G474" s="92"/>
      <c r="H474" s="60"/>
      <c r="I474" s="60"/>
      <c r="J474" s="60"/>
      <c r="K474" s="71" t="str">
        <f>VLOOKUP(E474,'HEAD OF THE FAMILY'!$B$6:$J1851,9,FALSE)</f>
        <v>BLK 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60">
        <f t="shared" si="3"/>
        <v>470</v>
      </c>
      <c r="B475" s="62" t="s">
        <v>1348</v>
      </c>
      <c r="C475" s="62" t="s">
        <v>1353</v>
      </c>
      <c r="D475" s="62" t="s">
        <v>71</v>
      </c>
      <c r="E475" s="62" t="s">
        <v>1014</v>
      </c>
      <c r="F475" s="60"/>
      <c r="G475" s="92"/>
      <c r="H475" s="60"/>
      <c r="I475" s="60"/>
      <c r="J475" s="60"/>
      <c r="K475" s="71" t="str">
        <f>VLOOKUP(E475,'HEAD OF THE FAMILY'!$B$6:$J1851,9,FALSE)</f>
        <v>BLK 3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60">
        <f t="shared" si="3"/>
        <v>471</v>
      </c>
      <c r="B476" s="62" t="s">
        <v>1354</v>
      </c>
      <c r="C476" s="62" t="s">
        <v>1355</v>
      </c>
      <c r="D476" s="62" t="s">
        <v>968</v>
      </c>
      <c r="E476" s="62" t="s">
        <v>872</v>
      </c>
      <c r="F476" s="60"/>
      <c r="G476" s="92"/>
      <c r="H476" s="60"/>
      <c r="I476" s="60"/>
      <c r="J476" s="60"/>
      <c r="K476" s="71" t="str">
        <f>VLOOKUP(E476,'HEAD OF THE FAMILY'!$B$6:$J1851,9,FALSE)</f>
        <v>BLK 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60">
        <f t="shared" si="3"/>
        <v>472</v>
      </c>
      <c r="B477" s="62" t="s">
        <v>1358</v>
      </c>
      <c r="C477" s="62" t="s">
        <v>1359</v>
      </c>
      <c r="D477" s="62" t="s">
        <v>95</v>
      </c>
      <c r="E477" s="62" t="s">
        <v>1360</v>
      </c>
      <c r="F477" s="60"/>
      <c r="G477" s="92"/>
      <c r="H477" s="60"/>
      <c r="I477" s="60"/>
      <c r="J477" s="60"/>
      <c r="K477" s="71" t="str">
        <f>VLOOKUP(E477,'HEAD OF THE FAMILY'!$B$6:$J1851,9,FALSE)</f>
        <v>BLK 3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60">
        <f t="shared" si="3"/>
        <v>473</v>
      </c>
      <c r="B478" s="62" t="s">
        <v>1358</v>
      </c>
      <c r="C478" s="62" t="s">
        <v>1362</v>
      </c>
      <c r="D478" s="62" t="s">
        <v>95</v>
      </c>
      <c r="E478" s="62" t="s">
        <v>1360</v>
      </c>
      <c r="F478" s="60"/>
      <c r="G478" s="92"/>
      <c r="H478" s="60"/>
      <c r="I478" s="60"/>
      <c r="J478" s="60"/>
      <c r="K478" s="71" t="str">
        <f>VLOOKUP(E478,'HEAD OF THE FAMILY'!$B$6:$J1851,9,FALSE)</f>
        <v>BLK 3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60">
        <f t="shared" si="3"/>
        <v>474</v>
      </c>
      <c r="B479" s="62" t="s">
        <v>1363</v>
      </c>
      <c r="C479" s="62" t="s">
        <v>1364</v>
      </c>
      <c r="D479" s="105"/>
      <c r="E479" s="62" t="s">
        <v>1365</v>
      </c>
      <c r="F479" s="60"/>
      <c r="G479" s="92"/>
      <c r="H479" s="60"/>
      <c r="I479" s="60"/>
      <c r="J479" s="60"/>
      <c r="K479" s="71" t="str">
        <f>VLOOKUP(E479,'HEAD OF THE FAMILY'!$B$6:$J1851,9,FALSE)</f>
        <v>BLK 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60">
        <f t="shared" si="3"/>
        <v>475</v>
      </c>
      <c r="B480" s="62" t="s">
        <v>1363</v>
      </c>
      <c r="C480" s="62" t="s">
        <v>1368</v>
      </c>
      <c r="D480" s="105"/>
      <c r="E480" s="62" t="s">
        <v>1365</v>
      </c>
      <c r="F480" s="60"/>
      <c r="G480" s="92"/>
      <c r="H480" s="60"/>
      <c r="I480" s="60"/>
      <c r="J480" s="60"/>
      <c r="K480" s="71" t="str">
        <f>VLOOKUP(E480,'HEAD OF THE FAMILY'!$B$6:$J1851,9,FALSE)</f>
        <v>BLK 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60">
        <f t="shared" si="3"/>
        <v>476</v>
      </c>
      <c r="B481" s="62" t="s">
        <v>1363</v>
      </c>
      <c r="C481" s="62" t="s">
        <v>1369</v>
      </c>
      <c r="D481" s="105"/>
      <c r="E481" s="62" t="s">
        <v>1365</v>
      </c>
      <c r="F481" s="60"/>
      <c r="G481" s="92"/>
      <c r="H481" s="60"/>
      <c r="I481" s="60"/>
      <c r="J481" s="60"/>
      <c r="K481" s="71" t="str">
        <f>VLOOKUP(E481,'HEAD OF THE FAMILY'!$B$6:$J1851,9,FALSE)</f>
        <v>BLK 3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60">
        <f t="shared" si="3"/>
        <v>477</v>
      </c>
      <c r="B482" s="62" t="s">
        <v>1372</v>
      </c>
      <c r="C482" s="62" t="s">
        <v>1373</v>
      </c>
      <c r="D482" s="105"/>
      <c r="E482" s="62" t="s">
        <v>1374</v>
      </c>
      <c r="F482" s="60"/>
      <c r="G482" s="92"/>
      <c r="H482" s="60"/>
      <c r="I482" s="60"/>
      <c r="J482" s="60"/>
      <c r="K482" s="71" t="str">
        <f>VLOOKUP(E482,'HEAD OF THE FAMILY'!$B$6:$J1851,9,FALSE)</f>
        <v>BLK 3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60">
        <f t="shared" si="3"/>
        <v>478</v>
      </c>
      <c r="B483" s="62" t="s">
        <v>1068</v>
      </c>
      <c r="C483" s="62" t="s">
        <v>1375</v>
      </c>
      <c r="D483" s="105"/>
      <c r="E483" s="62" t="s">
        <v>1374</v>
      </c>
      <c r="F483" s="60"/>
      <c r="G483" s="92"/>
      <c r="H483" s="60"/>
      <c r="I483" s="60"/>
      <c r="J483" s="60"/>
      <c r="K483" s="71" t="str">
        <f>VLOOKUP(E483,'HEAD OF THE FAMILY'!$B$6:$J1851,9,FALSE)</f>
        <v>BLK 3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60">
        <f t="shared" si="3"/>
        <v>479</v>
      </c>
      <c r="B484" s="62" t="s">
        <v>1068</v>
      </c>
      <c r="C484" s="62" t="s">
        <v>1377</v>
      </c>
      <c r="D484" s="105"/>
      <c r="E484" s="62" t="s">
        <v>1374</v>
      </c>
      <c r="F484" s="60"/>
      <c r="G484" s="92"/>
      <c r="H484" s="60"/>
      <c r="I484" s="60"/>
      <c r="J484" s="60"/>
      <c r="K484" s="71" t="str">
        <f>VLOOKUP(E484,'HEAD OF THE FAMILY'!$B$6:$J1851,9,FALSE)</f>
        <v>BLK 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60">
        <f t="shared" si="3"/>
        <v>480</v>
      </c>
      <c r="B485" s="62" t="s">
        <v>1379</v>
      </c>
      <c r="C485" s="62" t="s">
        <v>1380</v>
      </c>
      <c r="D485" s="105"/>
      <c r="E485" s="62" t="s">
        <v>1374</v>
      </c>
      <c r="F485" s="60"/>
      <c r="G485" s="92"/>
      <c r="H485" s="60"/>
      <c r="I485" s="60"/>
      <c r="J485" s="60"/>
      <c r="K485" s="71" t="str">
        <f>VLOOKUP(E485,'HEAD OF THE FAMILY'!$B$6:$J1851,9,FALSE)</f>
        <v>BLK 3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60">
        <f t="shared" si="3"/>
        <v>481</v>
      </c>
      <c r="B486" s="62" t="s">
        <v>1068</v>
      </c>
      <c r="C486" s="62" t="s">
        <v>1381</v>
      </c>
      <c r="D486" s="105"/>
      <c r="E486" s="62" t="s">
        <v>1382</v>
      </c>
      <c r="F486" s="60"/>
      <c r="G486" s="92"/>
      <c r="H486" s="60"/>
      <c r="I486" s="60"/>
      <c r="J486" s="60"/>
      <c r="K486" s="71" t="str">
        <f>VLOOKUP(E486,'HEAD OF THE FAMILY'!$B$6:$J1851,9,FALSE)</f>
        <v>BLK 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60">
        <f t="shared" si="3"/>
        <v>482</v>
      </c>
      <c r="B487" s="62" t="s">
        <v>1068</v>
      </c>
      <c r="C487" s="62" t="s">
        <v>1384</v>
      </c>
      <c r="D487" s="105"/>
      <c r="E487" s="62" t="s">
        <v>1382</v>
      </c>
      <c r="F487" s="60"/>
      <c r="G487" s="92"/>
      <c r="H487" s="60"/>
      <c r="I487" s="60"/>
      <c r="J487" s="60"/>
      <c r="K487" s="71" t="str">
        <f>VLOOKUP(E487,'HEAD OF THE FAMILY'!$B$6:$J1851,9,FALSE)</f>
        <v>BLK 3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60">
        <f t="shared" si="3"/>
        <v>483</v>
      </c>
      <c r="B488" s="62" t="s">
        <v>1386</v>
      </c>
      <c r="C488" s="62" t="s">
        <v>1387</v>
      </c>
      <c r="D488" s="105"/>
      <c r="E488" s="62" t="s">
        <v>46</v>
      </c>
      <c r="F488" s="60"/>
      <c r="G488" s="92"/>
      <c r="H488" s="60"/>
      <c r="I488" s="60"/>
      <c r="J488" s="60"/>
      <c r="K488" s="71" t="str">
        <f>VLOOKUP(E488,'HEAD OF THE FAMILY'!$B$6:$J1851,9,FALSE)</f>
        <v>BLK 3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60">
        <f t="shared" si="3"/>
        <v>484</v>
      </c>
      <c r="B489" s="62" t="s">
        <v>1386</v>
      </c>
      <c r="C489" s="62" t="s">
        <v>1389</v>
      </c>
      <c r="D489" s="105"/>
      <c r="E489" s="62" t="s">
        <v>46</v>
      </c>
      <c r="F489" s="60"/>
      <c r="G489" s="92"/>
      <c r="H489" s="60"/>
      <c r="I489" s="60"/>
      <c r="J489" s="60"/>
      <c r="K489" s="71" t="str">
        <f>VLOOKUP(E489,'HEAD OF THE FAMILY'!$B$6:$J1851,9,FALSE)</f>
        <v>BLK 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60">
        <f t="shared" si="3"/>
        <v>485</v>
      </c>
      <c r="B490" s="62" t="s">
        <v>1386</v>
      </c>
      <c r="C490" s="62" t="s">
        <v>1391</v>
      </c>
      <c r="D490" s="105"/>
      <c r="E490" s="62" t="s">
        <v>46</v>
      </c>
      <c r="F490" s="60"/>
      <c r="G490" s="92"/>
      <c r="H490" s="60"/>
      <c r="I490" s="60"/>
      <c r="J490" s="60"/>
      <c r="K490" s="71" t="str">
        <f>VLOOKUP(E490,'HEAD OF THE FAMILY'!$B$6:$J1851,9,FALSE)</f>
        <v>BLK 3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60">
        <f t="shared" si="3"/>
        <v>486</v>
      </c>
      <c r="B491" s="62" t="s">
        <v>1386</v>
      </c>
      <c r="C491" s="62" t="s">
        <v>1393</v>
      </c>
      <c r="D491" s="105"/>
      <c r="E491" s="62" t="s">
        <v>1394</v>
      </c>
      <c r="F491" s="60"/>
      <c r="G491" s="92"/>
      <c r="H491" s="60"/>
      <c r="I491" s="60"/>
      <c r="J491" s="60"/>
      <c r="K491" s="71" t="str">
        <f>VLOOKUP(E491,'HEAD OF THE FAMILY'!$B$6:$J1851,9,FALSE)</f>
        <v>BLK 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60">
        <f t="shared" si="3"/>
        <v>487</v>
      </c>
      <c r="B492" s="62" t="s">
        <v>1386</v>
      </c>
      <c r="C492" s="62" t="s">
        <v>1396</v>
      </c>
      <c r="D492" s="105"/>
      <c r="E492" s="62" t="s">
        <v>1397</v>
      </c>
      <c r="F492" s="60"/>
      <c r="G492" s="92"/>
      <c r="H492" s="60"/>
      <c r="I492" s="60"/>
      <c r="J492" s="60"/>
      <c r="K492" s="71" t="str">
        <f>VLOOKUP(E492,'HEAD OF THE FAMILY'!$B$6:$J1851,9,FALSE)</f>
        <v>BLK 3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60">
        <f t="shared" si="3"/>
        <v>488</v>
      </c>
      <c r="B493" s="62" t="s">
        <v>1386</v>
      </c>
      <c r="C493" s="62" t="s">
        <v>1399</v>
      </c>
      <c r="D493" s="105"/>
      <c r="E493" s="62" t="s">
        <v>1397</v>
      </c>
      <c r="F493" s="60"/>
      <c r="G493" s="92"/>
      <c r="H493" s="60"/>
      <c r="I493" s="60"/>
      <c r="J493" s="60"/>
      <c r="K493" s="71" t="str">
        <f>VLOOKUP(E493,'HEAD OF THE FAMILY'!$B$6:$J1851,9,FALSE)</f>
        <v>BLK 3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60">
        <f t="shared" si="3"/>
        <v>489</v>
      </c>
      <c r="B494" s="62" t="s">
        <v>1386</v>
      </c>
      <c r="C494" s="62" t="s">
        <v>1400</v>
      </c>
      <c r="D494" s="105"/>
      <c r="E494" s="62" t="s">
        <v>1397</v>
      </c>
      <c r="F494" s="60"/>
      <c r="G494" s="92"/>
      <c r="H494" s="60"/>
      <c r="I494" s="60"/>
      <c r="J494" s="60"/>
      <c r="K494" s="71" t="str">
        <f>VLOOKUP(E494,'HEAD OF THE FAMILY'!$B$6:$J1851,9,FALSE)</f>
        <v>BLK 3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60">
        <f t="shared" si="3"/>
        <v>490</v>
      </c>
      <c r="B495" s="62" t="s">
        <v>1386</v>
      </c>
      <c r="C495" s="62" t="s">
        <v>1402</v>
      </c>
      <c r="D495" s="105"/>
      <c r="E495" s="62" t="s">
        <v>1397</v>
      </c>
      <c r="F495" s="60"/>
      <c r="G495" s="92"/>
      <c r="H495" s="60"/>
      <c r="I495" s="60"/>
      <c r="J495" s="60"/>
      <c r="K495" s="71" t="str">
        <f>VLOOKUP(E495,'HEAD OF THE FAMILY'!$B$6:$J1851,9,FALSE)</f>
        <v>BLK 3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60">
        <f t="shared" si="3"/>
        <v>491</v>
      </c>
      <c r="B496" s="62" t="s">
        <v>1386</v>
      </c>
      <c r="C496" s="62" t="s">
        <v>1405</v>
      </c>
      <c r="D496" s="105"/>
      <c r="E496" s="62" t="s">
        <v>1397</v>
      </c>
      <c r="F496" s="60"/>
      <c r="G496" s="92"/>
      <c r="H496" s="60"/>
      <c r="I496" s="60"/>
      <c r="J496" s="60"/>
      <c r="K496" s="71" t="str">
        <f>VLOOKUP(E496,'HEAD OF THE FAMILY'!$B$6:$J1851,9,FALSE)</f>
        <v>BLK 3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60">
        <f t="shared" si="3"/>
        <v>492</v>
      </c>
      <c r="B497" s="62" t="s">
        <v>1386</v>
      </c>
      <c r="C497" s="62" t="s">
        <v>1407</v>
      </c>
      <c r="D497" s="105"/>
      <c r="E497" s="62" t="s">
        <v>1397</v>
      </c>
      <c r="F497" s="60"/>
      <c r="G497" s="92"/>
      <c r="H497" s="60"/>
      <c r="I497" s="60"/>
      <c r="J497" s="60"/>
      <c r="K497" s="71" t="str">
        <f>VLOOKUP(E497,'HEAD OF THE FAMILY'!$B$6:$J1851,9,FALSE)</f>
        <v>BLK 3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60">
        <f t="shared" si="3"/>
        <v>493</v>
      </c>
      <c r="B498" s="62" t="s">
        <v>1386</v>
      </c>
      <c r="C498" s="62" t="s">
        <v>1409</v>
      </c>
      <c r="D498" s="105"/>
      <c r="E498" s="62" t="s">
        <v>214</v>
      </c>
      <c r="F498" s="60"/>
      <c r="G498" s="92"/>
      <c r="H498" s="60"/>
      <c r="I498" s="60"/>
      <c r="J498" s="60"/>
      <c r="K498" s="71" t="str">
        <f>VLOOKUP(E498,'HEAD OF THE FAMILY'!$B$6:$J1851,9,FALSE)</f>
        <v>BLK 3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60">
        <f t="shared" si="3"/>
        <v>494</v>
      </c>
      <c r="B499" s="62" t="s">
        <v>1386</v>
      </c>
      <c r="C499" s="62" t="s">
        <v>1411</v>
      </c>
      <c r="D499" s="105"/>
      <c r="E499" s="62" t="s">
        <v>1413</v>
      </c>
      <c r="F499" s="60"/>
      <c r="G499" s="92"/>
      <c r="H499" s="60"/>
      <c r="I499" s="60"/>
      <c r="J499" s="60"/>
      <c r="K499" s="71" t="str">
        <f>VLOOKUP(E499,'HEAD OF THE FAMILY'!$B$6:$J1851,9,FALSE)</f>
        <v>BLK 3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60">
        <f t="shared" si="3"/>
        <v>495</v>
      </c>
      <c r="B500" s="62" t="s">
        <v>1386</v>
      </c>
      <c r="C500" s="62" t="s">
        <v>1414</v>
      </c>
      <c r="D500" s="105"/>
      <c r="E500" s="62" t="s">
        <v>1415</v>
      </c>
      <c r="F500" s="60"/>
      <c r="G500" s="92"/>
      <c r="H500" s="60"/>
      <c r="I500" s="60"/>
      <c r="J500" s="60"/>
      <c r="K500" s="71" t="str">
        <f>VLOOKUP(E500,'HEAD OF THE FAMILY'!$B$6:$J1851,9,FALSE)</f>
        <v>BLK 3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60">
        <f t="shared" si="3"/>
        <v>496</v>
      </c>
      <c r="B501" s="62" t="s">
        <v>1386</v>
      </c>
      <c r="C501" s="62" t="s">
        <v>1418</v>
      </c>
      <c r="D501" s="105"/>
      <c r="E501" s="62" t="s">
        <v>1415</v>
      </c>
      <c r="F501" s="60"/>
      <c r="G501" s="92"/>
      <c r="H501" s="60"/>
      <c r="I501" s="60"/>
      <c r="J501" s="60"/>
      <c r="K501" s="71" t="str">
        <f>VLOOKUP(E501,'HEAD OF THE FAMILY'!$B$6:$J1851,9,FALSE)</f>
        <v>BLK 3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60">
        <f t="shared" si="3"/>
        <v>497</v>
      </c>
      <c r="B502" s="62" t="s">
        <v>1420</v>
      </c>
      <c r="C502" s="62" t="s">
        <v>1421</v>
      </c>
      <c r="D502" s="105"/>
      <c r="E502" s="62" t="s">
        <v>1422</v>
      </c>
      <c r="F502" s="60"/>
      <c r="G502" s="92"/>
      <c r="H502" s="60"/>
      <c r="I502" s="60"/>
      <c r="J502" s="60"/>
      <c r="K502" s="71" t="str">
        <f>VLOOKUP(E502,'HEAD OF THE FAMILY'!$B$6:$J1851,9,FALSE)</f>
        <v>BLK 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60">
        <f t="shared" si="3"/>
        <v>498</v>
      </c>
      <c r="B503" s="62" t="s">
        <v>1423</v>
      </c>
      <c r="C503" s="62" t="s">
        <v>1424</v>
      </c>
      <c r="D503" s="105"/>
      <c r="E503" s="62" t="s">
        <v>1422</v>
      </c>
      <c r="F503" s="60"/>
      <c r="G503" s="92"/>
      <c r="H503" s="60"/>
      <c r="I503" s="60"/>
      <c r="J503" s="60"/>
      <c r="K503" s="71" t="str">
        <f>VLOOKUP(E503,'HEAD OF THE FAMILY'!$B$6:$J1851,9,FALSE)</f>
        <v>BLK 3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60">
        <f t="shared" si="3"/>
        <v>499</v>
      </c>
      <c r="B504" s="62" t="s">
        <v>1420</v>
      </c>
      <c r="C504" s="62" t="s">
        <v>1425</v>
      </c>
      <c r="D504" s="105"/>
      <c r="E504" s="62" t="s">
        <v>1422</v>
      </c>
      <c r="F504" s="60"/>
      <c r="G504" s="92"/>
      <c r="H504" s="60"/>
      <c r="I504" s="60"/>
      <c r="J504" s="60"/>
      <c r="K504" s="71" t="str">
        <f>VLOOKUP(E504,'HEAD OF THE FAMILY'!$B$6:$J1851,9,FALSE)</f>
        <v>BLK 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60">
        <f t="shared" si="3"/>
        <v>500</v>
      </c>
      <c r="B505" s="62" t="s">
        <v>1426</v>
      </c>
      <c r="C505" s="62" t="s">
        <v>1427</v>
      </c>
      <c r="D505" s="62" t="s">
        <v>1428</v>
      </c>
      <c r="E505" s="62" t="s">
        <v>1430</v>
      </c>
      <c r="F505" s="60"/>
      <c r="G505" s="92"/>
      <c r="H505" s="60"/>
      <c r="I505" s="60"/>
      <c r="J505" s="60"/>
      <c r="K505" s="71" t="str">
        <f>VLOOKUP(E505,'HEAD OF THE FAMILY'!$B$6:$J1851,9,FALSE)</f>
        <v>BLK 3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60">
        <f t="shared" si="3"/>
        <v>501</v>
      </c>
      <c r="B506" s="62" t="s">
        <v>1426</v>
      </c>
      <c r="C506" s="62" t="s">
        <v>1431</v>
      </c>
      <c r="D506" s="62" t="s">
        <v>1428</v>
      </c>
      <c r="E506" s="62" t="s">
        <v>1430</v>
      </c>
      <c r="F506" s="60"/>
      <c r="G506" s="92"/>
      <c r="H506" s="60"/>
      <c r="I506" s="60"/>
      <c r="J506" s="60"/>
      <c r="K506" s="71" t="str">
        <f>VLOOKUP(E506,'HEAD OF THE FAMILY'!$B$6:$J1851,9,FALSE)</f>
        <v>BLK 3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60">
        <f t="shared" si="3"/>
        <v>502</v>
      </c>
      <c r="B507" s="62" t="s">
        <v>1433</v>
      </c>
      <c r="C507" s="62" t="s">
        <v>1434</v>
      </c>
      <c r="D507" s="62" t="s">
        <v>1435</v>
      </c>
      <c r="E507" s="62" t="s">
        <v>1436</v>
      </c>
      <c r="F507" s="60"/>
      <c r="G507" s="92"/>
      <c r="H507" s="60"/>
      <c r="I507" s="60"/>
      <c r="J507" s="60"/>
      <c r="K507" s="71" t="str">
        <f>VLOOKUP(E507,'HEAD OF THE FAMILY'!$B$6:$J1851,9,FALSE)</f>
        <v>#N/A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60">
        <f t="shared" si="3"/>
        <v>503</v>
      </c>
      <c r="B508" s="62" t="s">
        <v>1433</v>
      </c>
      <c r="C508" s="62" t="s">
        <v>1437</v>
      </c>
      <c r="D508" s="62" t="s">
        <v>1435</v>
      </c>
      <c r="E508" s="62" t="s">
        <v>1436</v>
      </c>
      <c r="F508" s="60"/>
      <c r="G508" s="92"/>
      <c r="H508" s="60"/>
      <c r="I508" s="60"/>
      <c r="J508" s="60"/>
      <c r="K508" s="71" t="str">
        <f>VLOOKUP(E508,'HEAD OF THE FAMILY'!$B$6:$J1851,9,FALSE)</f>
        <v>#N/A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60">
        <f t="shared" si="3"/>
        <v>504</v>
      </c>
      <c r="B509" s="62" t="s">
        <v>1433</v>
      </c>
      <c r="C509" s="62" t="s">
        <v>1440</v>
      </c>
      <c r="D509" s="62" t="s">
        <v>1435</v>
      </c>
      <c r="E509" s="62" t="s">
        <v>1436</v>
      </c>
      <c r="F509" s="60"/>
      <c r="G509" s="92"/>
      <c r="H509" s="60"/>
      <c r="I509" s="60"/>
      <c r="J509" s="60"/>
      <c r="K509" s="71" t="str">
        <f>VLOOKUP(E509,'HEAD OF THE FAMILY'!$B$6:$J1851,9,FALSE)</f>
        <v>#N/A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60">
        <f t="shared" si="3"/>
        <v>505</v>
      </c>
      <c r="B510" s="62" t="s">
        <v>1441</v>
      </c>
      <c r="C510" s="62" t="s">
        <v>1442</v>
      </c>
      <c r="D510" s="62" t="s">
        <v>1435</v>
      </c>
      <c r="E510" s="62" t="s">
        <v>1443</v>
      </c>
      <c r="F510" s="60"/>
      <c r="G510" s="92"/>
      <c r="H510" s="60"/>
      <c r="I510" s="60"/>
      <c r="J510" s="60"/>
      <c r="K510" s="71" t="str">
        <f>VLOOKUP(E510,'HEAD OF THE FAMILY'!$B$6:$J1851,9,FALSE)</f>
        <v>BLK 3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60">
        <f t="shared" si="3"/>
        <v>506</v>
      </c>
      <c r="B511" s="62" t="s">
        <v>1441</v>
      </c>
      <c r="C511" s="62" t="s">
        <v>1446</v>
      </c>
      <c r="D511" s="62" t="s">
        <v>1435</v>
      </c>
      <c r="E511" s="62" t="s">
        <v>1443</v>
      </c>
      <c r="F511" s="60"/>
      <c r="G511" s="92"/>
      <c r="H511" s="60"/>
      <c r="I511" s="60"/>
      <c r="J511" s="60"/>
      <c r="K511" s="71" t="str">
        <f>VLOOKUP(E511,'HEAD OF THE FAMILY'!$B$6:$J1851,9,FALSE)</f>
        <v>BLK 3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60">
        <f t="shared" si="3"/>
        <v>507</v>
      </c>
      <c r="B512" s="62" t="s">
        <v>1441</v>
      </c>
      <c r="C512" s="62" t="s">
        <v>1447</v>
      </c>
      <c r="D512" s="105"/>
      <c r="E512" s="62" t="s">
        <v>1448</v>
      </c>
      <c r="F512" s="60"/>
      <c r="G512" s="92"/>
      <c r="H512" s="60"/>
      <c r="I512" s="60"/>
      <c r="J512" s="60"/>
      <c r="K512" s="71" t="str">
        <f>VLOOKUP(E512,'HEAD OF THE FAMILY'!$B$6:$J1851,9,FALSE)</f>
        <v>BLK 3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60">
        <f t="shared" si="3"/>
        <v>508</v>
      </c>
      <c r="B513" s="62" t="s">
        <v>1450</v>
      </c>
      <c r="C513" s="62" t="s">
        <v>1451</v>
      </c>
      <c r="D513" s="105"/>
      <c r="E513" s="62" t="s">
        <v>1117</v>
      </c>
      <c r="F513" s="60"/>
      <c r="G513" s="92"/>
      <c r="H513" s="60"/>
      <c r="I513" s="60"/>
      <c r="J513" s="60"/>
      <c r="K513" s="71" t="str">
        <f>VLOOKUP(E513,'HEAD OF THE FAMILY'!$B$6:$J1851,9,FALSE)</f>
        <v>BLK 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60">
        <f t="shared" si="3"/>
        <v>509</v>
      </c>
      <c r="B514" s="62" t="s">
        <v>1450</v>
      </c>
      <c r="C514" s="62" t="s">
        <v>1452</v>
      </c>
      <c r="D514" s="105"/>
      <c r="E514" s="62" t="s">
        <v>1117</v>
      </c>
      <c r="F514" s="60"/>
      <c r="G514" s="92"/>
      <c r="H514" s="60"/>
      <c r="I514" s="60"/>
      <c r="J514" s="60"/>
      <c r="K514" s="71" t="str">
        <f>VLOOKUP(E514,'HEAD OF THE FAMILY'!$B$6:$J1851,9,FALSE)</f>
        <v>BLK 3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60">
        <f t="shared" si="3"/>
        <v>510</v>
      </c>
      <c r="B515" s="62" t="s">
        <v>1450</v>
      </c>
      <c r="C515" s="62" t="s">
        <v>1454</v>
      </c>
      <c r="D515" s="105"/>
      <c r="E515" s="62" t="s">
        <v>1117</v>
      </c>
      <c r="F515" s="60"/>
      <c r="G515" s="92"/>
      <c r="H515" s="60"/>
      <c r="I515" s="60"/>
      <c r="J515" s="60"/>
      <c r="K515" s="71" t="str">
        <f>VLOOKUP(E515,'HEAD OF THE FAMILY'!$B$6:$J1851,9,FALSE)</f>
        <v>BLK 3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60">
        <f t="shared" si="3"/>
        <v>511</v>
      </c>
      <c r="B516" s="62" t="s">
        <v>1450</v>
      </c>
      <c r="C516" s="62" t="s">
        <v>1455</v>
      </c>
      <c r="D516" s="105"/>
      <c r="E516" s="62" t="s">
        <v>1117</v>
      </c>
      <c r="F516" s="60"/>
      <c r="G516" s="92"/>
      <c r="H516" s="60"/>
      <c r="I516" s="60"/>
      <c r="J516" s="60"/>
      <c r="K516" s="71" t="str">
        <f>VLOOKUP(E516,'HEAD OF THE FAMILY'!$B$6:$J1851,9,FALSE)</f>
        <v>BLK 3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60">
        <f t="shared" si="3"/>
        <v>512</v>
      </c>
      <c r="B517" s="62" t="s">
        <v>1458</v>
      </c>
      <c r="C517" s="62" t="s">
        <v>1459</v>
      </c>
      <c r="D517" s="105"/>
      <c r="E517" s="62" t="s">
        <v>1460</v>
      </c>
      <c r="F517" s="60"/>
      <c r="G517" s="92"/>
      <c r="H517" s="60"/>
      <c r="I517" s="60"/>
      <c r="J517" s="60"/>
      <c r="K517" s="71" t="str">
        <f>VLOOKUP(E517,'HEAD OF THE FAMILY'!$B$6:$J1851,9,FALSE)</f>
        <v>#N/A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60">
        <f t="shared" si="3"/>
        <v>513</v>
      </c>
      <c r="B518" s="62" t="s">
        <v>1458</v>
      </c>
      <c r="C518" s="62" t="s">
        <v>1462</v>
      </c>
      <c r="D518" s="62" t="s">
        <v>1463</v>
      </c>
      <c r="E518" s="62" t="s">
        <v>1464</v>
      </c>
      <c r="F518" s="60"/>
      <c r="G518" s="92"/>
      <c r="H518" s="60"/>
      <c r="I518" s="60"/>
      <c r="J518" s="60"/>
      <c r="K518" s="71" t="str">
        <f>VLOOKUP(E518,'HEAD OF THE FAMILY'!$B$6:$J1851,9,FALSE)</f>
        <v>BLK 3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60">
        <f t="shared" si="3"/>
        <v>514</v>
      </c>
      <c r="B519" s="62" t="s">
        <v>1458</v>
      </c>
      <c r="C519" s="62" t="s">
        <v>1466</v>
      </c>
      <c r="D519" s="62" t="s">
        <v>1463</v>
      </c>
      <c r="E519" s="62" t="s">
        <v>1464</v>
      </c>
      <c r="F519" s="60"/>
      <c r="G519" s="92"/>
      <c r="H519" s="60"/>
      <c r="I519" s="60"/>
      <c r="J519" s="60"/>
      <c r="K519" s="71" t="str">
        <f>VLOOKUP(E519,'HEAD OF THE FAMILY'!$B$6:$J1851,9,FALSE)</f>
        <v>BLK 3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60">
        <f t="shared" si="3"/>
        <v>515</v>
      </c>
      <c r="B520" s="62" t="s">
        <v>1458</v>
      </c>
      <c r="C520" s="62" t="s">
        <v>1468</v>
      </c>
      <c r="D520" s="62" t="s">
        <v>1463</v>
      </c>
      <c r="E520" s="62" t="s">
        <v>1464</v>
      </c>
      <c r="F520" s="60"/>
      <c r="G520" s="92"/>
      <c r="H520" s="60"/>
      <c r="I520" s="60"/>
      <c r="J520" s="60"/>
      <c r="K520" s="71" t="str">
        <f>VLOOKUP(E520,'HEAD OF THE FAMILY'!$B$6:$J1851,9,FALSE)</f>
        <v>BLK 3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60">
        <f t="shared" si="3"/>
        <v>516</v>
      </c>
      <c r="B521" s="62" t="s">
        <v>1470</v>
      </c>
      <c r="C521" s="62" t="s">
        <v>1471</v>
      </c>
      <c r="D521" s="62" t="s">
        <v>1472</v>
      </c>
      <c r="E521" s="62" t="s">
        <v>508</v>
      </c>
      <c r="F521" s="60"/>
      <c r="G521" s="92"/>
      <c r="H521" s="60"/>
      <c r="I521" s="60"/>
      <c r="J521" s="60"/>
      <c r="K521" s="71" t="str">
        <f>VLOOKUP(E521,'HEAD OF THE FAMILY'!$B$6:$J1851,9,FALSE)</f>
        <v>BLK 3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60">
        <f t="shared" si="3"/>
        <v>517</v>
      </c>
      <c r="B522" s="62" t="s">
        <v>1470</v>
      </c>
      <c r="C522" s="62" t="s">
        <v>1475</v>
      </c>
      <c r="D522" s="62" t="s">
        <v>1472</v>
      </c>
      <c r="E522" s="62" t="s">
        <v>508</v>
      </c>
      <c r="F522" s="60"/>
      <c r="G522" s="92"/>
      <c r="H522" s="60"/>
      <c r="I522" s="60"/>
      <c r="J522" s="60"/>
      <c r="K522" s="71" t="str">
        <f>VLOOKUP(E522,'HEAD OF THE FAMILY'!$B$6:$J1851,9,FALSE)</f>
        <v>BLK 3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60">
        <f t="shared" si="3"/>
        <v>518</v>
      </c>
      <c r="B523" s="62" t="s">
        <v>1458</v>
      </c>
      <c r="C523" s="62" t="s">
        <v>1476</v>
      </c>
      <c r="D523" s="105"/>
      <c r="E523" s="62" t="s">
        <v>1477</v>
      </c>
      <c r="F523" s="60"/>
      <c r="G523" s="92"/>
      <c r="H523" s="60"/>
      <c r="I523" s="60"/>
      <c r="J523" s="60"/>
      <c r="K523" s="71" t="str">
        <f>VLOOKUP(E523,'HEAD OF THE FAMILY'!$B$6:$J1851,9,FALSE)</f>
        <v>BLK 3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60">
        <f t="shared" si="3"/>
        <v>519</v>
      </c>
      <c r="B524" s="62" t="s">
        <v>1458</v>
      </c>
      <c r="C524" s="62" t="s">
        <v>1480</v>
      </c>
      <c r="D524" s="105"/>
      <c r="E524" s="62" t="s">
        <v>1477</v>
      </c>
      <c r="F524" s="60"/>
      <c r="G524" s="92"/>
      <c r="H524" s="60"/>
      <c r="I524" s="60"/>
      <c r="J524" s="60"/>
      <c r="K524" s="71" t="str">
        <f>VLOOKUP(E524,'HEAD OF THE FAMILY'!$B$6:$J1851,9,FALSE)</f>
        <v>BLK 3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60">
        <f t="shared" si="3"/>
        <v>520</v>
      </c>
      <c r="B525" s="62" t="s">
        <v>1458</v>
      </c>
      <c r="C525" s="62" t="s">
        <v>1482</v>
      </c>
      <c r="D525" s="105"/>
      <c r="E525" s="62" t="s">
        <v>1483</v>
      </c>
      <c r="F525" s="60"/>
      <c r="G525" s="92"/>
      <c r="H525" s="60"/>
      <c r="I525" s="60"/>
      <c r="J525" s="60"/>
      <c r="K525" s="71" t="str">
        <f>VLOOKUP(E525,'HEAD OF THE FAMILY'!$B$6:$J1851,9,FALSE)</f>
        <v>BLK 3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60">
        <f t="shared" si="3"/>
        <v>521</v>
      </c>
      <c r="B526" s="62" t="s">
        <v>1484</v>
      </c>
      <c r="C526" s="62" t="s">
        <v>1485</v>
      </c>
      <c r="D526" s="105"/>
      <c r="E526" s="62" t="s">
        <v>1483</v>
      </c>
      <c r="F526" s="60"/>
      <c r="G526" s="92"/>
      <c r="H526" s="60"/>
      <c r="I526" s="60"/>
      <c r="J526" s="60"/>
      <c r="K526" s="71" t="str">
        <f>VLOOKUP(E526,'HEAD OF THE FAMILY'!$B$6:$J1851,9,FALSE)</f>
        <v>BLK 3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60">
        <f t="shared" si="3"/>
        <v>522</v>
      </c>
      <c r="B527" s="62" t="s">
        <v>1458</v>
      </c>
      <c r="C527" s="62" t="s">
        <v>1487</v>
      </c>
      <c r="D527" s="105"/>
      <c r="E527" s="62" t="s">
        <v>1483</v>
      </c>
      <c r="F527" s="60"/>
      <c r="G527" s="92"/>
      <c r="H527" s="60"/>
      <c r="I527" s="60"/>
      <c r="J527" s="60"/>
      <c r="K527" s="71" t="str">
        <f>VLOOKUP(E527,'HEAD OF THE FAMILY'!$B$6:$J1851,9,FALSE)</f>
        <v>BLK 3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60">
        <f t="shared" si="3"/>
        <v>523</v>
      </c>
      <c r="B528" s="62" t="s">
        <v>1488</v>
      </c>
      <c r="C528" s="62" t="s">
        <v>1489</v>
      </c>
      <c r="D528" s="105"/>
      <c r="E528" s="62" t="s">
        <v>1490</v>
      </c>
      <c r="F528" s="60"/>
      <c r="G528" s="92"/>
      <c r="H528" s="60"/>
      <c r="I528" s="60"/>
      <c r="J528" s="60"/>
      <c r="K528" s="71" t="str">
        <f>VLOOKUP(E528,'HEAD OF THE FAMILY'!$B$6:$J1851,9,FALSE)</f>
        <v>BLK 3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60">
        <f t="shared" si="3"/>
        <v>524</v>
      </c>
      <c r="B529" s="62" t="s">
        <v>1488</v>
      </c>
      <c r="C529" s="62" t="s">
        <v>1491</v>
      </c>
      <c r="D529" s="105"/>
      <c r="E529" s="62" t="s">
        <v>1490</v>
      </c>
      <c r="F529" s="60"/>
      <c r="G529" s="92"/>
      <c r="H529" s="60"/>
      <c r="I529" s="60"/>
      <c r="J529" s="60"/>
      <c r="K529" s="71" t="str">
        <f>VLOOKUP(E529,'HEAD OF THE FAMILY'!$B$6:$J1851,9,FALSE)</f>
        <v>BLK 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60">
        <f t="shared" si="3"/>
        <v>525</v>
      </c>
      <c r="B530" s="62" t="s">
        <v>1492</v>
      </c>
      <c r="C530" s="62" t="s">
        <v>1493</v>
      </c>
      <c r="D530" s="105"/>
      <c r="E530" s="62" t="s">
        <v>1494</v>
      </c>
      <c r="F530" s="60"/>
      <c r="G530" s="92"/>
      <c r="H530" s="60"/>
      <c r="I530" s="60"/>
      <c r="J530" s="60"/>
      <c r="K530" s="71" t="str">
        <f>VLOOKUP(E530,'HEAD OF THE FAMILY'!$B$6:$J1851,9,FALSE)</f>
        <v>BLK 3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60">
        <f t="shared" si="3"/>
        <v>526</v>
      </c>
      <c r="B531" s="62" t="s">
        <v>513</v>
      </c>
      <c r="C531" s="62" t="s">
        <v>1496</v>
      </c>
      <c r="D531" s="62" t="s">
        <v>1497</v>
      </c>
      <c r="E531" s="62" t="s">
        <v>1498</v>
      </c>
      <c r="F531" s="60"/>
      <c r="G531" s="92"/>
      <c r="H531" s="60"/>
      <c r="I531" s="60"/>
      <c r="J531" s="60"/>
      <c r="K531" s="71" t="str">
        <f>VLOOKUP(E531,'HEAD OF THE FAMILY'!$B$6:$J1851,9,FALSE)</f>
        <v>BLK 3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60">
        <f t="shared" si="3"/>
        <v>527</v>
      </c>
      <c r="B532" s="62" t="s">
        <v>513</v>
      </c>
      <c r="C532" s="62" t="s">
        <v>1500</v>
      </c>
      <c r="D532" s="62" t="s">
        <v>1497</v>
      </c>
      <c r="E532" s="62" t="s">
        <v>1498</v>
      </c>
      <c r="F532" s="60"/>
      <c r="G532" s="92"/>
      <c r="H532" s="60"/>
      <c r="I532" s="60"/>
      <c r="J532" s="60"/>
      <c r="K532" s="71" t="str">
        <f>VLOOKUP(E532,'HEAD OF THE FAMILY'!$B$6:$J1851,9,FALSE)</f>
        <v>BLK 3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60">
        <f t="shared" si="3"/>
        <v>528</v>
      </c>
      <c r="B533" s="62" t="s">
        <v>1501</v>
      </c>
      <c r="C533" s="62" t="s">
        <v>1502</v>
      </c>
      <c r="D533" s="62" t="s">
        <v>1497</v>
      </c>
      <c r="E533" s="62" t="s">
        <v>1498</v>
      </c>
      <c r="F533" s="60"/>
      <c r="G533" s="92"/>
      <c r="H533" s="60"/>
      <c r="I533" s="60"/>
      <c r="J533" s="60"/>
      <c r="K533" s="71" t="str">
        <f>VLOOKUP(E533,'HEAD OF THE FAMILY'!$B$6:$J1851,9,FALSE)</f>
        <v>BLK 3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60">
        <f t="shared" si="3"/>
        <v>529</v>
      </c>
      <c r="B534" s="62" t="s">
        <v>1501</v>
      </c>
      <c r="C534" s="62" t="s">
        <v>1503</v>
      </c>
      <c r="D534" s="62" t="s">
        <v>1497</v>
      </c>
      <c r="E534" s="62" t="s">
        <v>1498</v>
      </c>
      <c r="F534" s="60"/>
      <c r="G534" s="92"/>
      <c r="H534" s="60"/>
      <c r="I534" s="60"/>
      <c r="J534" s="60"/>
      <c r="K534" s="71" t="str">
        <f>VLOOKUP(E534,'HEAD OF THE FAMILY'!$B$6:$J1851,9,FALSE)</f>
        <v>BLK 3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60">
        <f t="shared" si="3"/>
        <v>530</v>
      </c>
      <c r="B535" s="62" t="s">
        <v>1501</v>
      </c>
      <c r="C535" s="62" t="s">
        <v>1504</v>
      </c>
      <c r="D535" s="62" t="s">
        <v>1497</v>
      </c>
      <c r="E535" s="62" t="s">
        <v>1498</v>
      </c>
      <c r="F535" s="60"/>
      <c r="G535" s="92"/>
      <c r="H535" s="60"/>
      <c r="I535" s="60"/>
      <c r="J535" s="60"/>
      <c r="K535" s="71" t="str">
        <f>VLOOKUP(E535,'HEAD OF THE FAMILY'!$B$6:$J1851,9,FALSE)</f>
        <v>BLK 3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60">
        <f t="shared" si="3"/>
        <v>531</v>
      </c>
      <c r="B536" s="62" t="s">
        <v>1506</v>
      </c>
      <c r="C536" s="62" t="s">
        <v>1507</v>
      </c>
      <c r="D536" s="62" t="s">
        <v>1508</v>
      </c>
      <c r="E536" s="62" t="s">
        <v>1509</v>
      </c>
      <c r="F536" s="60"/>
      <c r="G536" s="92"/>
      <c r="H536" s="60"/>
      <c r="I536" s="60"/>
      <c r="J536" s="60"/>
      <c r="K536" s="71" t="str">
        <f>VLOOKUP(E536,'HEAD OF THE FAMILY'!$B$6:$J1851,9,FALSE)</f>
        <v>BLK 3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60">
        <f t="shared" si="3"/>
        <v>532</v>
      </c>
      <c r="B537" s="62" t="s">
        <v>1506</v>
      </c>
      <c r="C537" s="62" t="s">
        <v>1511</v>
      </c>
      <c r="D537" s="62" t="s">
        <v>1508</v>
      </c>
      <c r="E537" s="62" t="s">
        <v>1509</v>
      </c>
      <c r="F537" s="60"/>
      <c r="G537" s="92"/>
      <c r="H537" s="60"/>
      <c r="I537" s="60"/>
      <c r="J537" s="60"/>
      <c r="K537" s="71" t="str">
        <f>VLOOKUP(E537,'HEAD OF THE FAMILY'!$B$6:$J1851,9,FALSE)</f>
        <v>BLK 3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60">
        <f t="shared" si="3"/>
        <v>533</v>
      </c>
      <c r="B538" s="62" t="s">
        <v>1506</v>
      </c>
      <c r="C538" s="62" t="s">
        <v>1512</v>
      </c>
      <c r="D538" s="62" t="s">
        <v>1508</v>
      </c>
      <c r="E538" s="62" t="s">
        <v>1509</v>
      </c>
      <c r="F538" s="60"/>
      <c r="G538" s="92"/>
      <c r="H538" s="60"/>
      <c r="I538" s="60"/>
      <c r="J538" s="60"/>
      <c r="K538" s="71" t="str">
        <f>VLOOKUP(E538,'HEAD OF THE FAMILY'!$B$6:$J1851,9,FALSE)</f>
        <v>BLK 3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60">
        <f t="shared" si="3"/>
        <v>534</v>
      </c>
      <c r="B539" s="62" t="s">
        <v>1506</v>
      </c>
      <c r="C539" s="62" t="s">
        <v>1515</v>
      </c>
      <c r="D539" s="62" t="s">
        <v>1508</v>
      </c>
      <c r="E539" s="62" t="s">
        <v>1509</v>
      </c>
      <c r="F539" s="60"/>
      <c r="G539" s="92"/>
      <c r="H539" s="60"/>
      <c r="I539" s="60"/>
      <c r="J539" s="60"/>
      <c r="K539" s="71" t="str">
        <f>VLOOKUP(E539,'HEAD OF THE FAMILY'!$B$6:$J1851,9,FALSE)</f>
        <v>BLK 3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60">
        <f t="shared" si="3"/>
        <v>535</v>
      </c>
      <c r="B540" s="62" t="s">
        <v>1517</v>
      </c>
      <c r="C540" s="62" t="s">
        <v>549</v>
      </c>
      <c r="D540" s="105"/>
      <c r="E540" s="62" t="s">
        <v>1509</v>
      </c>
      <c r="F540" s="60"/>
      <c r="G540" s="92"/>
      <c r="H540" s="60"/>
      <c r="I540" s="60"/>
      <c r="J540" s="60"/>
      <c r="K540" s="71" t="str">
        <f>VLOOKUP(E540,'HEAD OF THE FAMILY'!$B$6:$J1851,9,FALSE)</f>
        <v>BLK 3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60">
        <f t="shared" si="3"/>
        <v>536</v>
      </c>
      <c r="B541" s="62" t="s">
        <v>1519</v>
      </c>
      <c r="C541" s="62" t="s">
        <v>1520</v>
      </c>
      <c r="D541" s="62" t="s">
        <v>1463</v>
      </c>
      <c r="E541" s="62" t="s">
        <v>1416</v>
      </c>
      <c r="F541" s="60"/>
      <c r="G541" s="92"/>
      <c r="H541" s="60"/>
      <c r="I541" s="60"/>
      <c r="J541" s="60"/>
      <c r="K541" s="71" t="str">
        <f>VLOOKUP(E541,'HEAD OF THE FAMILY'!$B$6:$J1851,9,FALSE)</f>
        <v>BLK 3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60">
        <f t="shared" si="3"/>
        <v>537</v>
      </c>
      <c r="B542" s="62" t="s">
        <v>1519</v>
      </c>
      <c r="C542" s="62" t="s">
        <v>1522</v>
      </c>
      <c r="D542" s="62" t="s">
        <v>1463</v>
      </c>
      <c r="E542" s="62" t="s">
        <v>1416</v>
      </c>
      <c r="F542" s="60"/>
      <c r="G542" s="92"/>
      <c r="H542" s="60"/>
      <c r="I542" s="60"/>
      <c r="J542" s="60"/>
      <c r="K542" s="71" t="str">
        <f>VLOOKUP(E542,'HEAD OF THE FAMILY'!$B$6:$J1851,9,FALSE)</f>
        <v>BLK 3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60">
        <f t="shared" si="3"/>
        <v>538</v>
      </c>
      <c r="B543" s="62" t="s">
        <v>1458</v>
      </c>
      <c r="C543" s="62" t="s">
        <v>1523</v>
      </c>
      <c r="D543" s="105"/>
      <c r="E543" s="62" t="s">
        <v>1483</v>
      </c>
      <c r="F543" s="60"/>
      <c r="G543" s="92"/>
      <c r="H543" s="60"/>
      <c r="I543" s="60"/>
      <c r="J543" s="60"/>
      <c r="K543" s="71" t="str">
        <f>VLOOKUP(E543,'HEAD OF THE FAMILY'!$B$6:$J1851,9,FALSE)</f>
        <v>BLK 3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60">
        <f t="shared" si="3"/>
        <v>539</v>
      </c>
      <c r="B544" s="62" t="s">
        <v>1458</v>
      </c>
      <c r="C544" s="62" t="s">
        <v>385</v>
      </c>
      <c r="D544" s="105"/>
      <c r="E544" s="62" t="s">
        <v>1483</v>
      </c>
      <c r="F544" s="60"/>
      <c r="G544" s="92"/>
      <c r="H544" s="60"/>
      <c r="I544" s="60"/>
      <c r="J544" s="60"/>
      <c r="K544" s="71" t="str">
        <f>VLOOKUP(E544,'HEAD OF THE FAMILY'!$B$6:$J1851,9,FALSE)</f>
        <v>BLK 3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60">
        <f t="shared" si="3"/>
        <v>540</v>
      </c>
      <c r="B545" s="62" t="s">
        <v>1458</v>
      </c>
      <c r="C545" s="62" t="s">
        <v>1525</v>
      </c>
      <c r="D545" s="105"/>
      <c r="E545" s="62" t="s">
        <v>1483</v>
      </c>
      <c r="F545" s="60"/>
      <c r="G545" s="92"/>
      <c r="H545" s="60"/>
      <c r="I545" s="60"/>
      <c r="J545" s="60"/>
      <c r="K545" s="71" t="str">
        <f>VLOOKUP(E545,'HEAD OF THE FAMILY'!$B$6:$J1851,9,FALSE)</f>
        <v>BLK 3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60">
        <f t="shared" si="3"/>
        <v>541</v>
      </c>
      <c r="B546" s="62" t="s">
        <v>1458</v>
      </c>
      <c r="C546" s="62" t="s">
        <v>1526</v>
      </c>
      <c r="D546" s="105"/>
      <c r="E546" s="62" t="s">
        <v>1483</v>
      </c>
      <c r="F546" s="60"/>
      <c r="G546" s="92"/>
      <c r="H546" s="60"/>
      <c r="I546" s="60"/>
      <c r="J546" s="60"/>
      <c r="K546" s="71" t="str">
        <f>VLOOKUP(E546,'HEAD OF THE FAMILY'!$B$6:$J1851,9,FALSE)</f>
        <v>BLK 3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60">
        <f t="shared" si="3"/>
        <v>542</v>
      </c>
      <c r="B547" s="62" t="s">
        <v>1528</v>
      </c>
      <c r="C547" s="62" t="s">
        <v>1529</v>
      </c>
      <c r="D547" s="105"/>
      <c r="E547" s="62" t="s">
        <v>1530</v>
      </c>
      <c r="F547" s="60"/>
      <c r="G547" s="92"/>
      <c r="H547" s="60"/>
      <c r="I547" s="60"/>
      <c r="J547" s="60"/>
      <c r="K547" s="71" t="str">
        <f>VLOOKUP(E547,'HEAD OF THE FAMILY'!$B$6:$J1851,9,FALSE)</f>
        <v>BLOCK 4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60">
        <f t="shared" si="3"/>
        <v>543</v>
      </c>
      <c r="B548" s="62" t="s">
        <v>1532</v>
      </c>
      <c r="C548" s="62" t="s">
        <v>1533</v>
      </c>
      <c r="D548" s="105"/>
      <c r="E548" s="62" t="s">
        <v>310</v>
      </c>
      <c r="F548" s="60"/>
      <c r="G548" s="92"/>
      <c r="H548" s="60"/>
      <c r="I548" s="60"/>
      <c r="J548" s="60"/>
      <c r="K548" s="71" t="str">
        <f>VLOOKUP(E548,'HEAD OF THE FAMILY'!$B$6:$J1851,9,FALSE)</f>
        <v>BLK 3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60">
        <f t="shared" si="3"/>
        <v>544</v>
      </c>
      <c r="B549" s="62" t="s">
        <v>1532</v>
      </c>
      <c r="C549" s="62" t="s">
        <v>1536</v>
      </c>
      <c r="D549" s="105"/>
      <c r="E549" s="62" t="s">
        <v>310</v>
      </c>
      <c r="F549" s="60"/>
      <c r="G549" s="92"/>
      <c r="H549" s="60"/>
      <c r="I549" s="60"/>
      <c r="J549" s="60"/>
      <c r="K549" s="71" t="str">
        <f>VLOOKUP(E549,'HEAD OF THE FAMILY'!$B$6:$J1851,9,FALSE)</f>
        <v>BLK 3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60">
        <f t="shared" si="3"/>
        <v>545</v>
      </c>
      <c r="B550" s="62" t="s">
        <v>1532</v>
      </c>
      <c r="C550" s="62" t="s">
        <v>1537</v>
      </c>
      <c r="D550" s="105"/>
      <c r="E550" s="62" t="s">
        <v>310</v>
      </c>
      <c r="F550" s="60"/>
      <c r="G550" s="92"/>
      <c r="H550" s="60"/>
      <c r="I550" s="60"/>
      <c r="J550" s="60"/>
      <c r="K550" s="71" t="str">
        <f>VLOOKUP(E550,'HEAD OF THE FAMILY'!$B$6:$J1851,9,FALSE)</f>
        <v>BLK 3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60">
        <f t="shared" si="3"/>
        <v>546</v>
      </c>
      <c r="B551" s="62" t="s">
        <v>1532</v>
      </c>
      <c r="C551" s="62" t="s">
        <v>1539</v>
      </c>
      <c r="D551" s="105"/>
      <c r="E551" s="62" t="s">
        <v>1540</v>
      </c>
      <c r="F551" s="60"/>
      <c r="G551" s="92"/>
      <c r="H551" s="60"/>
      <c r="I551" s="60"/>
      <c r="J551" s="60"/>
      <c r="K551" s="71" t="str">
        <f>VLOOKUP(E551,'HEAD OF THE FAMILY'!$B$6:$J1851,9,FALSE)</f>
        <v>BLK 3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60">
        <f t="shared" si="3"/>
        <v>547</v>
      </c>
      <c r="B552" s="62" t="s">
        <v>1542</v>
      </c>
      <c r="C552" s="62" t="s">
        <v>1543</v>
      </c>
      <c r="D552" s="62" t="s">
        <v>1463</v>
      </c>
      <c r="E552" s="62" t="s">
        <v>1544</v>
      </c>
      <c r="F552" s="60"/>
      <c r="G552" s="92"/>
      <c r="H552" s="60"/>
      <c r="I552" s="60"/>
      <c r="J552" s="60"/>
      <c r="K552" s="71" t="str">
        <f>VLOOKUP(E552,'HEAD OF THE FAMILY'!$B$6:$J1851,9,FALSE)</f>
        <v>BLK 3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60">
        <f t="shared" si="3"/>
        <v>548</v>
      </c>
      <c r="B553" s="62" t="s">
        <v>1542</v>
      </c>
      <c r="C553" s="62" t="s">
        <v>1545</v>
      </c>
      <c r="D553" s="105"/>
      <c r="E553" s="62" t="s">
        <v>987</v>
      </c>
      <c r="F553" s="60"/>
      <c r="G553" s="92"/>
      <c r="H553" s="60"/>
      <c r="I553" s="60"/>
      <c r="J553" s="60"/>
      <c r="K553" s="71" t="str">
        <f>VLOOKUP(E553,'HEAD OF THE FAMILY'!$B$6:$J1851,9,FALSE)</f>
        <v>BLK 3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60">
        <f t="shared" si="3"/>
        <v>549</v>
      </c>
      <c r="B554" s="62" t="s">
        <v>1547</v>
      </c>
      <c r="C554" s="62" t="s">
        <v>1548</v>
      </c>
      <c r="D554" s="62" t="s">
        <v>1549</v>
      </c>
      <c r="E554" s="62" t="s">
        <v>852</v>
      </c>
      <c r="F554" s="60"/>
      <c r="G554" s="92"/>
      <c r="H554" s="60"/>
      <c r="I554" s="60"/>
      <c r="J554" s="60"/>
      <c r="K554" s="71" t="str">
        <f>VLOOKUP(E554,'HEAD OF THE FAMILY'!$B$6:$J1851,9,FALSE)</f>
        <v>BLK 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60">
        <f t="shared" si="3"/>
        <v>550</v>
      </c>
      <c r="B555" s="62" t="s">
        <v>1551</v>
      </c>
      <c r="C555" s="62" t="s">
        <v>1552</v>
      </c>
      <c r="D555" s="105"/>
      <c r="E555" s="62" t="s">
        <v>852</v>
      </c>
      <c r="F555" s="60"/>
      <c r="G555" s="92"/>
      <c r="H555" s="60"/>
      <c r="I555" s="60"/>
      <c r="J555" s="60"/>
      <c r="K555" s="71" t="str">
        <f>VLOOKUP(E555,'HEAD OF THE FAMILY'!$B$6:$J1851,9,FALSE)</f>
        <v>BLK 3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60">
        <f t="shared" si="3"/>
        <v>551</v>
      </c>
      <c r="B556" s="62" t="s">
        <v>1553</v>
      </c>
      <c r="C556" s="62" t="s">
        <v>1554</v>
      </c>
      <c r="D556" s="62" t="s">
        <v>53</v>
      </c>
      <c r="E556" s="62" t="s">
        <v>1513</v>
      </c>
      <c r="F556" s="60"/>
      <c r="G556" s="92"/>
      <c r="H556" s="60"/>
      <c r="I556" s="60"/>
      <c r="J556" s="60"/>
      <c r="K556" s="71" t="str">
        <f>VLOOKUP(E556,'HEAD OF THE FAMILY'!$B$6:$J1851,9,FALSE)</f>
        <v>BLK 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60">
        <f t="shared" si="3"/>
        <v>552</v>
      </c>
      <c r="B557" s="62" t="s">
        <v>1551</v>
      </c>
      <c r="C557" s="62" t="s">
        <v>1555</v>
      </c>
      <c r="D557" s="105"/>
      <c r="E557" s="62" t="s">
        <v>1556</v>
      </c>
      <c r="F557" s="60"/>
      <c r="G557" s="92"/>
      <c r="H557" s="60"/>
      <c r="I557" s="60"/>
      <c r="J557" s="60"/>
      <c r="K557" s="71" t="str">
        <f>VLOOKUP(E557,'HEAD OF THE FAMILY'!$B$6:$J1851,9,FALSE)</f>
        <v>BLK 3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60">
        <f t="shared" si="3"/>
        <v>553</v>
      </c>
      <c r="B558" s="62" t="s">
        <v>1551</v>
      </c>
      <c r="C558" s="62" t="s">
        <v>1558</v>
      </c>
      <c r="D558" s="105"/>
      <c r="E558" s="62" t="s">
        <v>1556</v>
      </c>
      <c r="F558" s="60"/>
      <c r="G558" s="92"/>
      <c r="H558" s="60"/>
      <c r="I558" s="60"/>
      <c r="J558" s="60"/>
      <c r="K558" s="71" t="str">
        <f>VLOOKUP(E558,'HEAD OF THE FAMILY'!$B$6:$J1851,9,FALSE)</f>
        <v>BLK 3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60">
        <f t="shared" si="3"/>
        <v>554</v>
      </c>
      <c r="B559" s="62" t="s">
        <v>1551</v>
      </c>
      <c r="C559" s="62" t="s">
        <v>1559</v>
      </c>
      <c r="D559" s="105"/>
      <c r="E559" s="62" t="s">
        <v>1560</v>
      </c>
      <c r="F559" s="60"/>
      <c r="G559" s="92"/>
      <c r="H559" s="60"/>
      <c r="I559" s="60"/>
      <c r="J559" s="60"/>
      <c r="K559" s="71" t="str">
        <f>VLOOKUP(E559,'HEAD OF THE FAMILY'!$B$6:$J1851,9,FALSE)</f>
        <v>BLK 3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60">
        <f t="shared" si="3"/>
        <v>555</v>
      </c>
      <c r="B560" s="62" t="s">
        <v>1458</v>
      </c>
      <c r="C560" s="62" t="s">
        <v>1561</v>
      </c>
      <c r="D560" s="105"/>
      <c r="E560" s="62" t="s">
        <v>1562</v>
      </c>
      <c r="F560" s="60"/>
      <c r="G560" s="92"/>
      <c r="H560" s="60"/>
      <c r="I560" s="60"/>
      <c r="J560" s="60"/>
      <c r="K560" s="71" t="str">
        <f>VLOOKUP(E560,'HEAD OF THE FAMILY'!$B$6:$J1851,9,FALSE)</f>
        <v>BLK 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60">
        <f t="shared" si="3"/>
        <v>556</v>
      </c>
      <c r="B561" s="62" t="s">
        <v>1458</v>
      </c>
      <c r="C561" s="62" t="s">
        <v>1564</v>
      </c>
      <c r="D561" s="105"/>
      <c r="E561" s="62" t="s">
        <v>1562</v>
      </c>
      <c r="F561" s="60"/>
      <c r="G561" s="92"/>
      <c r="H561" s="60"/>
      <c r="I561" s="60"/>
      <c r="J561" s="60"/>
      <c r="K561" s="71" t="str">
        <f>VLOOKUP(E561,'HEAD OF THE FAMILY'!$B$6:$J1851,9,FALSE)</f>
        <v>BLK 3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60">
        <f t="shared" si="3"/>
        <v>557</v>
      </c>
      <c r="B562" s="62" t="s">
        <v>1565</v>
      </c>
      <c r="C562" s="62" t="s">
        <v>1566</v>
      </c>
      <c r="D562" s="105"/>
      <c r="E562" s="62" t="s">
        <v>1403</v>
      </c>
      <c r="F562" s="60"/>
      <c r="G562" s="92"/>
      <c r="H562" s="60"/>
      <c r="I562" s="60"/>
      <c r="J562" s="60"/>
      <c r="K562" s="71" t="str">
        <f>VLOOKUP(E562,'HEAD OF THE FAMILY'!$B$6:$J1851,9,FALSE)</f>
        <v>BLK 3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60">
        <f t="shared" si="3"/>
        <v>558</v>
      </c>
      <c r="B563" s="62" t="s">
        <v>1565</v>
      </c>
      <c r="C563" s="62" t="s">
        <v>1567</v>
      </c>
      <c r="D563" s="105"/>
      <c r="E563" s="62" t="s">
        <v>1403</v>
      </c>
      <c r="F563" s="60"/>
      <c r="G563" s="92"/>
      <c r="H563" s="60"/>
      <c r="I563" s="60"/>
      <c r="J563" s="60"/>
      <c r="K563" s="71" t="str">
        <f>VLOOKUP(E563,'HEAD OF THE FAMILY'!$B$6:$J1851,9,FALSE)</f>
        <v>BLK 3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60">
        <f t="shared" si="3"/>
        <v>559</v>
      </c>
      <c r="B564" s="62" t="s">
        <v>1565</v>
      </c>
      <c r="C564" s="62" t="s">
        <v>1569</v>
      </c>
      <c r="D564" s="105"/>
      <c r="E564" s="62" t="s">
        <v>1403</v>
      </c>
      <c r="F564" s="60"/>
      <c r="G564" s="92"/>
      <c r="H564" s="60"/>
      <c r="I564" s="60"/>
      <c r="J564" s="60"/>
      <c r="K564" s="71" t="str">
        <f>VLOOKUP(E564,'HEAD OF THE FAMILY'!$B$6:$J1851,9,FALSE)</f>
        <v>BLK 3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60">
        <f t="shared" si="3"/>
        <v>560</v>
      </c>
      <c r="B565" s="62" t="s">
        <v>1565</v>
      </c>
      <c r="C565" s="62" t="s">
        <v>1570</v>
      </c>
      <c r="D565" s="105"/>
      <c r="E565" s="62" t="s">
        <v>1403</v>
      </c>
      <c r="F565" s="60"/>
      <c r="G565" s="92"/>
      <c r="H565" s="60"/>
      <c r="I565" s="60"/>
      <c r="J565" s="60"/>
      <c r="K565" s="71" t="str">
        <f>VLOOKUP(E565,'HEAD OF THE FAMILY'!$B$6:$J1851,9,FALSE)</f>
        <v>BLK 3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60">
        <f t="shared" si="3"/>
        <v>561</v>
      </c>
      <c r="B566" s="62" t="s">
        <v>1565</v>
      </c>
      <c r="C566" s="62" t="s">
        <v>506</v>
      </c>
      <c r="D566" s="105"/>
      <c r="E566" s="62" t="s">
        <v>1403</v>
      </c>
      <c r="F566" s="60"/>
      <c r="G566" s="92"/>
      <c r="H566" s="60"/>
      <c r="I566" s="60"/>
      <c r="J566" s="60"/>
      <c r="K566" s="71" t="str">
        <f>VLOOKUP(E566,'HEAD OF THE FAMILY'!$B$6:$J1851,9,FALSE)</f>
        <v>BLK 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60">
        <f t="shared" si="3"/>
        <v>562</v>
      </c>
      <c r="B567" s="62" t="s">
        <v>1572</v>
      </c>
      <c r="C567" s="62" t="s">
        <v>1573</v>
      </c>
      <c r="D567" s="62" t="s">
        <v>1497</v>
      </c>
      <c r="E567" s="62" t="s">
        <v>1575</v>
      </c>
      <c r="F567" s="60"/>
      <c r="G567" s="92"/>
      <c r="H567" s="60"/>
      <c r="I567" s="60"/>
      <c r="J567" s="60"/>
      <c r="K567" s="71" t="str">
        <f>VLOOKUP(E567,'HEAD OF THE FAMILY'!$B$6:$J1851,9,FALSE)</f>
        <v>BLK 3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60">
        <f t="shared" si="3"/>
        <v>563</v>
      </c>
      <c r="B568" s="62" t="s">
        <v>1572</v>
      </c>
      <c r="C568" s="62" t="s">
        <v>1576</v>
      </c>
      <c r="D568" s="62" t="s">
        <v>1497</v>
      </c>
      <c r="E568" s="62" t="s">
        <v>1575</v>
      </c>
      <c r="F568" s="60"/>
      <c r="G568" s="92"/>
      <c r="H568" s="60"/>
      <c r="I568" s="60"/>
      <c r="J568" s="60"/>
      <c r="K568" s="71" t="str">
        <f>VLOOKUP(E568,'HEAD OF THE FAMILY'!$B$6:$J1851,9,FALSE)</f>
        <v>BLK 3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60">
        <f t="shared" si="3"/>
        <v>564</v>
      </c>
      <c r="B569" s="62" t="s">
        <v>1572</v>
      </c>
      <c r="C569" s="62" t="s">
        <v>1577</v>
      </c>
      <c r="D569" s="105"/>
      <c r="E569" s="62" t="s">
        <v>1578</v>
      </c>
      <c r="F569" s="60"/>
      <c r="G569" s="92"/>
      <c r="H569" s="60"/>
      <c r="I569" s="60"/>
      <c r="J569" s="60"/>
      <c r="K569" s="71" t="str">
        <f>VLOOKUP(E569,'HEAD OF THE FAMILY'!$B$6:$J1851,9,FALSE)</f>
        <v>BLK 3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60">
        <f t="shared" si="3"/>
        <v>565</v>
      </c>
      <c r="B570" s="62" t="s">
        <v>1580</v>
      </c>
      <c r="C570" s="62" t="s">
        <v>1581</v>
      </c>
      <c r="D570" s="105"/>
      <c r="E570" s="62" t="s">
        <v>187</v>
      </c>
      <c r="F570" s="60"/>
      <c r="G570" s="92"/>
      <c r="H570" s="60"/>
      <c r="I570" s="60"/>
      <c r="J570" s="60"/>
      <c r="K570" s="71" t="str">
        <f>VLOOKUP(E570,'HEAD OF THE FAMILY'!$B$6:$J1851,9,FALSE)</f>
        <v>BLK 3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60">
        <f t="shared" si="3"/>
        <v>566</v>
      </c>
      <c r="B571" s="62" t="s">
        <v>1580</v>
      </c>
      <c r="C571" s="62" t="s">
        <v>1582</v>
      </c>
      <c r="D571" s="105"/>
      <c r="E571" s="62" t="s">
        <v>187</v>
      </c>
      <c r="F571" s="60"/>
      <c r="G571" s="92"/>
      <c r="H571" s="60"/>
      <c r="I571" s="60"/>
      <c r="J571" s="60"/>
      <c r="K571" s="71" t="str">
        <f>VLOOKUP(E571,'HEAD OF THE FAMILY'!$B$6:$J1851,9,FALSE)</f>
        <v>BLK 3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60">
        <f t="shared" si="3"/>
        <v>567</v>
      </c>
      <c r="B572" s="62" t="s">
        <v>1580</v>
      </c>
      <c r="C572" s="62" t="s">
        <v>1584</v>
      </c>
      <c r="D572" s="105"/>
      <c r="E572" s="62" t="s">
        <v>187</v>
      </c>
      <c r="F572" s="60"/>
      <c r="G572" s="92"/>
      <c r="H572" s="60"/>
      <c r="I572" s="60"/>
      <c r="J572" s="60"/>
      <c r="K572" s="71" t="str">
        <f>VLOOKUP(E572,'HEAD OF THE FAMILY'!$B$6:$J1851,9,FALSE)</f>
        <v>BLK 3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60">
        <f t="shared" si="3"/>
        <v>568</v>
      </c>
      <c r="B573" s="62" t="s">
        <v>1585</v>
      </c>
      <c r="C573" s="62" t="s">
        <v>1586</v>
      </c>
      <c r="D573" s="62" t="s">
        <v>1463</v>
      </c>
      <c r="E573" s="62" t="s">
        <v>884</v>
      </c>
      <c r="F573" s="60"/>
      <c r="G573" s="92"/>
      <c r="H573" s="60"/>
      <c r="I573" s="60"/>
      <c r="J573" s="60"/>
      <c r="K573" s="71" t="str">
        <f>VLOOKUP(E573,'HEAD OF THE FAMILY'!$B$6:$J1851,9,FALSE)</f>
        <v>BLK 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60">
        <f t="shared" si="3"/>
        <v>569</v>
      </c>
      <c r="B574" s="62" t="s">
        <v>1585</v>
      </c>
      <c r="C574" s="62" t="s">
        <v>159</v>
      </c>
      <c r="D574" s="62" t="s">
        <v>1463</v>
      </c>
      <c r="E574" s="62" t="s">
        <v>884</v>
      </c>
      <c r="F574" s="60"/>
      <c r="G574" s="92"/>
      <c r="H574" s="60"/>
      <c r="I574" s="60"/>
      <c r="J574" s="60"/>
      <c r="K574" s="71" t="str">
        <f>VLOOKUP(E574,'HEAD OF THE FAMILY'!$B$6:$J1851,9,FALSE)</f>
        <v>BLK 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60">
        <f t="shared" si="3"/>
        <v>570</v>
      </c>
      <c r="B575" s="62" t="s">
        <v>1585</v>
      </c>
      <c r="C575" s="62" t="s">
        <v>1587</v>
      </c>
      <c r="D575" s="62" t="s">
        <v>1463</v>
      </c>
      <c r="E575" s="62" t="s">
        <v>884</v>
      </c>
      <c r="F575" s="60"/>
      <c r="G575" s="92"/>
      <c r="H575" s="60"/>
      <c r="I575" s="60"/>
      <c r="J575" s="60"/>
      <c r="K575" s="71" t="str">
        <f>VLOOKUP(E575,'HEAD OF THE FAMILY'!$B$6:$J1851,9,FALSE)</f>
        <v>BLK 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60">
        <f t="shared" si="3"/>
        <v>571</v>
      </c>
      <c r="B576" s="62" t="s">
        <v>1585</v>
      </c>
      <c r="C576" s="62" t="s">
        <v>1588</v>
      </c>
      <c r="D576" s="62" t="s">
        <v>1463</v>
      </c>
      <c r="E576" s="62" t="s">
        <v>884</v>
      </c>
      <c r="F576" s="60"/>
      <c r="G576" s="92"/>
      <c r="H576" s="60"/>
      <c r="I576" s="60"/>
      <c r="J576" s="60"/>
      <c r="K576" s="71" t="str">
        <f>VLOOKUP(E576,'HEAD OF THE FAMILY'!$B$6:$J1851,9,FALSE)</f>
        <v>BLK 3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60">
        <f t="shared" si="3"/>
        <v>572</v>
      </c>
      <c r="B577" s="62" t="s">
        <v>1585</v>
      </c>
      <c r="C577" s="62" t="s">
        <v>1589</v>
      </c>
      <c r="D577" s="62" t="s">
        <v>1463</v>
      </c>
      <c r="E577" s="62" t="s">
        <v>884</v>
      </c>
      <c r="F577" s="60"/>
      <c r="G577" s="92"/>
      <c r="H577" s="60"/>
      <c r="I577" s="60"/>
      <c r="J577" s="60"/>
      <c r="K577" s="71" t="str">
        <f>VLOOKUP(E577,'HEAD OF THE FAMILY'!$B$6:$J1851,9,FALSE)</f>
        <v>BLK 3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60">
        <f t="shared" si="3"/>
        <v>573</v>
      </c>
      <c r="B578" s="62" t="s">
        <v>1585</v>
      </c>
      <c r="C578" s="62" t="s">
        <v>1590</v>
      </c>
      <c r="D578" s="62" t="s">
        <v>1463</v>
      </c>
      <c r="E578" s="62" t="s">
        <v>884</v>
      </c>
      <c r="F578" s="60"/>
      <c r="G578" s="92"/>
      <c r="H578" s="60"/>
      <c r="I578" s="60"/>
      <c r="J578" s="60"/>
      <c r="K578" s="71" t="str">
        <f>VLOOKUP(E578,'HEAD OF THE FAMILY'!$B$6:$J1851,9,FALSE)</f>
        <v>BLK 3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60">
        <f t="shared" si="3"/>
        <v>574</v>
      </c>
      <c r="B579" s="62" t="s">
        <v>1585</v>
      </c>
      <c r="C579" s="62" t="s">
        <v>1592</v>
      </c>
      <c r="D579" s="62" t="s">
        <v>1463</v>
      </c>
      <c r="E579" s="62" t="s">
        <v>884</v>
      </c>
      <c r="F579" s="60"/>
      <c r="G579" s="92"/>
      <c r="H579" s="60"/>
      <c r="I579" s="60"/>
      <c r="J579" s="60"/>
      <c r="K579" s="71" t="str">
        <f>VLOOKUP(E579,'HEAD OF THE FAMILY'!$B$6:$J1851,9,FALSE)</f>
        <v>BLK 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60">
        <f t="shared" si="3"/>
        <v>575</v>
      </c>
      <c r="B580" s="62" t="s">
        <v>1585</v>
      </c>
      <c r="C580" s="62" t="s">
        <v>1593</v>
      </c>
      <c r="D580" s="62" t="s">
        <v>1463</v>
      </c>
      <c r="E580" s="62" t="s">
        <v>393</v>
      </c>
      <c r="F580" s="60"/>
      <c r="G580" s="92"/>
      <c r="H580" s="60"/>
      <c r="I580" s="60"/>
      <c r="J580" s="60"/>
      <c r="K580" s="71" t="str">
        <f>VLOOKUP(E580,'HEAD OF THE FAMILY'!$B$6:$J1851,9,FALSE)</f>
        <v>BLK 3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60">
        <f t="shared" si="3"/>
        <v>576</v>
      </c>
      <c r="B581" s="62" t="s">
        <v>1595</v>
      </c>
      <c r="C581" s="62" t="s">
        <v>1596</v>
      </c>
      <c r="D581" s="105"/>
      <c r="E581" s="62" t="s">
        <v>1597</v>
      </c>
      <c r="F581" s="60"/>
      <c r="G581" s="92"/>
      <c r="H581" s="60"/>
      <c r="I581" s="60"/>
      <c r="J581" s="60"/>
      <c r="K581" s="71" t="str">
        <f>VLOOKUP(E581,'HEAD OF THE FAMILY'!$B$6:$J1851,9,FALSE)</f>
        <v>BLK 3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60">
        <f t="shared" si="3"/>
        <v>577</v>
      </c>
      <c r="B582" s="62" t="s">
        <v>1595</v>
      </c>
      <c r="C582" s="62" t="s">
        <v>1598</v>
      </c>
      <c r="D582" s="105"/>
      <c r="E582" s="62" t="s">
        <v>1597</v>
      </c>
      <c r="F582" s="60"/>
      <c r="G582" s="92"/>
      <c r="H582" s="60"/>
      <c r="I582" s="60"/>
      <c r="J582" s="60"/>
      <c r="K582" s="71" t="str">
        <f>VLOOKUP(E582,'HEAD OF THE FAMILY'!$B$6:$J1851,9,FALSE)</f>
        <v>BLK 3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60">
        <f t="shared" si="3"/>
        <v>578</v>
      </c>
      <c r="B583" s="62" t="s">
        <v>1595</v>
      </c>
      <c r="C583" s="62" t="s">
        <v>1600</v>
      </c>
      <c r="D583" s="105"/>
      <c r="E583" s="62" t="s">
        <v>1597</v>
      </c>
      <c r="F583" s="60"/>
      <c r="G583" s="92"/>
      <c r="H583" s="60"/>
      <c r="I583" s="60"/>
      <c r="J583" s="60"/>
      <c r="K583" s="71" t="str">
        <f>VLOOKUP(E583,'HEAD OF THE FAMILY'!$B$6:$J1851,9,FALSE)</f>
        <v>BLK 3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60">
        <f t="shared" si="3"/>
        <v>579</v>
      </c>
      <c r="B584" s="62" t="s">
        <v>1595</v>
      </c>
      <c r="C584" s="62" t="s">
        <v>1601</v>
      </c>
      <c r="D584" s="62" t="s">
        <v>1472</v>
      </c>
      <c r="E584" s="62" t="s">
        <v>1602</v>
      </c>
      <c r="F584" s="60"/>
      <c r="G584" s="92"/>
      <c r="H584" s="60"/>
      <c r="I584" s="60"/>
      <c r="J584" s="60"/>
      <c r="K584" s="71" t="str">
        <f>VLOOKUP(E584,'HEAD OF THE FAMILY'!$B$6:$J1851,9,FALSE)</f>
        <v>BLK 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60">
        <f t="shared" si="3"/>
        <v>580</v>
      </c>
      <c r="B585" s="62" t="s">
        <v>1595</v>
      </c>
      <c r="C585" s="62" t="s">
        <v>1604</v>
      </c>
      <c r="D585" s="62" t="s">
        <v>1472</v>
      </c>
      <c r="E585" s="62" t="s">
        <v>1602</v>
      </c>
      <c r="F585" s="60"/>
      <c r="G585" s="92"/>
      <c r="H585" s="60"/>
      <c r="I585" s="60"/>
      <c r="J585" s="60"/>
      <c r="K585" s="71" t="str">
        <f>VLOOKUP(E585,'HEAD OF THE FAMILY'!$B$6:$J1851,9,FALSE)</f>
        <v>BLK 3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60">
        <f t="shared" si="3"/>
        <v>581</v>
      </c>
      <c r="B586" s="62" t="s">
        <v>1595</v>
      </c>
      <c r="C586" s="62" t="s">
        <v>1605</v>
      </c>
      <c r="D586" s="62" t="s">
        <v>1472</v>
      </c>
      <c r="E586" s="62" t="s">
        <v>1602</v>
      </c>
      <c r="F586" s="60"/>
      <c r="G586" s="92"/>
      <c r="H586" s="60"/>
      <c r="I586" s="60"/>
      <c r="J586" s="60"/>
      <c r="K586" s="71" t="str">
        <f>VLOOKUP(E586,'HEAD OF THE FAMILY'!$B$6:$J1851,9,FALSE)</f>
        <v>BLK 3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60">
        <f t="shared" si="3"/>
        <v>582</v>
      </c>
      <c r="B587" s="62" t="s">
        <v>1595</v>
      </c>
      <c r="C587" s="62" t="s">
        <v>1606</v>
      </c>
      <c r="D587" s="62" t="s">
        <v>1472</v>
      </c>
      <c r="E587" s="62" t="s">
        <v>1602</v>
      </c>
      <c r="F587" s="60"/>
      <c r="G587" s="92"/>
      <c r="H587" s="60"/>
      <c r="I587" s="60"/>
      <c r="J587" s="60"/>
      <c r="K587" s="71" t="str">
        <f>VLOOKUP(E587,'HEAD OF THE FAMILY'!$B$6:$J1851,9,FALSE)</f>
        <v>BLK 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60">
        <f t="shared" si="3"/>
        <v>583</v>
      </c>
      <c r="B588" s="62" t="s">
        <v>1595</v>
      </c>
      <c r="C588" s="62" t="s">
        <v>1608</v>
      </c>
      <c r="D588" s="62" t="s">
        <v>1472</v>
      </c>
      <c r="E588" s="62" t="s">
        <v>1602</v>
      </c>
      <c r="F588" s="60"/>
      <c r="G588" s="92"/>
      <c r="H588" s="60"/>
      <c r="I588" s="60"/>
      <c r="J588" s="60"/>
      <c r="K588" s="71" t="str">
        <f>VLOOKUP(E588,'HEAD OF THE FAMILY'!$B$6:$J1851,9,FALSE)</f>
        <v>BLK 3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60">
        <f t="shared" si="3"/>
        <v>584</v>
      </c>
      <c r="B589" s="62" t="s">
        <v>1610</v>
      </c>
      <c r="C589" s="62" t="s">
        <v>569</v>
      </c>
      <c r="D589" s="62" t="s">
        <v>1463</v>
      </c>
      <c r="E589" s="62" t="s">
        <v>1113</v>
      </c>
      <c r="F589" s="60"/>
      <c r="G589" s="92"/>
      <c r="H589" s="60"/>
      <c r="I589" s="60"/>
      <c r="J589" s="60"/>
      <c r="K589" s="71" t="str">
        <f>VLOOKUP(E589,'HEAD OF THE FAMILY'!$B$6:$J1851,9,FALSE)</f>
        <v>BLK 3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60">
        <f t="shared" si="3"/>
        <v>585</v>
      </c>
      <c r="B590" s="62" t="s">
        <v>1610</v>
      </c>
      <c r="C590" s="62" t="s">
        <v>1613</v>
      </c>
      <c r="D590" s="62" t="s">
        <v>1463</v>
      </c>
      <c r="E590" s="62" t="s">
        <v>1113</v>
      </c>
      <c r="F590" s="60"/>
      <c r="G590" s="92"/>
      <c r="H590" s="60"/>
      <c r="I590" s="60"/>
      <c r="J590" s="60"/>
      <c r="K590" s="71" t="str">
        <f>VLOOKUP(E590,'HEAD OF THE FAMILY'!$B$6:$J1851,9,FALSE)</f>
        <v>BLK 3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60">
        <f t="shared" si="3"/>
        <v>586</v>
      </c>
      <c r="B591" s="62" t="s">
        <v>1615</v>
      </c>
      <c r="C591" s="62" t="s">
        <v>1616</v>
      </c>
      <c r="D591" s="62" t="s">
        <v>1428</v>
      </c>
      <c r="E591" s="62" t="s">
        <v>827</v>
      </c>
      <c r="F591" s="60"/>
      <c r="G591" s="92"/>
      <c r="H591" s="60"/>
      <c r="I591" s="60"/>
      <c r="J591" s="60"/>
      <c r="K591" s="71" t="str">
        <f>VLOOKUP(E591,'HEAD OF THE FAMILY'!$B$6:$J1851,9,FALSE)</f>
        <v>BLK 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60">
        <f t="shared" si="3"/>
        <v>587</v>
      </c>
      <c r="B592" s="62" t="s">
        <v>1615</v>
      </c>
      <c r="C592" s="62" t="s">
        <v>1617</v>
      </c>
      <c r="D592" s="62" t="s">
        <v>1428</v>
      </c>
      <c r="E592" s="62" t="s">
        <v>827</v>
      </c>
      <c r="F592" s="60"/>
      <c r="G592" s="92"/>
      <c r="H592" s="60"/>
      <c r="I592" s="60"/>
      <c r="J592" s="60"/>
      <c r="K592" s="71" t="str">
        <f>VLOOKUP(E592,'HEAD OF THE FAMILY'!$B$6:$J1851,9,FALSE)</f>
        <v>BLK 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60">
        <f t="shared" si="3"/>
        <v>588</v>
      </c>
      <c r="B593" s="62" t="s">
        <v>408</v>
      </c>
      <c r="C593" s="62" t="s">
        <v>1619</v>
      </c>
      <c r="D593" s="62" t="s">
        <v>1620</v>
      </c>
      <c r="E593" s="62" t="s">
        <v>1308</v>
      </c>
      <c r="F593" s="60"/>
      <c r="G593" s="92"/>
      <c r="H593" s="60"/>
      <c r="I593" s="60"/>
      <c r="J593" s="60"/>
      <c r="K593" s="71" t="str">
        <f>VLOOKUP(E593,'HEAD OF THE FAMILY'!$B$6:$J1851,9,FALSE)</f>
        <v>BLK 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60">
        <f t="shared" si="3"/>
        <v>589</v>
      </c>
      <c r="B594" s="62" t="s">
        <v>408</v>
      </c>
      <c r="C594" s="62" t="s">
        <v>1622</v>
      </c>
      <c r="D594" s="62" t="s">
        <v>1620</v>
      </c>
      <c r="E594" s="62" t="s">
        <v>1308</v>
      </c>
      <c r="F594" s="60"/>
      <c r="G594" s="92"/>
      <c r="H594" s="60"/>
      <c r="I594" s="60"/>
      <c r="J594" s="60"/>
      <c r="K594" s="71" t="str">
        <f>VLOOKUP(E594,'HEAD OF THE FAMILY'!$B$6:$J1851,9,FALSE)</f>
        <v>BLK 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60">
        <f t="shared" si="3"/>
        <v>590</v>
      </c>
      <c r="B595" s="62" t="s">
        <v>197</v>
      </c>
      <c r="C595" s="62" t="s">
        <v>1623</v>
      </c>
      <c r="D595" s="62" t="s">
        <v>1508</v>
      </c>
      <c r="E595" s="62" t="s">
        <v>1624</v>
      </c>
      <c r="F595" s="60"/>
      <c r="G595" s="92"/>
      <c r="H595" s="60"/>
      <c r="I595" s="60"/>
      <c r="J595" s="60"/>
      <c r="K595" s="71" t="str">
        <f>VLOOKUP(E595,'HEAD OF THE FAMILY'!$B$6:$J1851,9,FALSE)</f>
        <v>BLK 3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60">
        <f t="shared" si="3"/>
        <v>591</v>
      </c>
      <c r="B596" s="62" t="s">
        <v>197</v>
      </c>
      <c r="C596" s="62" t="s">
        <v>1626</v>
      </c>
      <c r="D596" s="62" t="s">
        <v>1508</v>
      </c>
      <c r="E596" s="62" t="s">
        <v>1624</v>
      </c>
      <c r="F596" s="60"/>
      <c r="G596" s="92"/>
      <c r="H596" s="60"/>
      <c r="I596" s="60"/>
      <c r="J596" s="60"/>
      <c r="K596" s="71" t="str">
        <f>VLOOKUP(E596,'HEAD OF THE FAMILY'!$B$6:$J1851,9,FALSE)</f>
        <v>BLK 3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60">
        <f t="shared" si="3"/>
        <v>592</v>
      </c>
      <c r="B597" s="62" t="s">
        <v>197</v>
      </c>
      <c r="C597" s="62" t="s">
        <v>1627</v>
      </c>
      <c r="D597" s="62" t="s">
        <v>1508</v>
      </c>
      <c r="E597" s="62" t="s">
        <v>1624</v>
      </c>
      <c r="F597" s="60"/>
      <c r="G597" s="92"/>
      <c r="H597" s="60"/>
      <c r="I597" s="60"/>
      <c r="J597" s="60"/>
      <c r="K597" s="71" t="str">
        <f>VLOOKUP(E597,'HEAD OF THE FAMILY'!$B$6:$J1851,9,FALSE)</f>
        <v>BLK 3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60">
        <f t="shared" si="3"/>
        <v>593</v>
      </c>
      <c r="B598" s="62" t="s">
        <v>197</v>
      </c>
      <c r="C598" s="62" t="s">
        <v>1629</v>
      </c>
      <c r="D598" s="62" t="s">
        <v>1508</v>
      </c>
      <c r="E598" s="62" t="s">
        <v>1624</v>
      </c>
      <c r="F598" s="60"/>
      <c r="G598" s="92"/>
      <c r="H598" s="60"/>
      <c r="I598" s="60"/>
      <c r="J598" s="60"/>
      <c r="K598" s="71" t="str">
        <f>VLOOKUP(E598,'HEAD OF THE FAMILY'!$B$6:$J1851,9,FALSE)</f>
        <v>BLK 3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60">
        <f t="shared" si="3"/>
        <v>594</v>
      </c>
      <c r="B599" s="62" t="s">
        <v>1632</v>
      </c>
      <c r="C599" s="62" t="s">
        <v>1633</v>
      </c>
      <c r="D599" s="105"/>
      <c r="E599" s="62" t="s">
        <v>1624</v>
      </c>
      <c r="F599" s="60"/>
      <c r="G599" s="92"/>
      <c r="H599" s="60"/>
      <c r="I599" s="60"/>
      <c r="J599" s="60"/>
      <c r="K599" s="71" t="str">
        <f>VLOOKUP(E599,'HEAD OF THE FAMILY'!$B$6:$J1851,9,FALSE)</f>
        <v>BLK 3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60">
        <f t="shared" si="3"/>
        <v>595</v>
      </c>
      <c r="B600" s="62" t="s">
        <v>1632</v>
      </c>
      <c r="C600" s="62" t="s">
        <v>1634</v>
      </c>
      <c r="D600" s="105"/>
      <c r="E600" s="62" t="s">
        <v>1624</v>
      </c>
      <c r="F600" s="60"/>
      <c r="G600" s="92"/>
      <c r="H600" s="60"/>
      <c r="I600" s="60"/>
      <c r="J600" s="60"/>
      <c r="K600" s="71" t="str">
        <f>VLOOKUP(E600,'HEAD OF THE FAMILY'!$B$6:$J1851,9,FALSE)</f>
        <v>BLK 3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60">
        <f t="shared" si="3"/>
        <v>596</v>
      </c>
      <c r="B601" s="62" t="s">
        <v>1636</v>
      </c>
      <c r="C601" s="62" t="s">
        <v>1637</v>
      </c>
      <c r="D601" s="105"/>
      <c r="E601" s="62" t="s">
        <v>1638</v>
      </c>
      <c r="F601" s="60"/>
      <c r="G601" s="92"/>
      <c r="H601" s="60"/>
      <c r="I601" s="60"/>
      <c r="J601" s="60"/>
      <c r="K601" s="71" t="str">
        <f>VLOOKUP(E601,'HEAD OF THE FAMILY'!$B$6:$J1851,9,FALSE)</f>
        <v>BLK 3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60">
        <f t="shared" si="3"/>
        <v>597</v>
      </c>
      <c r="B602" s="62" t="s">
        <v>1636</v>
      </c>
      <c r="C602" s="62" t="s">
        <v>1639</v>
      </c>
      <c r="D602" s="105"/>
      <c r="E602" s="62" t="s">
        <v>1638</v>
      </c>
      <c r="F602" s="60"/>
      <c r="G602" s="92"/>
      <c r="H602" s="60"/>
      <c r="I602" s="60"/>
      <c r="J602" s="60"/>
      <c r="K602" s="71" t="str">
        <f>VLOOKUP(E602,'HEAD OF THE FAMILY'!$B$6:$J1851,9,FALSE)</f>
        <v>BLK 3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60">
        <f t="shared" si="3"/>
        <v>598</v>
      </c>
      <c r="B603" s="62" t="s">
        <v>1640</v>
      </c>
      <c r="C603" s="62" t="s">
        <v>1641</v>
      </c>
      <c r="D603" s="105"/>
      <c r="E603" s="62" t="s">
        <v>1104</v>
      </c>
      <c r="F603" s="60"/>
      <c r="G603" s="92"/>
      <c r="H603" s="60"/>
      <c r="I603" s="60"/>
      <c r="J603" s="60"/>
      <c r="K603" s="71" t="str">
        <f>VLOOKUP(E603,'HEAD OF THE FAMILY'!$B$6:$J1851,9,FALSE)</f>
        <v>BLK 3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60">
        <f t="shared" si="3"/>
        <v>599</v>
      </c>
      <c r="B604" s="62" t="s">
        <v>1643</v>
      </c>
      <c r="C604" s="62" t="s">
        <v>1644</v>
      </c>
      <c r="D604" s="62" t="s">
        <v>1645</v>
      </c>
      <c r="E604" s="62" t="s">
        <v>1317</v>
      </c>
      <c r="F604" s="60"/>
      <c r="G604" s="92"/>
      <c r="H604" s="60"/>
      <c r="I604" s="60"/>
      <c r="J604" s="60"/>
      <c r="K604" s="71" t="str">
        <f>VLOOKUP(E604,'HEAD OF THE FAMILY'!$B$6:$J1851,9,FALSE)</f>
        <v>BLK 3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60">
        <f t="shared" si="3"/>
        <v>600</v>
      </c>
      <c r="B605" s="62" t="s">
        <v>1643</v>
      </c>
      <c r="C605" s="62" t="s">
        <v>1647</v>
      </c>
      <c r="D605" s="62" t="s">
        <v>1645</v>
      </c>
      <c r="E605" s="62" t="s">
        <v>1317</v>
      </c>
      <c r="F605" s="60"/>
      <c r="G605" s="92"/>
      <c r="H605" s="60"/>
      <c r="I605" s="60"/>
      <c r="J605" s="60"/>
      <c r="K605" s="71" t="str">
        <f>VLOOKUP(E605,'HEAD OF THE FAMILY'!$B$6:$J1851,9,FALSE)</f>
        <v>BLK 3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60">
        <f t="shared" si="3"/>
        <v>601</v>
      </c>
      <c r="B606" s="62" t="s">
        <v>1649</v>
      </c>
      <c r="C606" s="62" t="s">
        <v>1650</v>
      </c>
      <c r="D606" s="62" t="s">
        <v>1435</v>
      </c>
      <c r="E606" s="62" t="s">
        <v>1651</v>
      </c>
      <c r="F606" s="60"/>
      <c r="G606" s="92"/>
      <c r="H606" s="60"/>
      <c r="I606" s="60"/>
      <c r="J606" s="60"/>
      <c r="K606" s="71" t="str">
        <f>VLOOKUP(E606,'HEAD OF THE FAMILY'!$B$6:$J1851,9,FALSE)</f>
        <v>BLK 3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60">
        <f t="shared" si="3"/>
        <v>602</v>
      </c>
      <c r="B607" s="62" t="s">
        <v>1649</v>
      </c>
      <c r="C607" s="62" t="s">
        <v>1653</v>
      </c>
      <c r="D607" s="62" t="s">
        <v>1435</v>
      </c>
      <c r="E607" s="62" t="s">
        <v>1651</v>
      </c>
      <c r="F607" s="60"/>
      <c r="G607" s="92"/>
      <c r="H607" s="60"/>
      <c r="I607" s="60"/>
      <c r="J607" s="60"/>
      <c r="K607" s="71" t="str">
        <f>VLOOKUP(E607,'HEAD OF THE FAMILY'!$B$6:$J1851,9,FALSE)</f>
        <v>BLK 3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60">
        <f t="shared" si="3"/>
        <v>603</v>
      </c>
      <c r="B608" s="62" t="s">
        <v>1649</v>
      </c>
      <c r="C608" s="62" t="s">
        <v>1654</v>
      </c>
      <c r="D608" s="62" t="s">
        <v>1435</v>
      </c>
      <c r="E608" s="62" t="s">
        <v>1651</v>
      </c>
      <c r="F608" s="60"/>
      <c r="G608" s="92"/>
      <c r="H608" s="60"/>
      <c r="I608" s="60"/>
      <c r="J608" s="60"/>
      <c r="K608" s="71" t="str">
        <f>VLOOKUP(E608,'HEAD OF THE FAMILY'!$B$6:$J1851,9,FALSE)</f>
        <v>BLK 3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60">
        <f t="shared" si="3"/>
        <v>604</v>
      </c>
      <c r="B609" s="62" t="s">
        <v>1656</v>
      </c>
      <c r="C609" s="62" t="s">
        <v>1657</v>
      </c>
      <c r="D609" s="105"/>
      <c r="E609" s="62" t="s">
        <v>1658</v>
      </c>
      <c r="F609" s="60"/>
      <c r="G609" s="92"/>
      <c r="H609" s="60"/>
      <c r="I609" s="60"/>
      <c r="J609" s="60"/>
      <c r="K609" s="71" t="str">
        <f>VLOOKUP(E609,'HEAD OF THE FAMILY'!$B$6:$J1851,9,FALSE)</f>
        <v>BLK 3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60">
        <f t="shared" si="3"/>
        <v>605</v>
      </c>
      <c r="B610" s="62" t="s">
        <v>1656</v>
      </c>
      <c r="C610" s="62" t="s">
        <v>1659</v>
      </c>
      <c r="D610" s="105"/>
      <c r="E610" s="62" t="s">
        <v>1658</v>
      </c>
      <c r="F610" s="60"/>
      <c r="G610" s="92"/>
      <c r="H610" s="60"/>
      <c r="I610" s="60"/>
      <c r="J610" s="60"/>
      <c r="K610" s="71" t="str">
        <f>VLOOKUP(E610,'HEAD OF THE FAMILY'!$B$6:$J1851,9,FALSE)</f>
        <v>BLK 3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60">
        <f t="shared" si="3"/>
        <v>606</v>
      </c>
      <c r="B611" s="62" t="s">
        <v>1662</v>
      </c>
      <c r="C611" s="62" t="s">
        <v>1663</v>
      </c>
      <c r="D611" s="105"/>
      <c r="E611" s="62" t="s">
        <v>1664</v>
      </c>
      <c r="F611" s="60"/>
      <c r="G611" s="92"/>
      <c r="H611" s="60"/>
      <c r="I611" s="60"/>
      <c r="J611" s="60"/>
      <c r="K611" s="71" t="str">
        <f>VLOOKUP(E611,'HEAD OF THE FAMILY'!$B$6:$J1851,9,FALSE)</f>
        <v>BLK 41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60">
        <f t="shared" si="3"/>
        <v>607</v>
      </c>
      <c r="B612" s="62" t="s">
        <v>1665</v>
      </c>
      <c r="C612" s="62" t="s">
        <v>1666</v>
      </c>
      <c r="D612" s="62" t="s">
        <v>657</v>
      </c>
      <c r="E612" s="62" t="s">
        <v>1186</v>
      </c>
      <c r="F612" s="60"/>
      <c r="G612" s="92"/>
      <c r="H612" s="60"/>
      <c r="I612" s="60"/>
      <c r="J612" s="60"/>
      <c r="K612" s="71" t="str">
        <f>VLOOKUP(E612,'HEAD OF THE FAMILY'!$B$6:$J1851,9,FALSE)</f>
        <v>BLK 41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60">
        <f t="shared" si="3"/>
        <v>608</v>
      </c>
      <c r="B613" s="62" t="s">
        <v>1665</v>
      </c>
      <c r="C613" s="62" t="s">
        <v>1669</v>
      </c>
      <c r="D613" s="62" t="s">
        <v>657</v>
      </c>
      <c r="E613" s="62" t="s">
        <v>1186</v>
      </c>
      <c r="F613" s="60"/>
      <c r="G613" s="92"/>
      <c r="H613" s="60"/>
      <c r="I613" s="60"/>
      <c r="J613" s="60"/>
      <c r="K613" s="71" t="str">
        <f>VLOOKUP(E613,'HEAD OF THE FAMILY'!$B$6:$J1851,9,FALSE)</f>
        <v>BLK 41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60">
        <f t="shared" si="3"/>
        <v>609</v>
      </c>
      <c r="B614" s="62" t="s">
        <v>1665</v>
      </c>
      <c r="C614" s="62" t="s">
        <v>1671</v>
      </c>
      <c r="D614" s="62" t="s">
        <v>657</v>
      </c>
      <c r="E614" s="62" t="s">
        <v>1186</v>
      </c>
      <c r="F614" s="60"/>
      <c r="G614" s="92"/>
      <c r="H614" s="60"/>
      <c r="I614" s="60"/>
      <c r="J614" s="60"/>
      <c r="K614" s="71" t="str">
        <f>VLOOKUP(E614,'HEAD OF THE FAMILY'!$B$6:$J1851,9,FALSE)</f>
        <v>BLK 41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60">
        <f t="shared" si="3"/>
        <v>610</v>
      </c>
      <c r="B615" s="62" t="s">
        <v>1662</v>
      </c>
      <c r="C615" s="62" t="s">
        <v>1672</v>
      </c>
      <c r="D615" s="62" t="s">
        <v>968</v>
      </c>
      <c r="E615" s="62" t="s">
        <v>1673</v>
      </c>
      <c r="F615" s="60"/>
      <c r="G615" s="92"/>
      <c r="H615" s="60"/>
      <c r="I615" s="60"/>
      <c r="J615" s="60"/>
      <c r="K615" s="71" t="str">
        <f>VLOOKUP(E615,'HEAD OF THE FAMILY'!$B$6:$J1851,9,FALSE)</f>
        <v>BLK 41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60">
        <f t="shared" si="3"/>
        <v>611</v>
      </c>
      <c r="B616" s="62" t="s">
        <v>1675</v>
      </c>
      <c r="C616" s="62" t="s">
        <v>1676</v>
      </c>
      <c r="D616" s="62" t="s">
        <v>681</v>
      </c>
      <c r="E616" s="62" t="s">
        <v>1677</v>
      </c>
      <c r="F616" s="60"/>
      <c r="G616" s="92"/>
      <c r="H616" s="60"/>
      <c r="I616" s="60"/>
      <c r="J616" s="60"/>
      <c r="K616" s="71" t="str">
        <f>VLOOKUP(E616,'HEAD OF THE FAMILY'!$B$6:$J1851,9,FALSE)</f>
        <v>BLK 41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60">
        <f t="shared" si="3"/>
        <v>612</v>
      </c>
      <c r="B617" s="62" t="s">
        <v>1679</v>
      </c>
      <c r="C617" s="62" t="s">
        <v>1680</v>
      </c>
      <c r="D617" s="62" t="s">
        <v>95</v>
      </c>
      <c r="E617" s="62" t="s">
        <v>1677</v>
      </c>
      <c r="F617" s="60"/>
      <c r="G617" s="92"/>
      <c r="H617" s="60"/>
      <c r="I617" s="60"/>
      <c r="J617" s="60"/>
      <c r="K617" s="71" t="str">
        <f>VLOOKUP(E617,'HEAD OF THE FAMILY'!$B$6:$J1851,9,FALSE)</f>
        <v>BLK 41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60">
        <f t="shared" si="3"/>
        <v>613</v>
      </c>
      <c r="B618" s="62" t="s">
        <v>1679</v>
      </c>
      <c r="C618" s="62" t="s">
        <v>1681</v>
      </c>
      <c r="D618" s="62" t="s">
        <v>95</v>
      </c>
      <c r="E618" s="62" t="s">
        <v>1677</v>
      </c>
      <c r="F618" s="60"/>
      <c r="G618" s="92"/>
      <c r="H618" s="60"/>
      <c r="I618" s="60"/>
      <c r="J618" s="60"/>
      <c r="K618" s="71" t="str">
        <f>VLOOKUP(E618,'HEAD OF THE FAMILY'!$B$6:$J1851,9,FALSE)</f>
        <v>BLK 41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60">
        <f t="shared" si="3"/>
        <v>614</v>
      </c>
      <c r="B619" s="62" t="s">
        <v>1683</v>
      </c>
      <c r="C619" s="62" t="s">
        <v>1684</v>
      </c>
      <c r="D619" s="105"/>
      <c r="E619" s="62" t="s">
        <v>1685</v>
      </c>
      <c r="F619" s="60"/>
      <c r="G619" s="92"/>
      <c r="H619" s="60"/>
      <c r="I619" s="60"/>
      <c r="J619" s="60"/>
      <c r="K619" s="71" t="str">
        <f>VLOOKUP(E619,'HEAD OF THE FAMILY'!$B$6:$J1851,9,FALSE)</f>
        <v>BLK 41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60">
        <f t="shared" si="3"/>
        <v>615</v>
      </c>
      <c r="B620" s="62" t="s">
        <v>1683</v>
      </c>
      <c r="C620" s="62" t="s">
        <v>1686</v>
      </c>
      <c r="D620" s="105"/>
      <c r="E620" s="62" t="s">
        <v>1687</v>
      </c>
      <c r="F620" s="60"/>
      <c r="G620" s="92"/>
      <c r="H620" s="60"/>
      <c r="I620" s="60"/>
      <c r="J620" s="60"/>
      <c r="K620" s="71" t="str">
        <f>VLOOKUP(E620,'HEAD OF THE FAMILY'!$B$6:$J1851,9,FALSE)</f>
        <v>BLK 41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60">
        <f t="shared" si="3"/>
        <v>616</v>
      </c>
      <c r="B621" s="62" t="s">
        <v>1683</v>
      </c>
      <c r="C621" s="62" t="s">
        <v>1690</v>
      </c>
      <c r="D621" s="105"/>
      <c r="E621" s="62" t="s">
        <v>1687</v>
      </c>
      <c r="F621" s="60"/>
      <c r="G621" s="92"/>
      <c r="H621" s="60"/>
      <c r="I621" s="60"/>
      <c r="J621" s="60"/>
      <c r="K621" s="71" t="str">
        <f>VLOOKUP(E621,'HEAD OF THE FAMILY'!$B$6:$J1851,9,FALSE)</f>
        <v>BLK 41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60">
        <f t="shared" si="3"/>
        <v>617</v>
      </c>
      <c r="B622" s="62" t="s">
        <v>1683</v>
      </c>
      <c r="C622" s="62" t="s">
        <v>1692</v>
      </c>
      <c r="D622" s="105"/>
      <c r="E622" s="62" t="s">
        <v>1693</v>
      </c>
      <c r="F622" s="60"/>
      <c r="G622" s="92"/>
      <c r="H622" s="60"/>
      <c r="I622" s="60"/>
      <c r="J622" s="60"/>
      <c r="K622" s="71" t="str">
        <f>VLOOKUP(E622,'HEAD OF THE FAMILY'!$B$6:$J1851,9,FALSE)</f>
        <v>BLK 41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60">
        <f t="shared" si="3"/>
        <v>618</v>
      </c>
      <c r="B623" s="62" t="s">
        <v>1683</v>
      </c>
      <c r="C623" s="62" t="s">
        <v>1694</v>
      </c>
      <c r="D623" s="105"/>
      <c r="E623" s="62" t="s">
        <v>1693</v>
      </c>
      <c r="F623" s="60"/>
      <c r="G623" s="92"/>
      <c r="H623" s="60"/>
      <c r="I623" s="60"/>
      <c r="J623" s="60"/>
      <c r="K623" s="71" t="str">
        <f>VLOOKUP(E623,'HEAD OF THE FAMILY'!$B$6:$J1851,9,FALSE)</f>
        <v>BLK 41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60">
        <f t="shared" si="3"/>
        <v>619</v>
      </c>
      <c r="B624" s="62" t="s">
        <v>1696</v>
      </c>
      <c r="C624" s="62" t="s">
        <v>1697</v>
      </c>
      <c r="D624" s="105"/>
      <c r="E624" s="62" t="s">
        <v>1698</v>
      </c>
      <c r="F624" s="60"/>
      <c r="G624" s="92"/>
      <c r="H624" s="60"/>
      <c r="I624" s="60"/>
      <c r="J624" s="60"/>
      <c r="K624" s="71" t="str">
        <f>VLOOKUP(E624,'HEAD OF THE FAMILY'!$B$6:$J1851,9,FALSE)</f>
        <v>BLK 41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60">
        <f t="shared" si="3"/>
        <v>620</v>
      </c>
      <c r="B625" s="62" t="s">
        <v>1696</v>
      </c>
      <c r="C625" s="62" t="s">
        <v>1699</v>
      </c>
      <c r="D625" s="105"/>
      <c r="E625" s="62" t="s">
        <v>1698</v>
      </c>
      <c r="F625" s="60"/>
      <c r="G625" s="92"/>
      <c r="H625" s="60"/>
      <c r="I625" s="60"/>
      <c r="J625" s="60"/>
      <c r="K625" s="71" t="str">
        <f>VLOOKUP(E625,'HEAD OF THE FAMILY'!$B$6:$J1851,9,FALSE)</f>
        <v>BLK 41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60">
        <f t="shared" si="3"/>
        <v>621</v>
      </c>
      <c r="B626" s="62" t="s">
        <v>1572</v>
      </c>
      <c r="C626" s="62" t="s">
        <v>1702</v>
      </c>
      <c r="D626" s="105"/>
      <c r="E626" s="62" t="s">
        <v>887</v>
      </c>
      <c r="F626" s="60"/>
      <c r="G626" s="92"/>
      <c r="H626" s="60"/>
      <c r="I626" s="60"/>
      <c r="J626" s="60"/>
      <c r="K626" s="71" t="str">
        <f>VLOOKUP(E626,'HEAD OF THE FAMILY'!$B$6:$J1851,9,FALSE)</f>
        <v>BLK 41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60">
        <f t="shared" si="3"/>
        <v>622</v>
      </c>
      <c r="B627" s="62" t="s">
        <v>1572</v>
      </c>
      <c r="C627" s="62" t="s">
        <v>1703</v>
      </c>
      <c r="D627" s="105"/>
      <c r="E627" s="62" t="s">
        <v>887</v>
      </c>
      <c r="F627" s="60"/>
      <c r="G627" s="92"/>
      <c r="H627" s="60"/>
      <c r="I627" s="60"/>
      <c r="J627" s="60"/>
      <c r="K627" s="71" t="str">
        <f>VLOOKUP(E627,'HEAD OF THE FAMILY'!$B$6:$J1851,9,FALSE)</f>
        <v>BLK 41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60">
        <f t="shared" si="3"/>
        <v>623</v>
      </c>
      <c r="B628" s="62" t="s">
        <v>1705</v>
      </c>
      <c r="C628" s="62" t="s">
        <v>1706</v>
      </c>
      <c r="D628" s="62" t="s">
        <v>494</v>
      </c>
      <c r="E628" s="62" t="s">
        <v>1707</v>
      </c>
      <c r="F628" s="60"/>
      <c r="G628" s="92"/>
      <c r="H628" s="60"/>
      <c r="I628" s="60"/>
      <c r="J628" s="60"/>
      <c r="K628" s="71" t="str">
        <f>VLOOKUP(E628,'HEAD OF THE FAMILY'!$B$6:$J1851,9,FALSE)</f>
        <v>BLK 41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60">
        <f t="shared" si="3"/>
        <v>624</v>
      </c>
      <c r="B629" s="62" t="s">
        <v>1705</v>
      </c>
      <c r="C629" s="62" t="s">
        <v>1709</v>
      </c>
      <c r="D629" s="62" t="s">
        <v>494</v>
      </c>
      <c r="E629" s="62" t="s">
        <v>1707</v>
      </c>
      <c r="F629" s="60"/>
      <c r="G629" s="92"/>
      <c r="H629" s="60"/>
      <c r="I629" s="60"/>
      <c r="J629" s="60"/>
      <c r="K629" s="71" t="str">
        <f>VLOOKUP(E629,'HEAD OF THE FAMILY'!$B$6:$J1851,9,FALSE)</f>
        <v>BLK 41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60">
        <f t="shared" si="3"/>
        <v>625</v>
      </c>
      <c r="B630" s="62" t="s">
        <v>1711</v>
      </c>
      <c r="C630" s="62" t="s">
        <v>1712</v>
      </c>
      <c r="D630" s="62" t="s">
        <v>85</v>
      </c>
      <c r="E630" s="62" t="s">
        <v>1713</v>
      </c>
      <c r="F630" s="60"/>
      <c r="G630" s="92"/>
      <c r="H630" s="60"/>
      <c r="I630" s="60"/>
      <c r="J630" s="60"/>
      <c r="K630" s="71" t="str">
        <f>VLOOKUP(E630,'HEAD OF THE FAMILY'!$B$6:$J1851,9,FALSE)</f>
        <v>BLK 41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60">
        <f t="shared" si="3"/>
        <v>626</v>
      </c>
      <c r="B631" s="62" t="s">
        <v>1711</v>
      </c>
      <c r="C631" s="62" t="s">
        <v>1716</v>
      </c>
      <c r="D631" s="62" t="s">
        <v>85</v>
      </c>
      <c r="E631" s="62" t="s">
        <v>1579</v>
      </c>
      <c r="F631" s="60"/>
      <c r="G631" s="92"/>
      <c r="H631" s="60"/>
      <c r="I631" s="60"/>
      <c r="J631" s="60"/>
      <c r="K631" s="71" t="str">
        <f>VLOOKUP(E631,'HEAD OF THE FAMILY'!$B$6:$J1851,9,FALSE)</f>
        <v>BLK 41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60">
        <f t="shared" si="3"/>
        <v>627</v>
      </c>
      <c r="B632" s="62" t="s">
        <v>1711</v>
      </c>
      <c r="C632" s="62" t="s">
        <v>1717</v>
      </c>
      <c r="D632" s="105"/>
      <c r="E632" s="62" t="s">
        <v>1621</v>
      </c>
      <c r="F632" s="60"/>
      <c r="G632" s="92"/>
      <c r="H632" s="60"/>
      <c r="I632" s="60"/>
      <c r="J632" s="60"/>
      <c r="K632" s="71" t="str">
        <f>VLOOKUP(E632,'HEAD OF THE FAMILY'!$B$6:$J1851,9,FALSE)</f>
        <v>BLK 41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60">
        <f t="shared" si="3"/>
        <v>628</v>
      </c>
      <c r="B633" s="62" t="s">
        <v>1711</v>
      </c>
      <c r="C633" s="62" t="s">
        <v>1720</v>
      </c>
      <c r="D633" s="62" t="s">
        <v>894</v>
      </c>
      <c r="E633" s="62" t="s">
        <v>1721</v>
      </c>
      <c r="F633" s="60"/>
      <c r="G633" s="92"/>
      <c r="H633" s="60"/>
      <c r="I633" s="60"/>
      <c r="J633" s="60"/>
      <c r="K633" s="71" t="str">
        <f>VLOOKUP(E633,'HEAD OF THE FAMILY'!$B$6:$J1851,9,FALSE)</f>
        <v>BLK 41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60">
        <f t="shared" si="3"/>
        <v>629</v>
      </c>
      <c r="B634" s="62" t="s">
        <v>1711</v>
      </c>
      <c r="C634" s="62" t="s">
        <v>198</v>
      </c>
      <c r="D634" s="62" t="s">
        <v>894</v>
      </c>
      <c r="E634" s="62" t="s">
        <v>1721</v>
      </c>
      <c r="F634" s="60"/>
      <c r="G634" s="92"/>
      <c r="H634" s="60"/>
      <c r="I634" s="60"/>
      <c r="J634" s="60"/>
      <c r="K634" s="71" t="str">
        <f>VLOOKUP(E634,'HEAD OF THE FAMILY'!$B$6:$J1851,9,FALSE)</f>
        <v>BLK 41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60">
        <f t="shared" si="3"/>
        <v>630</v>
      </c>
      <c r="B635" s="62" t="s">
        <v>1723</v>
      </c>
      <c r="C635" s="62" t="s">
        <v>1724</v>
      </c>
      <c r="D635" s="105"/>
      <c r="E635" s="62" t="s">
        <v>590</v>
      </c>
      <c r="F635" s="60"/>
      <c r="G635" s="92"/>
      <c r="H635" s="60"/>
      <c r="I635" s="60"/>
      <c r="J635" s="60"/>
      <c r="K635" s="71" t="str">
        <f>VLOOKUP(E635,'HEAD OF THE FAMILY'!$B$6:$J1851,9,FALSE)</f>
        <v>BLK 41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60">
        <f t="shared" si="3"/>
        <v>631</v>
      </c>
      <c r="B636" s="62" t="s">
        <v>1726</v>
      </c>
      <c r="C636" s="62" t="s">
        <v>1727</v>
      </c>
      <c r="D636" s="105"/>
      <c r="E636" s="62" t="s">
        <v>1728</v>
      </c>
      <c r="F636" s="60"/>
      <c r="G636" s="92"/>
      <c r="H636" s="60"/>
      <c r="I636" s="60"/>
      <c r="J636" s="60"/>
      <c r="K636" s="71" t="str">
        <f>VLOOKUP(E636,'HEAD OF THE FAMILY'!$B$6:$J1851,9,FALSE)</f>
        <v>BLK 41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60">
        <f t="shared" si="3"/>
        <v>632</v>
      </c>
      <c r="B637" s="62" t="s">
        <v>1730</v>
      </c>
      <c r="C637" s="62" t="s">
        <v>1731</v>
      </c>
      <c r="D637" s="105"/>
      <c r="E637" s="62" t="s">
        <v>1732</v>
      </c>
      <c r="F637" s="60"/>
      <c r="G637" s="92"/>
      <c r="H637" s="60"/>
      <c r="I637" s="60"/>
      <c r="J637" s="60"/>
      <c r="K637" s="71" t="str">
        <f>VLOOKUP(E637,'HEAD OF THE FAMILY'!$B$6:$J1851,9,FALSE)</f>
        <v>BLK 41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60">
        <f t="shared" si="3"/>
        <v>633</v>
      </c>
      <c r="B638" s="62" t="s">
        <v>1734</v>
      </c>
      <c r="C638" s="62" t="s">
        <v>299</v>
      </c>
      <c r="D638" s="105"/>
      <c r="E638" s="62" t="s">
        <v>633</v>
      </c>
      <c r="F638" s="60"/>
      <c r="G638" s="92"/>
      <c r="H638" s="60"/>
      <c r="I638" s="60"/>
      <c r="J638" s="60"/>
      <c r="K638" s="71" t="str">
        <f>VLOOKUP(E638,'HEAD OF THE FAMILY'!$B$6:$J1851,9,FALSE)</f>
        <v>BLK 41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60">
        <f t="shared" si="3"/>
        <v>634</v>
      </c>
      <c r="B639" s="62" t="s">
        <v>1734</v>
      </c>
      <c r="C639" s="62" t="s">
        <v>1736</v>
      </c>
      <c r="D639" s="62" t="s">
        <v>95</v>
      </c>
      <c r="E639" s="62" t="s">
        <v>1738</v>
      </c>
      <c r="F639" s="60"/>
      <c r="G639" s="92"/>
      <c r="H639" s="60"/>
      <c r="I639" s="60"/>
      <c r="J639" s="60"/>
      <c r="K639" s="71" t="str">
        <f>VLOOKUP(E639,'HEAD OF THE FAMILY'!$B$6:$J1851,9,FALSE)</f>
        <v>BLK 41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60">
        <f t="shared" si="3"/>
        <v>635</v>
      </c>
      <c r="B640" s="62" t="s">
        <v>1734</v>
      </c>
      <c r="C640" s="62" t="s">
        <v>1739</v>
      </c>
      <c r="D640" s="62" t="s">
        <v>95</v>
      </c>
      <c r="E640" s="62" t="s">
        <v>1738</v>
      </c>
      <c r="F640" s="60"/>
      <c r="G640" s="92"/>
      <c r="H640" s="60"/>
      <c r="I640" s="60"/>
      <c r="J640" s="60"/>
      <c r="K640" s="71" t="str">
        <f>VLOOKUP(E640,'HEAD OF THE FAMILY'!$B$6:$J1851,9,FALSE)</f>
        <v>BLK 41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60">
        <f t="shared" si="3"/>
        <v>636</v>
      </c>
      <c r="B641" s="62" t="s">
        <v>1734</v>
      </c>
      <c r="C641" s="62" t="s">
        <v>1741</v>
      </c>
      <c r="D641" s="62" t="s">
        <v>95</v>
      </c>
      <c r="E641" s="62" t="s">
        <v>1738</v>
      </c>
      <c r="F641" s="60"/>
      <c r="G641" s="92"/>
      <c r="H641" s="60"/>
      <c r="I641" s="60"/>
      <c r="J641" s="60"/>
      <c r="K641" s="71" t="str">
        <f>VLOOKUP(E641,'HEAD OF THE FAMILY'!$B$6:$J1851,9,FALSE)</f>
        <v>BLK 41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60">
        <f t="shared" si="3"/>
        <v>637</v>
      </c>
      <c r="B642" s="62" t="s">
        <v>1734</v>
      </c>
      <c r="C642" s="62" t="s">
        <v>1743</v>
      </c>
      <c r="D642" s="62" t="s">
        <v>95</v>
      </c>
      <c r="E642" s="62" t="s">
        <v>1738</v>
      </c>
      <c r="F642" s="60"/>
      <c r="G642" s="92"/>
      <c r="H642" s="60"/>
      <c r="I642" s="60"/>
      <c r="J642" s="60"/>
      <c r="K642" s="71" t="str">
        <f>VLOOKUP(E642,'HEAD OF THE FAMILY'!$B$6:$J1851,9,FALSE)</f>
        <v>BLK 41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60">
        <f t="shared" si="3"/>
        <v>638</v>
      </c>
      <c r="B643" s="62" t="s">
        <v>1744</v>
      </c>
      <c r="C643" s="62" t="s">
        <v>1745</v>
      </c>
      <c r="D643" s="105"/>
      <c r="E643" s="62" t="s">
        <v>1747</v>
      </c>
      <c r="F643" s="60"/>
      <c r="G643" s="92"/>
      <c r="H643" s="60"/>
      <c r="I643" s="60"/>
      <c r="J643" s="60"/>
      <c r="K643" s="71" t="str">
        <f>VLOOKUP(E643,'HEAD OF THE FAMILY'!$B$6:$J1851,9,FALSE)</f>
        <v>BLK 41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60">
        <f t="shared" si="3"/>
        <v>639</v>
      </c>
      <c r="B644" s="62" t="s">
        <v>1749</v>
      </c>
      <c r="C644" s="62" t="s">
        <v>1750</v>
      </c>
      <c r="D644" s="105"/>
      <c r="E644" s="62" t="s">
        <v>1747</v>
      </c>
      <c r="F644" s="60"/>
      <c r="G644" s="92"/>
      <c r="H644" s="60"/>
      <c r="I644" s="60"/>
      <c r="J644" s="60"/>
      <c r="K644" s="71" t="str">
        <f>VLOOKUP(E644,'HEAD OF THE FAMILY'!$B$6:$J1851,9,FALSE)</f>
        <v>BLK 41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60">
        <f t="shared" si="3"/>
        <v>640</v>
      </c>
      <c r="B645" s="62" t="s">
        <v>1752</v>
      </c>
      <c r="C645" s="62" t="s">
        <v>1754</v>
      </c>
      <c r="D645" s="105"/>
      <c r="E645" s="62" t="s">
        <v>664</v>
      </c>
      <c r="F645" s="60"/>
      <c r="G645" s="92"/>
      <c r="H645" s="60"/>
      <c r="I645" s="60"/>
      <c r="J645" s="60"/>
      <c r="K645" s="71" t="str">
        <f>VLOOKUP(E645,'HEAD OF THE FAMILY'!$B$6:$J1851,9,FALSE)</f>
        <v>BLK 41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60">
        <f t="shared" si="3"/>
        <v>641</v>
      </c>
      <c r="B646" s="62" t="s">
        <v>1752</v>
      </c>
      <c r="C646" s="62" t="s">
        <v>1755</v>
      </c>
      <c r="D646" s="105"/>
      <c r="E646" s="62" t="s">
        <v>664</v>
      </c>
      <c r="F646" s="60"/>
      <c r="G646" s="92"/>
      <c r="H646" s="60"/>
      <c r="I646" s="60"/>
      <c r="J646" s="60"/>
      <c r="K646" s="71" t="str">
        <f>VLOOKUP(E646,'HEAD OF THE FAMILY'!$B$6:$J1851,9,FALSE)</f>
        <v>BLK 41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60">
        <f t="shared" si="3"/>
        <v>642</v>
      </c>
      <c r="B647" s="62" t="s">
        <v>1752</v>
      </c>
      <c r="C647" s="62" t="s">
        <v>1757</v>
      </c>
      <c r="D647" s="105"/>
      <c r="E647" s="62" t="s">
        <v>1758</v>
      </c>
      <c r="F647" s="60"/>
      <c r="G647" s="92"/>
      <c r="H647" s="60"/>
      <c r="I647" s="60"/>
      <c r="J647" s="60"/>
      <c r="K647" s="71" t="str">
        <f>VLOOKUP(E647,'HEAD OF THE FAMILY'!$B$6:$J1851,9,FALSE)</f>
        <v>BLK 41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60">
        <f t="shared" si="3"/>
        <v>643</v>
      </c>
      <c r="B648" s="62" t="s">
        <v>1759</v>
      </c>
      <c r="C648" s="62" t="s">
        <v>1485</v>
      </c>
      <c r="D648" s="105"/>
      <c r="E648" s="62" t="s">
        <v>122</v>
      </c>
      <c r="F648" s="71" t="s">
        <v>69</v>
      </c>
      <c r="G648" s="92"/>
      <c r="H648" s="60"/>
      <c r="I648" s="60"/>
      <c r="J648" s="60"/>
      <c r="K648" s="71" t="str">
        <f>VLOOKUP(E648,'HEAD OF THE FAMILY'!$B$6:$J1851,9,FALSE)</f>
        <v>BLK 41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60">
        <f t="shared" si="3"/>
        <v>644</v>
      </c>
      <c r="B649" s="62" t="s">
        <v>1760</v>
      </c>
      <c r="C649" s="62" t="s">
        <v>1761</v>
      </c>
      <c r="D649" s="105"/>
      <c r="E649" s="62" t="s">
        <v>122</v>
      </c>
      <c r="F649" s="60"/>
      <c r="G649" s="92"/>
      <c r="H649" s="60"/>
      <c r="I649" s="60"/>
      <c r="J649" s="60"/>
      <c r="K649" s="71" t="str">
        <f>VLOOKUP(E649,'HEAD OF THE FAMILY'!$B$6:$J1851,9,FALSE)</f>
        <v>BLK 41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60">
        <f t="shared" si="3"/>
        <v>645</v>
      </c>
      <c r="B650" s="62" t="s">
        <v>1760</v>
      </c>
      <c r="C650" s="62" t="s">
        <v>1763</v>
      </c>
      <c r="D650" s="105"/>
      <c r="E650" s="62" t="s">
        <v>122</v>
      </c>
      <c r="F650" s="60"/>
      <c r="G650" s="92"/>
      <c r="H650" s="60"/>
      <c r="I650" s="60"/>
      <c r="J650" s="60"/>
      <c r="K650" s="71" t="str">
        <f>VLOOKUP(E650,'HEAD OF THE FAMILY'!$B$6:$J1851,9,FALSE)</f>
        <v>BLK 41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60">
        <f t="shared" si="3"/>
        <v>646</v>
      </c>
      <c r="B651" s="62" t="s">
        <v>1766</v>
      </c>
      <c r="C651" s="62" t="s">
        <v>1767</v>
      </c>
      <c r="D651" s="105"/>
      <c r="E651" s="62" t="s">
        <v>1768</v>
      </c>
      <c r="F651" s="60"/>
      <c r="G651" s="92"/>
      <c r="H651" s="60"/>
      <c r="I651" s="60"/>
      <c r="J651" s="60"/>
      <c r="K651" s="71" t="str">
        <f>VLOOKUP(E651,'HEAD OF THE FAMILY'!$B$6:$J1851,9,FALSE)</f>
        <v>BLK 41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60">
        <f t="shared" si="3"/>
        <v>647</v>
      </c>
      <c r="B652" s="62" t="s">
        <v>1771</v>
      </c>
      <c r="C652" s="62" t="s">
        <v>1772</v>
      </c>
      <c r="D652" s="105"/>
      <c r="E652" s="62" t="s">
        <v>1151</v>
      </c>
      <c r="F652" s="60"/>
      <c r="G652" s="92"/>
      <c r="H652" s="60"/>
      <c r="I652" s="60"/>
      <c r="J652" s="60"/>
      <c r="K652" s="71" t="str">
        <f>VLOOKUP(E652,'HEAD OF THE FAMILY'!$B$6:$J1851,9,FALSE)</f>
        <v>BLK 41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60">
        <f t="shared" si="3"/>
        <v>648</v>
      </c>
      <c r="B653" s="62" t="s">
        <v>1771</v>
      </c>
      <c r="C653" s="62" t="s">
        <v>1774</v>
      </c>
      <c r="D653" s="105"/>
      <c r="E653" s="62" t="s">
        <v>1151</v>
      </c>
      <c r="F653" s="60"/>
      <c r="G653" s="92"/>
      <c r="H653" s="60"/>
      <c r="I653" s="60"/>
      <c r="J653" s="60"/>
      <c r="K653" s="71" t="str">
        <f>VLOOKUP(E653,'HEAD OF THE FAMILY'!$B$6:$J1851,9,FALSE)</f>
        <v>BLK 41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60">
        <f t="shared" si="3"/>
        <v>649</v>
      </c>
      <c r="B654" s="62" t="s">
        <v>1771</v>
      </c>
      <c r="C654" s="62" t="s">
        <v>1776</v>
      </c>
      <c r="D654" s="105"/>
      <c r="E654" s="62" t="s">
        <v>1151</v>
      </c>
      <c r="F654" s="60"/>
      <c r="G654" s="92"/>
      <c r="H654" s="60"/>
      <c r="I654" s="60"/>
      <c r="J654" s="60"/>
      <c r="K654" s="71" t="str">
        <f>VLOOKUP(E654,'HEAD OF THE FAMILY'!$B$6:$J1851,9,FALSE)</f>
        <v>BLK 41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60">
        <f t="shared" si="3"/>
        <v>650</v>
      </c>
      <c r="B655" s="62" t="s">
        <v>408</v>
      </c>
      <c r="C655" s="62" t="s">
        <v>1778</v>
      </c>
      <c r="D655" s="105"/>
      <c r="E655" s="62" t="s">
        <v>440</v>
      </c>
      <c r="F655" s="60"/>
      <c r="G655" s="92"/>
      <c r="H655" s="60"/>
      <c r="I655" s="60"/>
      <c r="J655" s="60"/>
      <c r="K655" s="71" t="str">
        <f>VLOOKUP(E655,'HEAD OF THE FAMILY'!$B$6:$J1851,9,FALSE)</f>
        <v>BLK 41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60">
        <f t="shared" si="3"/>
        <v>651</v>
      </c>
      <c r="B656" s="62" t="s">
        <v>408</v>
      </c>
      <c r="C656" s="62" t="s">
        <v>1780</v>
      </c>
      <c r="D656" s="105"/>
      <c r="E656" s="62" t="s">
        <v>440</v>
      </c>
      <c r="F656" s="60"/>
      <c r="G656" s="92"/>
      <c r="H656" s="60"/>
      <c r="I656" s="60"/>
      <c r="J656" s="60"/>
      <c r="K656" s="71" t="str">
        <f>VLOOKUP(E656,'HEAD OF THE FAMILY'!$B$6:$J1851,9,FALSE)</f>
        <v>BLK 41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60">
        <f t="shared" si="3"/>
        <v>652</v>
      </c>
      <c r="B657" s="62" t="s">
        <v>408</v>
      </c>
      <c r="C657" s="62" t="s">
        <v>1783</v>
      </c>
      <c r="D657" s="105"/>
      <c r="E657" s="62" t="s">
        <v>75</v>
      </c>
      <c r="F657" s="60"/>
      <c r="G657" s="92"/>
      <c r="H657" s="60"/>
      <c r="I657" s="60"/>
      <c r="J657" s="60"/>
      <c r="K657" s="71" t="str">
        <f>VLOOKUP(E657,'HEAD OF THE FAMILY'!$B$6:$J1851,9,FALSE)</f>
        <v>BLK 41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60">
        <f t="shared" si="3"/>
        <v>653</v>
      </c>
      <c r="B658" s="62" t="s">
        <v>408</v>
      </c>
      <c r="C658" s="62" t="s">
        <v>1784</v>
      </c>
      <c r="D658" s="105"/>
      <c r="E658" s="62" t="s">
        <v>75</v>
      </c>
      <c r="F658" s="60"/>
      <c r="G658" s="92"/>
      <c r="H658" s="60"/>
      <c r="I658" s="60"/>
      <c r="J658" s="60"/>
      <c r="K658" s="71" t="str">
        <f>VLOOKUP(E658,'HEAD OF THE FAMILY'!$B$6:$J1851,9,FALSE)</f>
        <v>BLK 41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60">
        <f t="shared" si="3"/>
        <v>654</v>
      </c>
      <c r="B659" s="62" t="s">
        <v>1786</v>
      </c>
      <c r="C659" s="62" t="s">
        <v>1787</v>
      </c>
      <c r="D659" s="62" t="s">
        <v>681</v>
      </c>
      <c r="E659" s="62" t="s">
        <v>1788</v>
      </c>
      <c r="F659" s="60"/>
      <c r="G659" s="92"/>
      <c r="H659" s="60"/>
      <c r="I659" s="60"/>
      <c r="J659" s="60"/>
      <c r="K659" s="71" t="str">
        <f>VLOOKUP(E659,'HEAD OF THE FAMILY'!$B$6:$J1851,9,FALSE)</f>
        <v>BLK 41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60">
        <f t="shared" si="3"/>
        <v>655</v>
      </c>
      <c r="B660" s="62" t="s">
        <v>1789</v>
      </c>
      <c r="C660" s="62" t="s">
        <v>1790</v>
      </c>
      <c r="D660" s="105"/>
      <c r="E660" s="62" t="s">
        <v>1022</v>
      </c>
      <c r="F660" s="60"/>
      <c r="G660" s="92"/>
      <c r="H660" s="60"/>
      <c r="I660" s="60"/>
      <c r="J660" s="60"/>
      <c r="K660" s="71" t="str">
        <f>VLOOKUP(E660,'HEAD OF THE FAMILY'!$B$6:$J1851,9,FALSE)</f>
        <v>BLK 41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60">
        <f t="shared" si="3"/>
        <v>656</v>
      </c>
      <c r="B661" s="62" t="s">
        <v>1789</v>
      </c>
      <c r="C661" s="62" t="s">
        <v>950</v>
      </c>
      <c r="D661" s="105"/>
      <c r="E661" s="62" t="s">
        <v>1022</v>
      </c>
      <c r="F661" s="60"/>
      <c r="G661" s="92"/>
      <c r="H661" s="60"/>
      <c r="I661" s="60"/>
      <c r="J661" s="60"/>
      <c r="K661" s="71" t="str">
        <f>VLOOKUP(E661,'HEAD OF THE FAMILY'!$B$6:$J1851,9,FALSE)</f>
        <v>BLK 41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60">
        <f t="shared" si="3"/>
        <v>657</v>
      </c>
      <c r="B662" s="62" t="s">
        <v>1789</v>
      </c>
      <c r="C662" s="62" t="s">
        <v>1792</v>
      </c>
      <c r="D662" s="105"/>
      <c r="E662" s="62" t="s">
        <v>1022</v>
      </c>
      <c r="F662" s="60"/>
      <c r="G662" s="92"/>
      <c r="H662" s="60"/>
      <c r="I662" s="60"/>
      <c r="J662" s="60"/>
      <c r="K662" s="71" t="str">
        <f>VLOOKUP(E662,'HEAD OF THE FAMILY'!$B$6:$J1851,9,FALSE)</f>
        <v>BLK 41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60">
        <f t="shared" si="3"/>
        <v>658</v>
      </c>
      <c r="B663" s="62" t="s">
        <v>1789</v>
      </c>
      <c r="C663" s="62" t="s">
        <v>1793</v>
      </c>
      <c r="D663" s="105"/>
      <c r="E663" s="62" t="s">
        <v>1022</v>
      </c>
      <c r="F663" s="60"/>
      <c r="G663" s="92"/>
      <c r="H663" s="60"/>
      <c r="I663" s="60"/>
      <c r="J663" s="60"/>
      <c r="K663" s="71" t="str">
        <f>VLOOKUP(E663,'HEAD OF THE FAMILY'!$B$6:$J1851,9,FALSE)</f>
        <v>BLK 41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60">
        <f t="shared" si="3"/>
        <v>659</v>
      </c>
      <c r="B664" s="62" t="s">
        <v>1789</v>
      </c>
      <c r="C664" s="62" t="s">
        <v>1795</v>
      </c>
      <c r="D664" s="105"/>
      <c r="E664" s="62" t="s">
        <v>1022</v>
      </c>
      <c r="F664" s="60"/>
      <c r="G664" s="92"/>
      <c r="H664" s="60"/>
      <c r="I664" s="60"/>
      <c r="J664" s="60"/>
      <c r="K664" s="71" t="str">
        <f>VLOOKUP(E664,'HEAD OF THE FAMILY'!$B$6:$J1851,9,FALSE)</f>
        <v>BLK 41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60">
        <f t="shared" si="3"/>
        <v>660</v>
      </c>
      <c r="B665" s="62" t="s">
        <v>1797</v>
      </c>
      <c r="C665" s="62" t="s">
        <v>1798</v>
      </c>
      <c r="D665" s="62" t="s">
        <v>128</v>
      </c>
      <c r="E665" s="62" t="s">
        <v>1330</v>
      </c>
      <c r="F665" s="60"/>
      <c r="G665" s="92"/>
      <c r="H665" s="60"/>
      <c r="I665" s="60"/>
      <c r="J665" s="60"/>
      <c r="K665" s="71" t="str">
        <f>VLOOKUP(E665,'HEAD OF THE FAMILY'!$B$6:$J1851,9,FALSE)</f>
        <v>BLK 41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60">
        <f t="shared" si="3"/>
        <v>661</v>
      </c>
      <c r="B666" s="62" t="s">
        <v>1797</v>
      </c>
      <c r="C666" s="62" t="s">
        <v>1801</v>
      </c>
      <c r="D666" s="62" t="s">
        <v>128</v>
      </c>
      <c r="E666" s="62" t="s">
        <v>1330</v>
      </c>
      <c r="F666" s="60"/>
      <c r="G666" s="92"/>
      <c r="H666" s="60"/>
      <c r="I666" s="60"/>
      <c r="J666" s="60"/>
      <c r="K666" s="71" t="str">
        <f>VLOOKUP(E666,'HEAD OF THE FAMILY'!$B$6:$J1851,9,FALSE)</f>
        <v>BLK 41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60">
        <f t="shared" si="3"/>
        <v>662</v>
      </c>
      <c r="B667" s="62" t="s">
        <v>1797</v>
      </c>
      <c r="C667" s="62" t="s">
        <v>1803</v>
      </c>
      <c r="D667" s="62" t="s">
        <v>681</v>
      </c>
      <c r="E667" s="62" t="s">
        <v>1804</v>
      </c>
      <c r="F667" s="60"/>
      <c r="G667" s="92"/>
      <c r="H667" s="60"/>
      <c r="I667" s="60"/>
      <c r="J667" s="60"/>
      <c r="K667" s="71" t="str">
        <f>VLOOKUP(E667,'HEAD OF THE FAMILY'!$B$6:$J1851,9,FALSE)</f>
        <v>BLK 41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60">
        <f t="shared" si="3"/>
        <v>663</v>
      </c>
      <c r="B668" s="62" t="s">
        <v>408</v>
      </c>
      <c r="C668" s="62" t="s">
        <v>236</v>
      </c>
      <c r="D668" s="105"/>
      <c r="E668" s="62" t="s">
        <v>457</v>
      </c>
      <c r="F668" s="60"/>
      <c r="G668" s="92"/>
      <c r="H668" s="60"/>
      <c r="I668" s="60"/>
      <c r="J668" s="60"/>
      <c r="K668" s="71" t="str">
        <f>VLOOKUP(E668,'HEAD OF THE FAMILY'!$B$6:$J1851,9,FALSE)</f>
        <v>BLK 41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60">
        <f t="shared" si="3"/>
        <v>664</v>
      </c>
      <c r="B669" s="62" t="s">
        <v>408</v>
      </c>
      <c r="C669" s="62" t="s">
        <v>1807</v>
      </c>
      <c r="D669" s="105"/>
      <c r="E669" s="62" t="s">
        <v>457</v>
      </c>
      <c r="F669" s="60"/>
      <c r="G669" s="92"/>
      <c r="H669" s="60"/>
      <c r="I669" s="60"/>
      <c r="J669" s="60"/>
      <c r="K669" s="71" t="str">
        <f>VLOOKUP(E669,'HEAD OF THE FAMILY'!$B$6:$J1851,9,FALSE)</f>
        <v>BLK 41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60">
        <f t="shared" si="3"/>
        <v>665</v>
      </c>
      <c r="B670" s="62" t="s">
        <v>408</v>
      </c>
      <c r="C670" s="62" t="s">
        <v>1810</v>
      </c>
      <c r="D670" s="105"/>
      <c r="E670" s="62" t="s">
        <v>457</v>
      </c>
      <c r="F670" s="60"/>
      <c r="G670" s="92"/>
      <c r="H670" s="60"/>
      <c r="I670" s="60"/>
      <c r="J670" s="60"/>
      <c r="K670" s="71" t="str">
        <f>VLOOKUP(E670,'HEAD OF THE FAMILY'!$B$6:$J1851,9,FALSE)</f>
        <v>BLK 41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60">
        <f t="shared" si="3"/>
        <v>666</v>
      </c>
      <c r="B671" s="62" t="s">
        <v>1786</v>
      </c>
      <c r="C671" s="62" t="s">
        <v>1811</v>
      </c>
      <c r="D671" s="62" t="s">
        <v>1088</v>
      </c>
      <c r="E671" s="62" t="s">
        <v>1812</v>
      </c>
      <c r="F671" s="60"/>
      <c r="G671" s="92"/>
      <c r="H671" s="60"/>
      <c r="I671" s="60"/>
      <c r="J671" s="60"/>
      <c r="K671" s="71" t="str">
        <f>VLOOKUP(E671,'HEAD OF THE FAMILY'!$B$6:$J1851,9,FALSE)</f>
        <v>BLK 41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60">
        <f t="shared" si="3"/>
        <v>667</v>
      </c>
      <c r="B672" s="62" t="s">
        <v>1814</v>
      </c>
      <c r="C672" s="62" t="s">
        <v>1815</v>
      </c>
      <c r="D672" s="62" t="s">
        <v>85</v>
      </c>
      <c r="E672" s="62" t="s">
        <v>823</v>
      </c>
      <c r="F672" s="60"/>
      <c r="G672" s="92"/>
      <c r="H672" s="60"/>
      <c r="I672" s="60"/>
      <c r="J672" s="60"/>
      <c r="K672" s="71" t="str">
        <f>VLOOKUP(E672,'HEAD OF THE FAMILY'!$B$6:$J1851,9,FALSE)</f>
        <v>BLK 41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60">
        <f t="shared" si="3"/>
        <v>668</v>
      </c>
      <c r="B673" s="62" t="s">
        <v>1816</v>
      </c>
      <c r="C673" s="62" t="s">
        <v>1817</v>
      </c>
      <c r="D673" s="62" t="s">
        <v>494</v>
      </c>
      <c r="E673" s="62" t="s">
        <v>1819</v>
      </c>
      <c r="F673" s="60"/>
      <c r="G673" s="92"/>
      <c r="H673" s="60"/>
      <c r="I673" s="60"/>
      <c r="J673" s="60"/>
      <c r="K673" s="71" t="str">
        <f>VLOOKUP(E673,'HEAD OF THE FAMILY'!$B$6:$J1851,9,FALSE)</f>
        <v>BLK 41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60">
        <f t="shared" si="3"/>
        <v>669</v>
      </c>
      <c r="B674" s="62" t="s">
        <v>1821</v>
      </c>
      <c r="C674" s="62" t="s">
        <v>1822</v>
      </c>
      <c r="D674" s="62" t="s">
        <v>494</v>
      </c>
      <c r="E674" s="62" t="s">
        <v>1199</v>
      </c>
      <c r="F674" s="60"/>
      <c r="G674" s="92"/>
      <c r="H674" s="60"/>
      <c r="I674" s="60"/>
      <c r="J674" s="60"/>
      <c r="K674" s="71" t="str">
        <f>VLOOKUP(E674,'HEAD OF THE FAMILY'!$B$6:$J1851,9,FALSE)</f>
        <v>BLK 41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60">
        <f t="shared" si="3"/>
        <v>670</v>
      </c>
      <c r="B675" s="62" t="s">
        <v>1821</v>
      </c>
      <c r="C675" s="62" t="s">
        <v>1666</v>
      </c>
      <c r="D675" s="62" t="s">
        <v>494</v>
      </c>
      <c r="E675" s="62" t="s">
        <v>1199</v>
      </c>
      <c r="F675" s="60"/>
      <c r="G675" s="92"/>
      <c r="H675" s="60"/>
      <c r="I675" s="60"/>
      <c r="J675" s="60"/>
      <c r="K675" s="71" t="str">
        <f>VLOOKUP(E675,'HEAD OF THE FAMILY'!$B$6:$J1851,9,FALSE)</f>
        <v>BLK 41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60">
        <f t="shared" si="3"/>
        <v>671</v>
      </c>
      <c r="B676" s="62" t="s">
        <v>1821</v>
      </c>
      <c r="C676" s="62" t="s">
        <v>1825</v>
      </c>
      <c r="D676" s="62" t="s">
        <v>494</v>
      </c>
      <c r="E676" s="62" t="s">
        <v>1199</v>
      </c>
      <c r="F676" s="60"/>
      <c r="G676" s="92"/>
      <c r="H676" s="60"/>
      <c r="I676" s="60"/>
      <c r="J676" s="60"/>
      <c r="K676" s="71" t="str">
        <f>VLOOKUP(E676,'HEAD OF THE FAMILY'!$B$6:$J1851,9,FALSE)</f>
        <v>BLK 41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60">
        <f t="shared" si="3"/>
        <v>672</v>
      </c>
      <c r="B677" s="62" t="s">
        <v>1821</v>
      </c>
      <c r="C677" s="62" t="s">
        <v>299</v>
      </c>
      <c r="D677" s="62" t="s">
        <v>494</v>
      </c>
      <c r="E677" s="62" t="s">
        <v>1199</v>
      </c>
      <c r="F677" s="60"/>
      <c r="G677" s="92"/>
      <c r="H677" s="60"/>
      <c r="I677" s="60"/>
      <c r="J677" s="60"/>
      <c r="K677" s="71" t="str">
        <f>VLOOKUP(E677,'HEAD OF THE FAMILY'!$B$6:$J1851,9,FALSE)</f>
        <v>BLK 41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60">
        <f t="shared" si="3"/>
        <v>673</v>
      </c>
      <c r="B678" s="62" t="s">
        <v>1821</v>
      </c>
      <c r="C678" s="62" t="s">
        <v>1829</v>
      </c>
      <c r="D678" s="62" t="s">
        <v>494</v>
      </c>
      <c r="E678" s="62" t="s">
        <v>1199</v>
      </c>
      <c r="F678" s="60"/>
      <c r="G678" s="92"/>
      <c r="H678" s="60"/>
      <c r="I678" s="60"/>
      <c r="J678" s="60"/>
      <c r="K678" s="71" t="str">
        <f>VLOOKUP(E678,'HEAD OF THE FAMILY'!$B$6:$J1851,9,FALSE)</f>
        <v>BLK 41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60">
        <f t="shared" si="3"/>
        <v>674</v>
      </c>
      <c r="B679" s="62" t="s">
        <v>1816</v>
      </c>
      <c r="C679" s="62" t="s">
        <v>1831</v>
      </c>
      <c r="D679" s="62" t="s">
        <v>681</v>
      </c>
      <c r="E679" s="62" t="s">
        <v>977</v>
      </c>
      <c r="F679" s="60"/>
      <c r="G679" s="92"/>
      <c r="H679" s="60"/>
      <c r="I679" s="60"/>
      <c r="J679" s="60"/>
      <c r="K679" s="71" t="str">
        <f>VLOOKUP(E679,'HEAD OF THE FAMILY'!$B$6:$J1851,9,FALSE)</f>
        <v>BLK 41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60">
        <f t="shared" si="3"/>
        <v>675</v>
      </c>
      <c r="B680" s="62" t="s">
        <v>1816</v>
      </c>
      <c r="C680" s="62" t="s">
        <v>1833</v>
      </c>
      <c r="D680" s="62" t="s">
        <v>681</v>
      </c>
      <c r="E680" s="62" t="s">
        <v>977</v>
      </c>
      <c r="F680" s="60"/>
      <c r="G680" s="92"/>
      <c r="H680" s="60"/>
      <c r="I680" s="60"/>
      <c r="J680" s="60"/>
      <c r="K680" s="71" t="str">
        <f>VLOOKUP(E680,'HEAD OF THE FAMILY'!$B$6:$J1851,9,FALSE)</f>
        <v>BLK 41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60">
        <f t="shared" si="3"/>
        <v>676</v>
      </c>
      <c r="B681" s="62" t="s">
        <v>1821</v>
      </c>
      <c r="C681" s="62" t="s">
        <v>893</v>
      </c>
      <c r="D681" s="105"/>
      <c r="E681" s="62" t="s">
        <v>732</v>
      </c>
      <c r="F681" s="60"/>
      <c r="G681" s="92"/>
      <c r="H681" s="60"/>
      <c r="I681" s="60"/>
      <c r="J681" s="60"/>
      <c r="K681" s="71" t="str">
        <f>VLOOKUP(E681,'HEAD OF THE FAMILY'!$B$6:$J1851,9,FALSE)</f>
        <v>BLK 41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60">
        <f t="shared" si="3"/>
        <v>677</v>
      </c>
      <c r="B682" s="62" t="s">
        <v>1835</v>
      </c>
      <c r="C682" s="62" t="s">
        <v>1421</v>
      </c>
      <c r="D682" s="62" t="s">
        <v>681</v>
      </c>
      <c r="E682" s="62" t="s">
        <v>749</v>
      </c>
      <c r="F682" s="60"/>
      <c r="G682" s="92"/>
      <c r="H682" s="60"/>
      <c r="I682" s="60"/>
      <c r="J682" s="60"/>
      <c r="K682" s="71" t="str">
        <f>VLOOKUP(E682,'HEAD OF THE FAMILY'!$B$6:$J1851,9,FALSE)</f>
        <v>BLK 41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60">
        <f t="shared" si="3"/>
        <v>678</v>
      </c>
      <c r="B683" s="62" t="s">
        <v>1838</v>
      </c>
      <c r="C683" s="62" t="s">
        <v>159</v>
      </c>
      <c r="D683" s="62" t="s">
        <v>681</v>
      </c>
      <c r="E683" s="62" t="s">
        <v>749</v>
      </c>
      <c r="F683" s="60"/>
      <c r="G683" s="92"/>
      <c r="H683" s="60"/>
      <c r="I683" s="60"/>
      <c r="J683" s="60"/>
      <c r="K683" s="71" t="str">
        <f>VLOOKUP(E683,'HEAD OF THE FAMILY'!$B$6:$J1851,9,FALSE)</f>
        <v>BLK 41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60">
        <f t="shared" si="3"/>
        <v>679</v>
      </c>
      <c r="B684" s="62" t="s">
        <v>1838</v>
      </c>
      <c r="C684" s="62" t="s">
        <v>1840</v>
      </c>
      <c r="D684" s="62" t="s">
        <v>681</v>
      </c>
      <c r="E684" s="62" t="s">
        <v>749</v>
      </c>
      <c r="F684" s="60"/>
      <c r="G684" s="92"/>
      <c r="H684" s="60"/>
      <c r="I684" s="60"/>
      <c r="J684" s="60"/>
      <c r="K684" s="71" t="str">
        <f>VLOOKUP(E684,'HEAD OF THE FAMILY'!$B$6:$J1851,9,FALSE)</f>
        <v>BLK 41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60">
        <f t="shared" si="3"/>
        <v>680</v>
      </c>
      <c r="B685" s="62" t="s">
        <v>1842</v>
      </c>
      <c r="C685" s="62" t="s">
        <v>1843</v>
      </c>
      <c r="D685" s="62" t="s">
        <v>657</v>
      </c>
      <c r="E685" s="62" t="s">
        <v>1714</v>
      </c>
      <c r="F685" s="60"/>
      <c r="G685" s="92"/>
      <c r="H685" s="60"/>
      <c r="I685" s="60"/>
      <c r="J685" s="60"/>
      <c r="K685" s="71" t="str">
        <f>VLOOKUP(E685,'HEAD OF THE FAMILY'!$B$6:$J1851,9,FALSE)</f>
        <v>BLK 41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60">
        <f t="shared" si="3"/>
        <v>681</v>
      </c>
      <c r="B686" s="62" t="s">
        <v>1842</v>
      </c>
      <c r="C686" s="62" t="s">
        <v>1845</v>
      </c>
      <c r="D686" s="62" t="s">
        <v>657</v>
      </c>
      <c r="E686" s="62" t="s">
        <v>1714</v>
      </c>
      <c r="F686" s="60"/>
      <c r="G686" s="92"/>
      <c r="H686" s="60"/>
      <c r="I686" s="60"/>
      <c r="J686" s="60"/>
      <c r="K686" s="71" t="str">
        <f>VLOOKUP(E686,'HEAD OF THE FAMILY'!$B$6:$J1851,9,FALSE)</f>
        <v>BLK 41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60">
        <f t="shared" si="3"/>
        <v>682</v>
      </c>
      <c r="B687" s="62" t="s">
        <v>1848</v>
      </c>
      <c r="C687" s="62" t="s">
        <v>1850</v>
      </c>
      <c r="D687" s="105"/>
      <c r="E687" s="62" t="s">
        <v>1851</v>
      </c>
      <c r="F687" s="60"/>
      <c r="G687" s="92"/>
      <c r="H687" s="60"/>
      <c r="I687" s="60"/>
      <c r="J687" s="60"/>
      <c r="K687" s="71" t="str">
        <f>VLOOKUP(E687,'HEAD OF THE FAMILY'!$B$6:$J1851,9,FALSE)</f>
        <v>BLK 41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60">
        <f t="shared" si="3"/>
        <v>683</v>
      </c>
      <c r="B688" s="62" t="s">
        <v>1848</v>
      </c>
      <c r="C688" s="62" t="s">
        <v>1825</v>
      </c>
      <c r="D688" s="105"/>
      <c r="E688" s="62" t="s">
        <v>1851</v>
      </c>
      <c r="F688" s="60"/>
      <c r="G688" s="92"/>
      <c r="H688" s="60"/>
      <c r="I688" s="60"/>
      <c r="J688" s="60"/>
      <c r="K688" s="71" t="str">
        <f>VLOOKUP(E688,'HEAD OF THE FAMILY'!$B$6:$J1851,9,FALSE)</f>
        <v>BLK 41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60">
        <f t="shared" si="3"/>
        <v>684</v>
      </c>
      <c r="B689" s="62" t="s">
        <v>1853</v>
      </c>
      <c r="C689" s="62" t="s">
        <v>1854</v>
      </c>
      <c r="D689" s="62" t="s">
        <v>58</v>
      </c>
      <c r="E689" s="62" t="s">
        <v>1388</v>
      </c>
      <c r="F689" s="60"/>
      <c r="G689" s="92"/>
      <c r="H689" s="60"/>
      <c r="I689" s="60"/>
      <c r="J689" s="60"/>
      <c r="K689" s="71" t="str">
        <f>VLOOKUP(E689,'HEAD OF THE FAMILY'!$B$6:$J1851,9,FALSE)</f>
        <v>BLK 41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60">
        <f t="shared" si="3"/>
        <v>685</v>
      </c>
      <c r="B690" s="62" t="s">
        <v>1853</v>
      </c>
      <c r="C690" s="62" t="s">
        <v>1856</v>
      </c>
      <c r="D690" s="62" t="s">
        <v>58</v>
      </c>
      <c r="E690" s="62" t="s">
        <v>1388</v>
      </c>
      <c r="F690" s="60"/>
      <c r="G690" s="92"/>
      <c r="H690" s="60"/>
      <c r="I690" s="60"/>
      <c r="J690" s="60"/>
      <c r="K690" s="71" t="str">
        <f>VLOOKUP(E690,'HEAD OF THE FAMILY'!$B$6:$J1851,9,FALSE)</f>
        <v>BLK 41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60">
        <f t="shared" si="3"/>
        <v>686</v>
      </c>
      <c r="B691" s="62" t="s">
        <v>904</v>
      </c>
      <c r="C691" s="62" t="s">
        <v>1857</v>
      </c>
      <c r="D691" s="105"/>
      <c r="E691" s="62" t="s">
        <v>1594</v>
      </c>
      <c r="F691" s="60"/>
      <c r="G691" s="92"/>
      <c r="H691" s="60"/>
      <c r="I691" s="60"/>
      <c r="J691" s="60"/>
      <c r="K691" s="71" t="str">
        <f>VLOOKUP(E691,'HEAD OF THE FAMILY'!$B$6:$J1851,9,FALSE)</f>
        <v>BLK 41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60">
        <f t="shared" si="3"/>
        <v>687</v>
      </c>
      <c r="B692" s="62" t="s">
        <v>904</v>
      </c>
      <c r="C692" s="62" t="s">
        <v>153</v>
      </c>
      <c r="D692" s="105"/>
      <c r="E692" s="62" t="s">
        <v>782</v>
      </c>
      <c r="F692" s="60"/>
      <c r="G692" s="92"/>
      <c r="H692" s="60"/>
      <c r="I692" s="60"/>
      <c r="J692" s="75" t="s">
        <v>1860</v>
      </c>
      <c r="K692" s="71" t="str">
        <f>VLOOKUP(E692,'HEAD OF THE FAMILY'!$B$6:$J1851,9,FALSE)</f>
        <v>BLK 41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60">
        <f t="shared" si="3"/>
        <v>688</v>
      </c>
      <c r="B693" s="62" t="s">
        <v>904</v>
      </c>
      <c r="C693" s="62" t="s">
        <v>1861</v>
      </c>
      <c r="D693" s="105"/>
      <c r="E693" s="62" t="s">
        <v>782</v>
      </c>
      <c r="F693" s="60"/>
      <c r="G693" s="92"/>
      <c r="H693" s="60"/>
      <c r="I693" s="60"/>
      <c r="J693" s="75" t="s">
        <v>1860</v>
      </c>
      <c r="K693" s="71" t="str">
        <f>VLOOKUP(E693,'HEAD OF THE FAMILY'!$B$6:$J1851,9,FALSE)</f>
        <v>BLK 41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60">
        <f t="shared" si="3"/>
        <v>689</v>
      </c>
      <c r="B694" s="62" t="s">
        <v>1862</v>
      </c>
      <c r="C694" s="62" t="s">
        <v>1863</v>
      </c>
      <c r="D694" s="105"/>
      <c r="E694" s="62" t="s">
        <v>1864</v>
      </c>
      <c r="F694" s="60"/>
      <c r="G694" s="92"/>
      <c r="H694" s="60"/>
      <c r="I694" s="60"/>
      <c r="J694" s="60"/>
      <c r="K694" s="71" t="str">
        <f>VLOOKUP(E694,'HEAD OF THE FAMILY'!$B$6:$J1851,9,FALSE)</f>
        <v>BLK 41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60">
        <f t="shared" si="3"/>
        <v>690</v>
      </c>
      <c r="B695" s="62" t="s">
        <v>1862</v>
      </c>
      <c r="C695" s="62" t="s">
        <v>1793</v>
      </c>
      <c r="D695" s="105"/>
      <c r="E695" s="62" t="s">
        <v>1864</v>
      </c>
      <c r="F695" s="60"/>
      <c r="G695" s="92"/>
      <c r="H695" s="60"/>
      <c r="I695" s="60"/>
      <c r="J695" s="60"/>
      <c r="K695" s="71" t="str">
        <f>VLOOKUP(E695,'HEAD OF THE FAMILY'!$B$6:$J1851,9,FALSE)</f>
        <v>BLK 41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60">
        <f t="shared" si="3"/>
        <v>691</v>
      </c>
      <c r="B696" s="62" t="s">
        <v>1865</v>
      </c>
      <c r="C696" s="62" t="s">
        <v>1866</v>
      </c>
      <c r="D696" s="62" t="s">
        <v>657</v>
      </c>
      <c r="E696" s="62" t="s">
        <v>1467</v>
      </c>
      <c r="F696" s="60"/>
      <c r="G696" s="92"/>
      <c r="H696" s="60"/>
      <c r="I696" s="60"/>
      <c r="J696" s="60"/>
      <c r="K696" s="71" t="str">
        <f>VLOOKUP(E696,'HEAD OF THE FAMILY'!$B$6:$J1851,9,FALSE)</f>
        <v>BLK 41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60">
        <f t="shared" si="3"/>
        <v>692</v>
      </c>
      <c r="B697" s="62" t="s">
        <v>1752</v>
      </c>
      <c r="C697" s="62" t="s">
        <v>1868</v>
      </c>
      <c r="D697" s="105"/>
      <c r="E697" s="62" t="s">
        <v>1370</v>
      </c>
      <c r="F697" s="60"/>
      <c r="G697" s="92"/>
      <c r="H697" s="60"/>
      <c r="I697" s="60"/>
      <c r="J697" s="60"/>
      <c r="K697" s="71" t="str">
        <f>VLOOKUP(E697,'HEAD OF THE FAMILY'!$B$6:$J1851,9,FALSE)</f>
        <v>BLK 41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60">
        <f t="shared" si="3"/>
        <v>693</v>
      </c>
      <c r="B698" s="62" t="s">
        <v>1752</v>
      </c>
      <c r="C698" s="62" t="s">
        <v>1870</v>
      </c>
      <c r="D698" s="105"/>
      <c r="E698" s="62" t="s">
        <v>1370</v>
      </c>
      <c r="F698" s="60"/>
      <c r="G698" s="92"/>
      <c r="H698" s="60"/>
      <c r="I698" s="60"/>
      <c r="J698" s="60"/>
      <c r="K698" s="71" t="str">
        <f>VLOOKUP(E698,'HEAD OF THE FAMILY'!$B$6:$J1851,9,FALSE)</f>
        <v>BLK 41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60">
        <f t="shared" si="3"/>
        <v>694</v>
      </c>
      <c r="B699" s="62" t="s">
        <v>1752</v>
      </c>
      <c r="C699" s="62" t="s">
        <v>1871</v>
      </c>
      <c r="D699" s="62" t="s">
        <v>85</v>
      </c>
      <c r="E699" s="62" t="s">
        <v>1872</v>
      </c>
      <c r="F699" s="60"/>
      <c r="G699" s="92"/>
      <c r="H699" s="60"/>
      <c r="I699" s="60"/>
      <c r="J699" s="60"/>
      <c r="K699" s="71" t="str">
        <f>VLOOKUP(E699,'HEAD OF THE FAMILY'!$B$6:$J1851,9,FALSE)</f>
        <v>BLK 41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60">
        <f t="shared" si="3"/>
        <v>695</v>
      </c>
      <c r="B700" s="62" t="s">
        <v>1752</v>
      </c>
      <c r="C700" s="62" t="s">
        <v>1874</v>
      </c>
      <c r="D700" s="62" t="s">
        <v>85</v>
      </c>
      <c r="E700" s="62" t="s">
        <v>1872</v>
      </c>
      <c r="F700" s="60"/>
      <c r="G700" s="92"/>
      <c r="H700" s="60"/>
      <c r="I700" s="60"/>
      <c r="J700" s="60"/>
      <c r="K700" s="71" t="str">
        <f>VLOOKUP(E700,'HEAD OF THE FAMILY'!$B$6:$J1851,9,FALSE)</f>
        <v>BLK 41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60">
        <f t="shared" si="3"/>
        <v>696</v>
      </c>
      <c r="B701" s="62" t="s">
        <v>1752</v>
      </c>
      <c r="C701" s="62" t="s">
        <v>1876</v>
      </c>
      <c r="D701" s="62" t="s">
        <v>85</v>
      </c>
      <c r="E701" s="62" t="s">
        <v>1872</v>
      </c>
      <c r="F701" s="60"/>
      <c r="G701" s="92"/>
      <c r="H701" s="60"/>
      <c r="I701" s="60"/>
      <c r="J701" s="60"/>
      <c r="K701" s="71" t="str">
        <f>VLOOKUP(E701,'HEAD OF THE FAMILY'!$B$6:$J1851,9,FALSE)</f>
        <v>BLK 41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60">
        <f t="shared" si="3"/>
        <v>697</v>
      </c>
      <c r="B702" s="62" t="s">
        <v>1878</v>
      </c>
      <c r="C702" s="62" t="s">
        <v>1879</v>
      </c>
      <c r="D702" s="105"/>
      <c r="E702" s="62" t="s">
        <v>607</v>
      </c>
      <c r="F702" s="60"/>
      <c r="G702" s="92"/>
      <c r="H702" s="60"/>
      <c r="I702" s="60"/>
      <c r="J702" s="60"/>
      <c r="K702" s="71" t="str">
        <f>VLOOKUP(E702,'HEAD OF THE FAMILY'!$B$6:$J1851,9,FALSE)</f>
        <v>BLK 41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60">
        <f t="shared" si="3"/>
        <v>698</v>
      </c>
      <c r="B703" s="62" t="s">
        <v>1878</v>
      </c>
      <c r="C703" s="62" t="s">
        <v>1880</v>
      </c>
      <c r="D703" s="105"/>
      <c r="E703" s="62" t="s">
        <v>607</v>
      </c>
      <c r="F703" s="60"/>
      <c r="G703" s="92"/>
      <c r="H703" s="60"/>
      <c r="I703" s="60"/>
      <c r="J703" s="60"/>
      <c r="K703" s="71" t="str">
        <f>VLOOKUP(E703,'HEAD OF THE FAMILY'!$B$6:$J1851,9,FALSE)</f>
        <v>BLK 41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60">
        <f t="shared" si="3"/>
        <v>699</v>
      </c>
      <c r="B704" s="62" t="s">
        <v>1881</v>
      </c>
      <c r="C704" s="62" t="s">
        <v>1882</v>
      </c>
      <c r="D704" s="62" t="s">
        <v>1883</v>
      </c>
      <c r="E704" s="62" t="s">
        <v>1884</v>
      </c>
      <c r="F704" s="60"/>
      <c r="G704" s="92"/>
      <c r="H704" s="60"/>
      <c r="I704" s="60"/>
      <c r="J704" s="60"/>
      <c r="K704" s="71" t="str">
        <f>VLOOKUP(E704,'HEAD OF THE FAMILY'!$B$6:$J1851,9,FALSE)</f>
        <v>BLK 41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60">
        <f t="shared" si="3"/>
        <v>700</v>
      </c>
      <c r="B705" s="62" t="s">
        <v>1077</v>
      </c>
      <c r="C705" s="62" t="s">
        <v>1209</v>
      </c>
      <c r="D705" s="105"/>
      <c r="E705" s="62" t="s">
        <v>1886</v>
      </c>
      <c r="F705" s="60"/>
      <c r="G705" s="92"/>
      <c r="H705" s="60"/>
      <c r="I705" s="60"/>
      <c r="J705" s="60"/>
      <c r="K705" s="71" t="str">
        <f>VLOOKUP(E705,'HEAD OF THE FAMILY'!$B$6:$J1851,9,FALSE)</f>
        <v>BLK 41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60">
        <f t="shared" si="3"/>
        <v>701</v>
      </c>
      <c r="B706" s="62" t="s">
        <v>1077</v>
      </c>
      <c r="C706" s="62" t="s">
        <v>1888</v>
      </c>
      <c r="D706" s="105"/>
      <c r="E706" s="62" t="s">
        <v>1886</v>
      </c>
      <c r="F706" s="60"/>
      <c r="G706" s="92"/>
      <c r="H706" s="60"/>
      <c r="I706" s="60"/>
      <c r="J706" s="60"/>
      <c r="K706" s="71" t="str">
        <f>VLOOKUP(E706,'HEAD OF THE FAMILY'!$B$6:$J1851,9,FALSE)</f>
        <v>BLK 41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60">
        <f t="shared" si="3"/>
        <v>702</v>
      </c>
      <c r="B707" s="62" t="s">
        <v>1890</v>
      </c>
      <c r="C707" s="62" t="s">
        <v>1891</v>
      </c>
      <c r="D707" s="105"/>
      <c r="E707" s="62" t="s">
        <v>1893</v>
      </c>
      <c r="F707" s="60"/>
      <c r="G707" s="92"/>
      <c r="H707" s="60"/>
      <c r="I707" s="60"/>
      <c r="J707" s="60"/>
      <c r="K707" s="71" t="str">
        <f>VLOOKUP(E707,'HEAD OF THE FAMILY'!$B$6:$J1851,9,FALSE)</f>
        <v>BLK 41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60">
        <f t="shared" si="3"/>
        <v>703</v>
      </c>
      <c r="B708" s="62" t="s">
        <v>1752</v>
      </c>
      <c r="C708" s="62" t="s">
        <v>1894</v>
      </c>
      <c r="D708" s="105"/>
      <c r="E708" s="62" t="s">
        <v>1893</v>
      </c>
      <c r="F708" s="60"/>
      <c r="G708" s="92"/>
      <c r="H708" s="60"/>
      <c r="I708" s="60"/>
      <c r="J708" s="60"/>
      <c r="K708" s="71" t="str">
        <f>VLOOKUP(E708,'HEAD OF THE FAMILY'!$B$6:$J1851,9,FALSE)</f>
        <v>BLK 41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60">
        <f t="shared" si="3"/>
        <v>704</v>
      </c>
      <c r="B709" s="62" t="s">
        <v>1752</v>
      </c>
      <c r="C709" s="62" t="s">
        <v>1896</v>
      </c>
      <c r="D709" s="105"/>
      <c r="E709" s="62" t="s">
        <v>1893</v>
      </c>
      <c r="F709" s="60"/>
      <c r="G709" s="92"/>
      <c r="H709" s="60"/>
      <c r="I709" s="60"/>
      <c r="J709" s="60"/>
      <c r="K709" s="71" t="str">
        <f>VLOOKUP(E709,'HEAD OF THE FAMILY'!$B$6:$J1851,9,FALSE)</f>
        <v>BLK 41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60">
        <f t="shared" si="3"/>
        <v>705</v>
      </c>
      <c r="B710" s="62" t="s">
        <v>1897</v>
      </c>
      <c r="C710" s="62" t="s">
        <v>1898</v>
      </c>
      <c r="D710" s="105"/>
      <c r="E710" s="62" t="s">
        <v>1682</v>
      </c>
      <c r="F710" s="60"/>
      <c r="G710" s="92"/>
      <c r="H710" s="60"/>
      <c r="I710" s="60"/>
      <c r="J710" s="60"/>
      <c r="K710" s="71" t="str">
        <f>VLOOKUP(E710,'HEAD OF THE FAMILY'!$B$6:$J1851,9,FALSE)</f>
        <v>BLK 41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60">
        <f t="shared" si="3"/>
        <v>706</v>
      </c>
      <c r="B711" s="62" t="s">
        <v>1077</v>
      </c>
      <c r="C711" s="62" t="s">
        <v>1900</v>
      </c>
      <c r="D711" s="105"/>
      <c r="E711" s="62" t="s">
        <v>1667</v>
      </c>
      <c r="F711" s="60"/>
      <c r="G711" s="92"/>
      <c r="H711" s="60"/>
      <c r="I711" s="60"/>
      <c r="J711" s="60"/>
      <c r="K711" s="71" t="str">
        <f>VLOOKUP(E711,'HEAD OF THE FAMILY'!$B$6:$J1851,9,FALSE)</f>
        <v>BLK 41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60">
        <f t="shared" si="3"/>
        <v>707</v>
      </c>
      <c r="B712" s="62" t="s">
        <v>1077</v>
      </c>
      <c r="C712" s="62" t="s">
        <v>1901</v>
      </c>
      <c r="D712" s="105"/>
      <c r="E712" s="62" t="s">
        <v>1667</v>
      </c>
      <c r="F712" s="60"/>
      <c r="G712" s="92"/>
      <c r="H712" s="60"/>
      <c r="I712" s="60"/>
      <c r="J712" s="60"/>
      <c r="K712" s="71" t="str">
        <f>VLOOKUP(E712,'HEAD OF THE FAMILY'!$B$6:$J1851,9,FALSE)</f>
        <v>BLK 41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60">
        <f t="shared" si="3"/>
        <v>708</v>
      </c>
      <c r="B713" s="62" t="s">
        <v>1077</v>
      </c>
      <c r="C713" s="62" t="s">
        <v>1902</v>
      </c>
      <c r="D713" s="105"/>
      <c r="E713" s="62" t="s">
        <v>1667</v>
      </c>
      <c r="F713" s="60"/>
      <c r="G713" s="92"/>
      <c r="H713" s="60"/>
      <c r="I713" s="60"/>
      <c r="J713" s="60"/>
      <c r="K713" s="71" t="str">
        <f>VLOOKUP(E713,'HEAD OF THE FAMILY'!$B$6:$J1851,9,FALSE)</f>
        <v>BLK 41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60">
        <f t="shared" si="3"/>
        <v>709</v>
      </c>
      <c r="B714" s="62" t="s">
        <v>1077</v>
      </c>
      <c r="C714" s="62" t="s">
        <v>1904</v>
      </c>
      <c r="D714" s="105"/>
      <c r="E714" s="62" t="s">
        <v>1667</v>
      </c>
      <c r="F714" s="60"/>
      <c r="G714" s="92"/>
      <c r="H714" s="60"/>
      <c r="I714" s="60"/>
      <c r="J714" s="60"/>
      <c r="K714" s="71" t="str">
        <f>VLOOKUP(E714,'HEAD OF THE FAMILY'!$B$6:$J1851,9,FALSE)</f>
        <v>BLK 41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60">
        <f t="shared" si="3"/>
        <v>710</v>
      </c>
      <c r="B715" s="62" t="s">
        <v>1905</v>
      </c>
      <c r="C715" s="62" t="s">
        <v>1906</v>
      </c>
      <c r="D715" s="105"/>
      <c r="E715" s="62" t="s">
        <v>1907</v>
      </c>
      <c r="F715" s="60"/>
      <c r="G715" s="92"/>
      <c r="H715" s="60"/>
      <c r="I715" s="60"/>
      <c r="J715" s="60"/>
      <c r="K715" s="71" t="str">
        <f>VLOOKUP(E715,'HEAD OF THE FAMILY'!$B$6:$J1851,9,FALSE)</f>
        <v>BLK 41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60">
        <f t="shared" si="3"/>
        <v>711</v>
      </c>
      <c r="B716" s="62" t="s">
        <v>1905</v>
      </c>
      <c r="C716" s="62" t="s">
        <v>1909</v>
      </c>
      <c r="D716" s="105"/>
      <c r="E716" s="62" t="s">
        <v>1907</v>
      </c>
      <c r="F716" s="60"/>
      <c r="G716" s="92"/>
      <c r="H716" s="60"/>
      <c r="I716" s="60"/>
      <c r="J716" s="60"/>
      <c r="K716" s="71" t="str">
        <f>VLOOKUP(E716,'HEAD OF THE FAMILY'!$B$6:$J1851,9,FALSE)</f>
        <v>BLK 41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60">
        <f t="shared" si="3"/>
        <v>712</v>
      </c>
      <c r="B717" s="62" t="s">
        <v>1911</v>
      </c>
      <c r="C717" s="62" t="s">
        <v>1912</v>
      </c>
      <c r="D717" s="105"/>
      <c r="E717" s="62" t="s">
        <v>1913</v>
      </c>
      <c r="F717" s="60"/>
      <c r="G717" s="92"/>
      <c r="H717" s="60"/>
      <c r="I717" s="60"/>
      <c r="J717" s="60"/>
      <c r="K717" s="71" t="str">
        <f>VLOOKUP(E717,'HEAD OF THE FAMILY'!$B$6:$J1851,9,FALSE)</f>
        <v>BLK 41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60">
        <f t="shared" si="3"/>
        <v>713</v>
      </c>
      <c r="B718" s="62" t="s">
        <v>1911</v>
      </c>
      <c r="C718" s="62" t="s">
        <v>1914</v>
      </c>
      <c r="D718" s="105"/>
      <c r="E718" s="62" t="s">
        <v>1913</v>
      </c>
      <c r="F718" s="60"/>
      <c r="G718" s="92"/>
      <c r="H718" s="60"/>
      <c r="I718" s="60"/>
      <c r="J718" s="60"/>
      <c r="K718" s="71" t="str">
        <f>VLOOKUP(E718,'HEAD OF THE FAMILY'!$B$6:$J1851,9,FALSE)</f>
        <v>BLK 41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60">
        <f t="shared" si="3"/>
        <v>714</v>
      </c>
      <c r="B719" s="62" t="s">
        <v>1911</v>
      </c>
      <c r="C719" s="62" t="s">
        <v>1915</v>
      </c>
      <c r="D719" s="105"/>
      <c r="E719" s="62" t="s">
        <v>1913</v>
      </c>
      <c r="F719" s="60"/>
      <c r="G719" s="92"/>
      <c r="H719" s="60"/>
      <c r="I719" s="60"/>
      <c r="J719" s="60"/>
      <c r="K719" s="71" t="str">
        <f>VLOOKUP(E719,'HEAD OF THE FAMILY'!$B$6:$J1851,9,FALSE)</f>
        <v>BLK 41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60">
        <f t="shared" si="3"/>
        <v>715</v>
      </c>
      <c r="B720" s="62" t="s">
        <v>1916</v>
      </c>
      <c r="C720" s="62" t="s">
        <v>1917</v>
      </c>
      <c r="D720" s="105"/>
      <c r="E720" s="62" t="s">
        <v>1913</v>
      </c>
      <c r="F720" s="60"/>
      <c r="G720" s="92"/>
      <c r="H720" s="60"/>
      <c r="I720" s="60"/>
      <c r="J720" s="60"/>
      <c r="K720" s="71" t="str">
        <f>VLOOKUP(E720,'HEAD OF THE FAMILY'!$B$6:$J1851,9,FALSE)</f>
        <v>BLK 41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60">
        <f t="shared" si="3"/>
        <v>716</v>
      </c>
      <c r="B721" s="62" t="s">
        <v>1752</v>
      </c>
      <c r="C721" s="62" t="s">
        <v>1919</v>
      </c>
      <c r="D721" s="105"/>
      <c r="E721" s="62" t="s">
        <v>1920</v>
      </c>
      <c r="F721" s="60"/>
      <c r="G721" s="92"/>
      <c r="H721" s="60"/>
      <c r="I721" s="60"/>
      <c r="J721" s="60"/>
      <c r="K721" s="71" t="str">
        <f>VLOOKUP(E721,'HEAD OF THE FAMILY'!$B$6:$J1851,9,FALSE)</f>
        <v>BLK 41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60">
        <f t="shared" si="3"/>
        <v>717</v>
      </c>
      <c r="B722" s="62" t="s">
        <v>1077</v>
      </c>
      <c r="C722" s="62" t="s">
        <v>1921</v>
      </c>
      <c r="D722" s="105"/>
      <c r="E722" s="62" t="s">
        <v>1922</v>
      </c>
      <c r="F722" s="60"/>
      <c r="G722" s="92"/>
      <c r="H722" s="60"/>
      <c r="I722" s="60"/>
      <c r="J722" s="60"/>
      <c r="K722" s="71" t="str">
        <f>VLOOKUP(E722,'HEAD OF THE FAMILY'!$B$6:$J1851,9,FALSE)</f>
        <v>BLK 41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60">
        <f t="shared" si="3"/>
        <v>718</v>
      </c>
      <c r="B723" s="62" t="s">
        <v>1077</v>
      </c>
      <c r="C723" s="62" t="s">
        <v>1924</v>
      </c>
      <c r="D723" s="105"/>
      <c r="E723" s="62" t="s">
        <v>1922</v>
      </c>
      <c r="F723" s="60"/>
      <c r="G723" s="92"/>
      <c r="H723" s="60"/>
      <c r="I723" s="60"/>
      <c r="J723" s="60"/>
      <c r="K723" s="71" t="str">
        <f>VLOOKUP(E723,'HEAD OF THE FAMILY'!$B$6:$J1851,9,FALSE)</f>
        <v>BLK 41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60">
        <f t="shared" si="3"/>
        <v>719</v>
      </c>
      <c r="B724" s="62" t="s">
        <v>181</v>
      </c>
      <c r="C724" s="62" t="s">
        <v>1925</v>
      </c>
      <c r="D724" s="105"/>
      <c r="E724" s="62" t="s">
        <v>1926</v>
      </c>
      <c r="F724" s="60"/>
      <c r="G724" s="92"/>
      <c r="H724" s="60"/>
      <c r="I724" s="60"/>
      <c r="J724" s="60"/>
      <c r="K724" s="71" t="str">
        <f>VLOOKUP(E724,'HEAD OF THE FAMILY'!$B$6:$J1851,9,FALSE)</f>
        <v>BLK 41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60">
        <f t="shared" si="3"/>
        <v>720</v>
      </c>
      <c r="B725" s="62" t="s">
        <v>1928</v>
      </c>
      <c r="C725" s="62" t="s">
        <v>1929</v>
      </c>
      <c r="D725" s="105"/>
      <c r="E725" s="62" t="s">
        <v>1926</v>
      </c>
      <c r="F725" s="60"/>
      <c r="G725" s="92"/>
      <c r="H725" s="60"/>
      <c r="I725" s="60"/>
      <c r="J725" s="60"/>
      <c r="K725" s="71" t="str">
        <f>VLOOKUP(E725,'HEAD OF THE FAMILY'!$B$6:$J1851,9,FALSE)</f>
        <v>BLK 41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60">
        <f t="shared" si="3"/>
        <v>721</v>
      </c>
      <c r="B726" s="62" t="s">
        <v>1077</v>
      </c>
      <c r="C726" s="62" t="s">
        <v>1930</v>
      </c>
      <c r="D726" s="105"/>
      <c r="E726" s="62" t="s">
        <v>1926</v>
      </c>
      <c r="F726" s="60"/>
      <c r="G726" s="92"/>
      <c r="H726" s="60"/>
      <c r="I726" s="60"/>
      <c r="J726" s="60"/>
      <c r="K726" s="71" t="str">
        <f>VLOOKUP(E726,'HEAD OF THE FAMILY'!$B$6:$J1851,9,FALSE)</f>
        <v>BLK 41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60">
        <f t="shared" si="3"/>
        <v>722</v>
      </c>
      <c r="B727" s="62" t="s">
        <v>1077</v>
      </c>
      <c r="C727" s="62" t="s">
        <v>1931</v>
      </c>
      <c r="D727" s="105"/>
      <c r="E727" s="62" t="s">
        <v>1926</v>
      </c>
      <c r="F727" s="60"/>
      <c r="G727" s="92"/>
      <c r="H727" s="60"/>
      <c r="I727" s="60"/>
      <c r="J727" s="60"/>
      <c r="K727" s="71" t="str">
        <f>VLOOKUP(E727,'HEAD OF THE FAMILY'!$B$6:$J1851,9,FALSE)</f>
        <v>BLK 41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60">
        <f t="shared" si="3"/>
        <v>723</v>
      </c>
      <c r="B728" s="62" t="s">
        <v>1934</v>
      </c>
      <c r="C728" s="62" t="s">
        <v>1935</v>
      </c>
      <c r="D728" s="62" t="s">
        <v>968</v>
      </c>
      <c r="E728" s="62" t="s">
        <v>1936</v>
      </c>
      <c r="F728" s="60"/>
      <c r="G728" s="92"/>
      <c r="H728" s="60"/>
      <c r="I728" s="60"/>
      <c r="J728" s="60"/>
      <c r="K728" s="71" t="str">
        <f>VLOOKUP(E728,'HEAD OF THE FAMILY'!$B$6:$J1851,9,FALSE)</f>
        <v>BLK 41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60">
        <f t="shared" si="3"/>
        <v>724</v>
      </c>
      <c r="B729" s="62" t="s">
        <v>1934</v>
      </c>
      <c r="C729" s="62" t="s">
        <v>1937</v>
      </c>
      <c r="D729" s="62" t="s">
        <v>968</v>
      </c>
      <c r="E729" s="62" t="s">
        <v>1936</v>
      </c>
      <c r="F729" s="60"/>
      <c r="G729" s="92"/>
      <c r="H729" s="60"/>
      <c r="I729" s="60"/>
      <c r="J729" s="60"/>
      <c r="K729" s="71" t="str">
        <f>VLOOKUP(E729,'HEAD OF THE FAMILY'!$B$6:$J1851,9,FALSE)</f>
        <v>BLK 41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60">
        <f t="shared" si="3"/>
        <v>725</v>
      </c>
      <c r="B730" s="62" t="s">
        <v>1934</v>
      </c>
      <c r="C730" s="62" t="s">
        <v>1939</v>
      </c>
      <c r="D730" s="62" t="s">
        <v>968</v>
      </c>
      <c r="E730" s="62" t="s">
        <v>1936</v>
      </c>
      <c r="F730" s="60"/>
      <c r="G730" s="92"/>
      <c r="H730" s="60"/>
      <c r="I730" s="60"/>
      <c r="J730" s="60"/>
      <c r="K730" s="71" t="str">
        <f>VLOOKUP(E730,'HEAD OF THE FAMILY'!$B$6:$J1851,9,FALSE)</f>
        <v>BLK 41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60">
        <f t="shared" si="3"/>
        <v>726</v>
      </c>
      <c r="B731" s="62" t="s">
        <v>1934</v>
      </c>
      <c r="C731" s="62" t="s">
        <v>1941</v>
      </c>
      <c r="D731" s="62" t="s">
        <v>968</v>
      </c>
      <c r="E731" s="62" t="s">
        <v>1936</v>
      </c>
      <c r="F731" s="60"/>
      <c r="G731" s="92"/>
      <c r="H731" s="60"/>
      <c r="I731" s="60"/>
      <c r="J731" s="60"/>
      <c r="K731" s="71" t="str">
        <f>VLOOKUP(E731,'HEAD OF THE FAMILY'!$B$6:$J1851,9,FALSE)</f>
        <v>BLK 41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60">
        <f t="shared" si="3"/>
        <v>727</v>
      </c>
      <c r="B732" s="62" t="s">
        <v>1752</v>
      </c>
      <c r="C732" s="62" t="s">
        <v>1942</v>
      </c>
      <c r="D732" s="105"/>
      <c r="E732" s="62" t="s">
        <v>556</v>
      </c>
      <c r="F732" s="60"/>
      <c r="G732" s="92"/>
      <c r="H732" s="60"/>
      <c r="I732" s="60"/>
      <c r="J732" s="60"/>
      <c r="K732" s="71" t="str">
        <f>VLOOKUP(E732,'HEAD OF THE FAMILY'!$B$6:$J1851,9,FALSE)</f>
        <v>BLK 41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60">
        <f t="shared" si="3"/>
        <v>728</v>
      </c>
      <c r="B733" s="62" t="s">
        <v>1752</v>
      </c>
      <c r="C733" s="62" t="s">
        <v>1944</v>
      </c>
      <c r="D733" s="105"/>
      <c r="E733" s="62" t="s">
        <v>556</v>
      </c>
      <c r="F733" s="60"/>
      <c r="G733" s="92"/>
      <c r="H733" s="60"/>
      <c r="I733" s="60"/>
      <c r="J733" s="60"/>
      <c r="K733" s="71" t="str">
        <f>VLOOKUP(E733,'HEAD OF THE FAMILY'!$B$6:$J1851,9,FALSE)</f>
        <v>BLK 41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60">
        <f t="shared" si="3"/>
        <v>729</v>
      </c>
      <c r="B734" s="62" t="s">
        <v>1752</v>
      </c>
      <c r="C734" s="62" t="s">
        <v>1945</v>
      </c>
      <c r="D734" s="105"/>
      <c r="E734" s="62" t="s">
        <v>556</v>
      </c>
      <c r="F734" s="60"/>
      <c r="G734" s="92"/>
      <c r="H734" s="60"/>
      <c r="I734" s="60"/>
      <c r="J734" s="60"/>
      <c r="K734" s="71" t="str">
        <f>VLOOKUP(E734,'HEAD OF THE FAMILY'!$B$6:$J1851,9,FALSE)</f>
        <v>BLK 41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60">
        <f t="shared" si="3"/>
        <v>730</v>
      </c>
      <c r="B735" s="62" t="s">
        <v>1948</v>
      </c>
      <c r="C735" s="62" t="s">
        <v>178</v>
      </c>
      <c r="D735" s="105"/>
      <c r="E735" s="62" t="s">
        <v>149</v>
      </c>
      <c r="F735" s="60"/>
      <c r="G735" s="92"/>
      <c r="H735" s="60"/>
      <c r="I735" s="60"/>
      <c r="J735" s="60"/>
      <c r="K735" s="71" t="str">
        <f>VLOOKUP(E735,'HEAD OF THE FAMILY'!$B$6:$J1851,9,FALSE)</f>
        <v>BLK 41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60">
        <f t="shared" si="3"/>
        <v>731</v>
      </c>
      <c r="B736" s="62" t="s">
        <v>1948</v>
      </c>
      <c r="C736" s="62" t="s">
        <v>1950</v>
      </c>
      <c r="D736" s="105"/>
      <c r="E736" s="62" t="s">
        <v>149</v>
      </c>
      <c r="F736" s="60"/>
      <c r="G736" s="92"/>
      <c r="H736" s="60"/>
      <c r="I736" s="60"/>
      <c r="J736" s="60"/>
      <c r="K736" s="71" t="str">
        <f>VLOOKUP(E736,'HEAD OF THE FAMILY'!$B$6:$J1851,9,FALSE)</f>
        <v>BLK 41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60">
        <f t="shared" si="3"/>
        <v>732</v>
      </c>
      <c r="B737" s="62" t="s">
        <v>1878</v>
      </c>
      <c r="C737" s="62" t="s">
        <v>1952</v>
      </c>
      <c r="D737" s="105"/>
      <c r="E737" s="62" t="s">
        <v>1953</v>
      </c>
      <c r="F737" s="60"/>
      <c r="G737" s="92"/>
      <c r="H737" s="60"/>
      <c r="I737" s="60"/>
      <c r="J737" s="60"/>
      <c r="K737" s="71" t="str">
        <f>VLOOKUP(E737,'HEAD OF THE FAMILY'!$B$6:$J1851,9,FALSE)</f>
        <v>BLK 41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60">
        <f t="shared" si="3"/>
        <v>733</v>
      </c>
      <c r="B738" s="62" t="s">
        <v>1878</v>
      </c>
      <c r="C738" s="62" t="s">
        <v>1955</v>
      </c>
      <c r="D738" s="105"/>
      <c r="E738" s="62" t="s">
        <v>1953</v>
      </c>
      <c r="F738" s="60"/>
      <c r="G738" s="92"/>
      <c r="H738" s="60"/>
      <c r="I738" s="60"/>
      <c r="J738" s="60"/>
      <c r="K738" s="71" t="str">
        <f>VLOOKUP(E738,'HEAD OF THE FAMILY'!$B$6:$J1851,9,FALSE)</f>
        <v>BLK 41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60">
        <f t="shared" si="3"/>
        <v>734</v>
      </c>
      <c r="B739" s="62" t="s">
        <v>1878</v>
      </c>
      <c r="C739" s="62" t="s">
        <v>1957</v>
      </c>
      <c r="D739" s="105"/>
      <c r="E739" s="62" t="s">
        <v>422</v>
      </c>
      <c r="F739" s="60"/>
      <c r="G739" s="92"/>
      <c r="H739" s="60"/>
      <c r="I739" s="60"/>
      <c r="J739" s="60"/>
      <c r="K739" s="71" t="str">
        <f>VLOOKUP(E739,'HEAD OF THE FAMILY'!$B$6:$J1851,9,FALSE)</f>
        <v>BLK 41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60">
        <f t="shared" si="3"/>
        <v>735</v>
      </c>
      <c r="B740" s="62" t="s">
        <v>1878</v>
      </c>
      <c r="C740" s="62" t="s">
        <v>1960</v>
      </c>
      <c r="D740" s="105"/>
      <c r="E740" s="62" t="s">
        <v>1961</v>
      </c>
      <c r="F740" s="60"/>
      <c r="G740" s="92"/>
      <c r="H740" s="60"/>
      <c r="I740" s="60"/>
      <c r="J740" s="60"/>
      <c r="K740" s="71" t="str">
        <f>VLOOKUP(E740,'HEAD OF THE FAMILY'!$B$6:$J1851,9,FALSE)</f>
        <v>BLK 41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60">
        <f t="shared" si="3"/>
        <v>736</v>
      </c>
      <c r="B741" s="62" t="s">
        <v>1963</v>
      </c>
      <c r="C741" s="62" t="s">
        <v>1964</v>
      </c>
      <c r="D741" s="62" t="s">
        <v>494</v>
      </c>
      <c r="E741" s="62" t="s">
        <v>1361</v>
      </c>
      <c r="F741" s="60"/>
      <c r="G741" s="92"/>
      <c r="H741" s="60"/>
      <c r="I741" s="60"/>
      <c r="J741" s="60"/>
      <c r="K741" s="71" t="str">
        <f>VLOOKUP(E741,'HEAD OF THE FAMILY'!$B$6:$J1851,9,FALSE)</f>
        <v>BLK 41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60">
        <f t="shared" si="3"/>
        <v>737</v>
      </c>
      <c r="B742" s="62" t="s">
        <v>1963</v>
      </c>
      <c r="C742" s="62" t="s">
        <v>1966</v>
      </c>
      <c r="D742" s="62"/>
      <c r="E742" s="62" t="s">
        <v>1361</v>
      </c>
      <c r="F742" s="60"/>
      <c r="G742" s="92"/>
      <c r="H742" s="60"/>
      <c r="I742" s="60"/>
      <c r="J742" s="60"/>
      <c r="K742" s="71" t="str">
        <f>VLOOKUP(E742,'HEAD OF THE FAMILY'!$B$6:$J1851,9,FALSE)</f>
        <v>BLK 41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60">
        <f t="shared" si="3"/>
        <v>738</v>
      </c>
      <c r="B743" s="62" t="s">
        <v>1968</v>
      </c>
      <c r="C743" s="62" t="s">
        <v>1969</v>
      </c>
      <c r="D743" s="105"/>
      <c r="E743" s="62" t="s">
        <v>1751</v>
      </c>
      <c r="F743" s="60"/>
      <c r="G743" s="92"/>
      <c r="H743" s="60"/>
      <c r="I743" s="60"/>
      <c r="J743" s="60"/>
      <c r="K743" s="71" t="str">
        <f>VLOOKUP(E743,'HEAD OF THE FAMILY'!$B$6:$J1851,9,FALSE)</f>
        <v>BLK 41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60">
        <f t="shared" si="3"/>
        <v>739</v>
      </c>
      <c r="B744" s="62" t="s">
        <v>1971</v>
      </c>
      <c r="C744" s="62" t="s">
        <v>1972</v>
      </c>
      <c r="D744" s="105"/>
      <c r="E744" s="62" t="s">
        <v>765</v>
      </c>
      <c r="F744" s="60"/>
      <c r="G744" s="92"/>
      <c r="H744" s="60"/>
      <c r="I744" s="60"/>
      <c r="J744" s="60"/>
      <c r="K744" s="71" t="str">
        <f>VLOOKUP(E744,'HEAD OF THE FAMILY'!$B$6:$J1851,9,FALSE)</f>
        <v>BLK 41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60">
        <f t="shared" si="3"/>
        <v>740</v>
      </c>
      <c r="B745" s="62" t="s">
        <v>1973</v>
      </c>
      <c r="C745" s="62" t="s">
        <v>1974</v>
      </c>
      <c r="D745" s="105"/>
      <c r="E745" s="62" t="s">
        <v>1975</v>
      </c>
      <c r="F745" s="60"/>
      <c r="G745" s="92"/>
      <c r="H745" s="60"/>
      <c r="I745" s="60"/>
      <c r="J745" s="60"/>
      <c r="K745" s="71" t="str">
        <f>VLOOKUP(E745,'HEAD OF THE FAMILY'!$B$6:$J1851,9,FALSE)</f>
        <v>BLK 41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60">
        <f t="shared" si="3"/>
        <v>741</v>
      </c>
      <c r="B746" s="62" t="s">
        <v>1977</v>
      </c>
      <c r="C746" s="62" t="s">
        <v>1978</v>
      </c>
      <c r="D746" s="62" t="s">
        <v>71</v>
      </c>
      <c r="E746" s="62" t="s">
        <v>1979</v>
      </c>
      <c r="F746" s="60"/>
      <c r="G746" s="92"/>
      <c r="H746" s="60"/>
      <c r="I746" s="60"/>
      <c r="J746" s="60"/>
      <c r="K746" s="71" t="str">
        <f>VLOOKUP(E746,'HEAD OF THE FAMILY'!$B$6:$J1851,9,FALSE)</f>
        <v>BLK 41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60">
        <f t="shared" si="3"/>
        <v>742</v>
      </c>
      <c r="B747" s="62" t="s">
        <v>1977</v>
      </c>
      <c r="C747" s="62" t="s">
        <v>1980</v>
      </c>
      <c r="D747" s="62" t="s">
        <v>71</v>
      </c>
      <c r="E747" s="62" t="s">
        <v>1979</v>
      </c>
      <c r="F747" s="60"/>
      <c r="G747" s="92"/>
      <c r="H747" s="60"/>
      <c r="I747" s="60"/>
      <c r="J747" s="60"/>
      <c r="K747" s="71" t="str">
        <f>VLOOKUP(E747,'HEAD OF THE FAMILY'!$B$6:$J1851,9,FALSE)</f>
        <v>BLK 41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60">
        <f t="shared" si="3"/>
        <v>743</v>
      </c>
      <c r="B748" s="62" t="s">
        <v>1977</v>
      </c>
      <c r="C748" s="62" t="s">
        <v>1983</v>
      </c>
      <c r="D748" s="62" t="s">
        <v>71</v>
      </c>
      <c r="E748" s="62" t="s">
        <v>1979</v>
      </c>
      <c r="F748" s="60"/>
      <c r="G748" s="92"/>
      <c r="H748" s="60"/>
      <c r="I748" s="60"/>
      <c r="J748" s="60"/>
      <c r="K748" s="71" t="str">
        <f>VLOOKUP(E748,'HEAD OF THE FAMILY'!$B$6:$J1851,9,FALSE)</f>
        <v>BLK 41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60">
        <f t="shared" si="3"/>
        <v>744</v>
      </c>
      <c r="B749" s="62" t="s">
        <v>1977</v>
      </c>
      <c r="C749" s="62" t="s">
        <v>1984</v>
      </c>
      <c r="D749" s="105"/>
      <c r="E749" s="62" t="s">
        <v>1985</v>
      </c>
      <c r="F749" s="60"/>
      <c r="G749" s="92"/>
      <c r="H749" s="60"/>
      <c r="I749" s="60"/>
      <c r="J749" s="60"/>
      <c r="K749" s="71" t="str">
        <f>VLOOKUP(E749,'HEAD OF THE FAMILY'!$B$6:$J1851,9,FALSE)</f>
        <v>BLK 41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60">
        <f t="shared" si="3"/>
        <v>745</v>
      </c>
      <c r="B750" s="62" t="s">
        <v>1977</v>
      </c>
      <c r="C750" s="62" t="s">
        <v>1986</v>
      </c>
      <c r="D750" s="105"/>
      <c r="E750" s="62" t="s">
        <v>1985</v>
      </c>
      <c r="F750" s="60"/>
      <c r="G750" s="92"/>
      <c r="H750" s="60"/>
      <c r="I750" s="60"/>
      <c r="J750" s="60"/>
      <c r="K750" s="71" t="str">
        <f>VLOOKUP(E750,'HEAD OF THE FAMILY'!$B$6:$J1851,9,FALSE)</f>
        <v>BLK 41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60">
        <f t="shared" si="3"/>
        <v>746</v>
      </c>
      <c r="B751" s="62" t="s">
        <v>1977</v>
      </c>
      <c r="C751" s="62" t="s">
        <v>1988</v>
      </c>
      <c r="D751" s="105"/>
      <c r="E751" s="62" t="s">
        <v>1985</v>
      </c>
      <c r="F751" s="60"/>
      <c r="G751" s="92"/>
      <c r="H751" s="60"/>
      <c r="I751" s="60"/>
      <c r="J751" s="60"/>
      <c r="K751" s="71" t="str">
        <f>VLOOKUP(E751,'HEAD OF THE FAMILY'!$B$6:$J1851,9,FALSE)</f>
        <v>BLK 41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60">
        <f t="shared" si="3"/>
        <v>747</v>
      </c>
      <c r="B752" s="62" t="s">
        <v>1989</v>
      </c>
      <c r="C752" s="62" t="s">
        <v>1990</v>
      </c>
      <c r="D752" s="62" t="s">
        <v>71</v>
      </c>
      <c r="E752" s="62" t="s">
        <v>1885</v>
      </c>
      <c r="F752" s="60"/>
      <c r="G752" s="92"/>
      <c r="H752" s="60"/>
      <c r="I752" s="60"/>
      <c r="J752" s="60"/>
      <c r="K752" s="71" t="str">
        <f>VLOOKUP(E752,'HEAD OF THE FAMILY'!$B$6:$J1851,9,FALSE)</f>
        <v>BLK 41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60">
        <f t="shared" si="3"/>
        <v>748</v>
      </c>
      <c r="B753" s="62" t="s">
        <v>1989</v>
      </c>
      <c r="C753" s="62" t="s">
        <v>1991</v>
      </c>
      <c r="D753" s="62" t="s">
        <v>71</v>
      </c>
      <c r="E753" s="62" t="s">
        <v>1885</v>
      </c>
      <c r="F753" s="60"/>
      <c r="G753" s="92"/>
      <c r="H753" s="60"/>
      <c r="I753" s="60"/>
      <c r="J753" s="60"/>
      <c r="K753" s="71" t="str">
        <f>VLOOKUP(E753,'HEAD OF THE FAMILY'!$B$6:$J1851,9,FALSE)</f>
        <v>BLK 41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60">
        <f t="shared" si="3"/>
        <v>749</v>
      </c>
      <c r="B754" s="62" t="s">
        <v>1989</v>
      </c>
      <c r="C754" s="62" t="s">
        <v>1993</v>
      </c>
      <c r="D754" s="62" t="s">
        <v>71</v>
      </c>
      <c r="E754" s="62" t="s">
        <v>1885</v>
      </c>
      <c r="F754" s="60"/>
      <c r="G754" s="92"/>
      <c r="H754" s="60"/>
      <c r="I754" s="60"/>
      <c r="J754" s="60"/>
      <c r="K754" s="71" t="str">
        <f>VLOOKUP(E754,'HEAD OF THE FAMILY'!$B$6:$J1851,9,FALSE)</f>
        <v>BLK 41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60">
        <f t="shared" si="3"/>
        <v>750</v>
      </c>
      <c r="B755" s="62" t="s">
        <v>1989</v>
      </c>
      <c r="C755" s="62" t="s">
        <v>1995</v>
      </c>
      <c r="D755" s="62" t="s">
        <v>71</v>
      </c>
      <c r="E755" s="62" t="s">
        <v>1885</v>
      </c>
      <c r="F755" s="60"/>
      <c r="G755" s="92"/>
      <c r="H755" s="60"/>
      <c r="I755" s="60"/>
      <c r="J755" s="60"/>
      <c r="K755" s="71" t="str">
        <f>VLOOKUP(E755,'HEAD OF THE FAMILY'!$B$6:$J1851,9,FALSE)</f>
        <v>BLK 41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60">
        <f t="shared" si="3"/>
        <v>751</v>
      </c>
      <c r="B756" s="62" t="s">
        <v>1997</v>
      </c>
      <c r="C756" s="62" t="s">
        <v>1998</v>
      </c>
      <c r="D756" s="105"/>
      <c r="E756" s="62" t="s">
        <v>1999</v>
      </c>
      <c r="F756" s="60"/>
      <c r="G756" s="92"/>
      <c r="H756" s="60"/>
      <c r="I756" s="60"/>
      <c r="J756" s="60"/>
      <c r="K756" s="71" t="str">
        <f>VLOOKUP(E756,'HEAD OF THE FAMILY'!$B$6:$J1851,9,FALSE)</f>
        <v>BLK 41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60">
        <f t="shared" si="3"/>
        <v>752</v>
      </c>
      <c r="B757" s="62" t="s">
        <v>2000</v>
      </c>
      <c r="C757" s="62" t="s">
        <v>2001</v>
      </c>
      <c r="D757" s="105"/>
      <c r="E757" s="62" t="s">
        <v>1999</v>
      </c>
      <c r="F757" s="60"/>
      <c r="G757" s="92"/>
      <c r="H757" s="60"/>
      <c r="I757" s="60"/>
      <c r="J757" s="60"/>
      <c r="K757" s="71" t="str">
        <f>VLOOKUP(E757,'HEAD OF THE FAMILY'!$B$6:$J1851,9,FALSE)</f>
        <v>BLK 41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60">
        <f t="shared" si="3"/>
        <v>753</v>
      </c>
      <c r="B758" s="62" t="s">
        <v>181</v>
      </c>
      <c r="C758" s="62" t="s">
        <v>2003</v>
      </c>
      <c r="D758" s="105"/>
      <c r="E758" s="62" t="s">
        <v>2004</v>
      </c>
      <c r="F758" s="60"/>
      <c r="G758" s="92"/>
      <c r="H758" s="60"/>
      <c r="I758" s="60"/>
      <c r="J758" s="60"/>
      <c r="K758" s="71" t="str">
        <f>VLOOKUP(E758,'HEAD OF THE FAMILY'!$B$6:$J1851,9,FALSE)</f>
        <v>BLK 41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60">
        <f t="shared" si="3"/>
        <v>754</v>
      </c>
      <c r="B759" s="62" t="s">
        <v>181</v>
      </c>
      <c r="C759" s="62" t="s">
        <v>2005</v>
      </c>
      <c r="D759" s="105"/>
      <c r="E759" s="62" t="s">
        <v>2004</v>
      </c>
      <c r="F759" s="60"/>
      <c r="G759" s="92"/>
      <c r="H759" s="60"/>
      <c r="I759" s="60"/>
      <c r="J759" s="60"/>
      <c r="K759" s="71" t="str">
        <f>VLOOKUP(E759,'HEAD OF THE FAMILY'!$B$6:$J1851,9,FALSE)</f>
        <v>BLK 41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60">
        <f t="shared" si="3"/>
        <v>755</v>
      </c>
      <c r="B760" s="62" t="s">
        <v>2007</v>
      </c>
      <c r="C760" s="62" t="s">
        <v>2008</v>
      </c>
      <c r="D760" s="62" t="s">
        <v>494</v>
      </c>
      <c r="E760" s="62" t="s">
        <v>2009</v>
      </c>
      <c r="F760" s="60"/>
      <c r="G760" s="92"/>
      <c r="H760" s="60"/>
      <c r="I760" s="60"/>
      <c r="J760" s="60"/>
      <c r="K760" s="71" t="str">
        <f>VLOOKUP(E760,'HEAD OF THE FAMILY'!$B$6:$J1851,9,FALSE)</f>
        <v>BLK 41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60">
        <f t="shared" si="3"/>
        <v>756</v>
      </c>
      <c r="B761" s="62" t="s">
        <v>2010</v>
      </c>
      <c r="C761" s="62" t="s">
        <v>2012</v>
      </c>
      <c r="D761" s="62" t="s">
        <v>494</v>
      </c>
      <c r="E761" s="62" t="s">
        <v>2009</v>
      </c>
      <c r="F761" s="60"/>
      <c r="G761" s="92"/>
      <c r="H761" s="60"/>
      <c r="I761" s="60"/>
      <c r="J761" s="60"/>
      <c r="K761" s="71" t="str">
        <f>VLOOKUP(E761,'HEAD OF THE FAMILY'!$B$6:$J1851,9,FALSE)</f>
        <v>BLK 41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60">
        <f t="shared" si="3"/>
        <v>757</v>
      </c>
      <c r="B762" s="62" t="s">
        <v>109</v>
      </c>
      <c r="C762" s="62" t="s">
        <v>2014</v>
      </c>
      <c r="D762" s="105"/>
      <c r="E762" s="62" t="s">
        <v>1611</v>
      </c>
      <c r="F762" s="60"/>
      <c r="G762" s="92"/>
      <c r="H762" s="60"/>
      <c r="I762" s="60"/>
      <c r="J762" s="60"/>
      <c r="K762" s="71" t="str">
        <f>VLOOKUP(E762,'HEAD OF THE FAMILY'!$B$6:$J1851,9,FALSE)</f>
        <v>BLK 1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60">
        <f t="shared" si="3"/>
        <v>758</v>
      </c>
      <c r="B763" s="62" t="s">
        <v>2015</v>
      </c>
      <c r="C763" s="62" t="s">
        <v>2016</v>
      </c>
      <c r="D763" s="105"/>
      <c r="E763" s="62" t="s">
        <v>1625</v>
      </c>
      <c r="F763" s="60"/>
      <c r="G763" s="92"/>
      <c r="H763" s="60"/>
      <c r="I763" s="60"/>
      <c r="J763" s="60"/>
      <c r="K763" s="71" t="str">
        <f>VLOOKUP(E763,'HEAD OF THE FAMILY'!$B$6:$J1851,9,FALSE)</f>
        <v>BLK 1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60">
        <f t="shared" si="3"/>
        <v>759</v>
      </c>
      <c r="B764" s="62" t="s">
        <v>869</v>
      </c>
      <c r="C764" s="62" t="s">
        <v>1854</v>
      </c>
      <c r="D764" s="62" t="s">
        <v>71</v>
      </c>
      <c r="E764" s="62" t="s">
        <v>2018</v>
      </c>
      <c r="F764" s="60"/>
      <c r="G764" s="92"/>
      <c r="H764" s="60"/>
      <c r="I764" s="60"/>
      <c r="J764" s="60"/>
      <c r="K764" s="71" t="str">
        <f>VLOOKUP(E764,'HEAD OF THE FAMILY'!$B$6:$J1851,9,FALSE)</f>
        <v>BLOCK 4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60">
        <f t="shared" si="3"/>
        <v>760</v>
      </c>
      <c r="B765" s="62" t="s">
        <v>869</v>
      </c>
      <c r="C765" s="62" t="s">
        <v>1952</v>
      </c>
      <c r="D765" s="62" t="s">
        <v>71</v>
      </c>
      <c r="E765" s="62" t="s">
        <v>2018</v>
      </c>
      <c r="F765" s="60"/>
      <c r="G765" s="92"/>
      <c r="H765" s="60"/>
      <c r="I765" s="60"/>
      <c r="J765" s="60"/>
      <c r="K765" s="71" t="str">
        <f>VLOOKUP(E765,'HEAD OF THE FAMILY'!$B$6:$J1851,9,FALSE)</f>
        <v>BLOCK 4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60">
        <f t="shared" si="3"/>
        <v>761</v>
      </c>
      <c r="B766" s="62" t="s">
        <v>869</v>
      </c>
      <c r="C766" s="62" t="s">
        <v>1654</v>
      </c>
      <c r="D766" s="62" t="s">
        <v>71</v>
      </c>
      <c r="E766" s="62" t="s">
        <v>2018</v>
      </c>
      <c r="F766" s="60"/>
      <c r="G766" s="92"/>
      <c r="H766" s="60"/>
      <c r="I766" s="60"/>
      <c r="J766" s="60"/>
      <c r="K766" s="71" t="str">
        <f>VLOOKUP(E766,'HEAD OF THE FAMILY'!$B$6:$J1851,9,FALSE)</f>
        <v>BLOCK 4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60">
        <f t="shared" si="3"/>
        <v>762</v>
      </c>
      <c r="B767" s="62" t="s">
        <v>1344</v>
      </c>
      <c r="C767" s="62" t="s">
        <v>2022</v>
      </c>
      <c r="D767" s="105"/>
      <c r="E767" s="62" t="s">
        <v>2023</v>
      </c>
      <c r="F767" s="60"/>
      <c r="G767" s="92"/>
      <c r="H767" s="60"/>
      <c r="I767" s="60"/>
      <c r="J767" s="60"/>
      <c r="K767" s="71" t="str">
        <f>VLOOKUP(E767,'HEAD OF THE FAMILY'!$B$6:$J1851,9,FALSE)</f>
        <v>#N/A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60">
        <f t="shared" si="3"/>
        <v>763</v>
      </c>
      <c r="B768" s="62" t="s">
        <v>1344</v>
      </c>
      <c r="C768" s="62" t="s">
        <v>2026</v>
      </c>
      <c r="D768" s="105"/>
      <c r="E768" s="62" t="s">
        <v>1769</v>
      </c>
      <c r="F768" s="60"/>
      <c r="G768" s="92"/>
      <c r="H768" s="60"/>
      <c r="I768" s="60"/>
      <c r="J768" s="60"/>
      <c r="K768" s="71" t="str">
        <f>VLOOKUP(E768,'HEAD OF THE FAMILY'!$B$6:$J1851,9,FALSE)</f>
        <v>BLOCK 4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60">
        <f t="shared" si="3"/>
        <v>764</v>
      </c>
      <c r="B769" s="62" t="s">
        <v>869</v>
      </c>
      <c r="C769" s="62" t="s">
        <v>2027</v>
      </c>
      <c r="D769" s="105"/>
      <c r="E769" s="62" t="s">
        <v>833</v>
      </c>
      <c r="F769" s="60"/>
      <c r="G769" s="92"/>
      <c r="H769" s="60"/>
      <c r="I769" s="60"/>
      <c r="J769" s="60"/>
      <c r="K769" s="71" t="str">
        <f>VLOOKUP(E769,'HEAD OF THE FAMILY'!$B$6:$J1851,9,FALSE)</f>
        <v>BLK 5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60">
        <f t="shared" si="3"/>
        <v>765</v>
      </c>
      <c r="B770" s="62" t="s">
        <v>869</v>
      </c>
      <c r="C770" s="62" t="s">
        <v>2029</v>
      </c>
      <c r="D770" s="105"/>
      <c r="E770" s="62" t="s">
        <v>1796</v>
      </c>
      <c r="F770" s="60"/>
      <c r="G770" s="92"/>
      <c r="H770" s="60"/>
      <c r="I770" s="60"/>
      <c r="J770" s="60"/>
      <c r="K770" s="71" t="str">
        <f>VLOOKUP(E770,'HEAD OF THE FAMILY'!$B$6:$J1851,9,FALSE)</f>
        <v>BLOCK 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60">
        <f t="shared" si="3"/>
        <v>766</v>
      </c>
      <c r="B771" s="62" t="s">
        <v>869</v>
      </c>
      <c r="C771" s="62" t="s">
        <v>2032</v>
      </c>
      <c r="D771" s="105"/>
      <c r="E771" s="62" t="s">
        <v>322</v>
      </c>
      <c r="F771" s="60"/>
      <c r="G771" s="92"/>
      <c r="H771" s="60"/>
      <c r="I771" s="60"/>
      <c r="J771" s="60"/>
      <c r="K771" s="71" t="str">
        <f>VLOOKUP(E771,'HEAD OF THE FAMILY'!$B$6:$J1851,9,FALSE)</f>
        <v>BLOCK 4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60">
        <f t="shared" si="3"/>
        <v>767</v>
      </c>
      <c r="B772" s="62" t="s">
        <v>869</v>
      </c>
      <c r="C772" s="62" t="s">
        <v>2033</v>
      </c>
      <c r="D772" s="105"/>
      <c r="E772" s="62" t="s">
        <v>322</v>
      </c>
      <c r="F772" s="60"/>
      <c r="G772" s="92"/>
      <c r="H772" s="60"/>
      <c r="I772" s="60"/>
      <c r="J772" s="60"/>
      <c r="K772" s="71" t="str">
        <f>VLOOKUP(E772,'HEAD OF THE FAMILY'!$B$6:$J1851,9,FALSE)</f>
        <v>BLOCK 4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60">
        <f t="shared" si="3"/>
        <v>768</v>
      </c>
      <c r="B773" s="62" t="s">
        <v>869</v>
      </c>
      <c r="C773" s="62" t="s">
        <v>870</v>
      </c>
      <c r="D773" s="105"/>
      <c r="E773" s="62" t="s">
        <v>322</v>
      </c>
      <c r="F773" s="60"/>
      <c r="G773" s="92"/>
      <c r="H773" s="60"/>
      <c r="I773" s="60"/>
      <c r="J773" s="60"/>
      <c r="K773" s="71" t="str">
        <f>VLOOKUP(E773,'HEAD OF THE FAMILY'!$B$6:$J1851,9,FALSE)</f>
        <v>BLOCK 4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60">
        <f t="shared" si="3"/>
        <v>769</v>
      </c>
      <c r="B774" s="62" t="s">
        <v>2035</v>
      </c>
      <c r="C774" s="62" t="s">
        <v>2036</v>
      </c>
      <c r="D774" s="105"/>
      <c r="E774" s="62" t="s">
        <v>1936</v>
      </c>
      <c r="F774" s="60"/>
      <c r="G774" s="92"/>
      <c r="H774" s="60"/>
      <c r="I774" s="60"/>
      <c r="J774" s="60"/>
      <c r="K774" s="71" t="str">
        <f>VLOOKUP(E774,'HEAD OF THE FAMILY'!$B$6:$J1851,9,FALSE)</f>
        <v>BLK 41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60">
        <f t="shared" si="3"/>
        <v>770</v>
      </c>
      <c r="B775" s="62" t="s">
        <v>2038</v>
      </c>
      <c r="C775" s="62" t="s">
        <v>2039</v>
      </c>
      <c r="D775" s="105"/>
      <c r="E775" s="62" t="s">
        <v>2040</v>
      </c>
      <c r="F775" s="60"/>
      <c r="G775" s="92"/>
      <c r="H775" s="60"/>
      <c r="I775" s="60"/>
      <c r="J775" s="60"/>
      <c r="K775" s="71" t="str">
        <f>VLOOKUP(E775,'HEAD OF THE FAMILY'!$B$6:$J1851,9,FALSE)</f>
        <v>BLOCK 4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60">
        <f t="shared" si="3"/>
        <v>771</v>
      </c>
      <c r="B776" s="62" t="s">
        <v>2038</v>
      </c>
      <c r="C776" s="62" t="s">
        <v>2042</v>
      </c>
      <c r="D776" s="105"/>
      <c r="E776" s="62" t="s">
        <v>2040</v>
      </c>
      <c r="F776" s="60"/>
      <c r="G776" s="92"/>
      <c r="H776" s="60"/>
      <c r="I776" s="60"/>
      <c r="J776" s="60"/>
      <c r="K776" s="71" t="str">
        <f>VLOOKUP(E776,'HEAD OF THE FAMILY'!$B$6:$J1851,9,FALSE)</f>
        <v>BLOCK 4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60">
        <f t="shared" si="3"/>
        <v>772</v>
      </c>
      <c r="B777" s="62" t="s">
        <v>2044</v>
      </c>
      <c r="C777" s="62" t="s">
        <v>2045</v>
      </c>
      <c r="D777" s="62" t="s">
        <v>469</v>
      </c>
      <c r="E777" s="62" t="s">
        <v>2046</v>
      </c>
      <c r="F777" s="60"/>
      <c r="G777" s="92"/>
      <c r="H777" s="60"/>
      <c r="I777" s="60"/>
      <c r="J777" s="60"/>
      <c r="K777" s="71" t="str">
        <f>VLOOKUP(E777,'HEAD OF THE FAMILY'!$B$6:$J1851,9,FALSE)</f>
        <v>BLOCK 4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60">
        <f t="shared" si="3"/>
        <v>773</v>
      </c>
      <c r="B778" s="62" t="s">
        <v>2048</v>
      </c>
      <c r="C778" s="62" t="s">
        <v>2049</v>
      </c>
      <c r="D778" s="62" t="s">
        <v>469</v>
      </c>
      <c r="E778" s="62" t="s">
        <v>2046</v>
      </c>
      <c r="F778" s="60"/>
      <c r="G778" s="92"/>
      <c r="H778" s="60"/>
      <c r="I778" s="60"/>
      <c r="J778" s="60"/>
      <c r="K778" s="71" t="str">
        <f>VLOOKUP(E778,'HEAD OF THE FAMILY'!$B$6:$J1851,9,FALSE)</f>
        <v>BLOCK 4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60">
        <f t="shared" si="3"/>
        <v>774</v>
      </c>
      <c r="B779" s="62" t="s">
        <v>2044</v>
      </c>
      <c r="C779" s="62" t="s">
        <v>2052</v>
      </c>
      <c r="D779" s="62" t="s">
        <v>469</v>
      </c>
      <c r="E779" s="62" t="s">
        <v>2046</v>
      </c>
      <c r="F779" s="60"/>
      <c r="G779" s="92"/>
      <c r="H779" s="60"/>
      <c r="I779" s="60"/>
      <c r="J779" s="60"/>
      <c r="K779" s="71" t="str">
        <f>VLOOKUP(E779,'HEAD OF THE FAMILY'!$B$6:$J1851,9,FALSE)</f>
        <v>BLOCK 4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60">
        <f t="shared" si="3"/>
        <v>775</v>
      </c>
      <c r="B780" s="62" t="s">
        <v>1292</v>
      </c>
      <c r="C780" s="62" t="s">
        <v>2053</v>
      </c>
      <c r="D780" s="62" t="s">
        <v>469</v>
      </c>
      <c r="E780" s="62" t="s">
        <v>2046</v>
      </c>
      <c r="F780" s="60"/>
      <c r="G780" s="92"/>
      <c r="H780" s="60"/>
      <c r="I780" s="60"/>
      <c r="J780" s="60"/>
      <c r="K780" s="71" t="str">
        <f>VLOOKUP(E780,'HEAD OF THE FAMILY'!$B$6:$J1851,9,FALSE)</f>
        <v>BLOCK 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60">
        <f t="shared" si="3"/>
        <v>776</v>
      </c>
      <c r="B781" s="62" t="s">
        <v>2038</v>
      </c>
      <c r="C781" s="62" t="s">
        <v>2042</v>
      </c>
      <c r="D781" s="105"/>
      <c r="E781" s="62" t="s">
        <v>2046</v>
      </c>
      <c r="F781" s="60"/>
      <c r="G781" s="92"/>
      <c r="H781" s="60"/>
      <c r="I781" s="60"/>
      <c r="J781" s="60"/>
      <c r="K781" s="71" t="str">
        <f>VLOOKUP(E781,'HEAD OF THE FAMILY'!$B$6:$J1851,9,FALSE)</f>
        <v>BLOCK 4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60">
        <f t="shared" si="3"/>
        <v>777</v>
      </c>
      <c r="B782" s="62" t="s">
        <v>2056</v>
      </c>
      <c r="C782" s="62" t="s">
        <v>2057</v>
      </c>
      <c r="D782" s="105"/>
      <c r="E782" s="62" t="s">
        <v>983</v>
      </c>
      <c r="F782" s="60"/>
      <c r="G782" s="92"/>
      <c r="H782" s="60"/>
      <c r="I782" s="60"/>
      <c r="J782" s="60"/>
      <c r="K782" s="71" t="str">
        <f>VLOOKUP(E782,'HEAD OF THE FAMILY'!$B$6:$J1851,9,FALSE)</f>
        <v>BLOCK 4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60">
        <f t="shared" si="3"/>
        <v>778</v>
      </c>
      <c r="B783" s="62" t="s">
        <v>2059</v>
      </c>
      <c r="C783" s="62" t="s">
        <v>2060</v>
      </c>
      <c r="D783" s="62" t="s">
        <v>85</v>
      </c>
      <c r="E783" s="62" t="s">
        <v>2061</v>
      </c>
      <c r="F783" s="60"/>
      <c r="G783" s="92"/>
      <c r="H783" s="60"/>
      <c r="I783" s="60"/>
      <c r="J783" s="60"/>
      <c r="K783" s="71" t="str">
        <f>VLOOKUP(E783,'HEAD OF THE FAMILY'!$B$6:$J1851,9,FALSE)</f>
        <v>BLOCK 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60">
        <f t="shared" si="3"/>
        <v>779</v>
      </c>
      <c r="B784" s="62" t="s">
        <v>2063</v>
      </c>
      <c r="C784" s="62" t="s">
        <v>2064</v>
      </c>
      <c r="D784" s="62" t="s">
        <v>200</v>
      </c>
      <c r="E784" s="62" t="s">
        <v>2065</v>
      </c>
      <c r="F784" s="60"/>
      <c r="G784" s="92"/>
      <c r="H784" s="60"/>
      <c r="I784" s="60"/>
      <c r="J784" s="60"/>
      <c r="K784" s="71" t="str">
        <f>VLOOKUP(E784,'HEAD OF THE FAMILY'!$B$6:$J1851,9,FALSE)</f>
        <v>BLOCK 4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60">
        <f t="shared" si="3"/>
        <v>780</v>
      </c>
      <c r="B785" s="62" t="s">
        <v>2059</v>
      </c>
      <c r="C785" s="62" t="s">
        <v>2067</v>
      </c>
      <c r="D785" s="105"/>
      <c r="E785" s="62" t="s">
        <v>2068</v>
      </c>
      <c r="F785" s="60"/>
      <c r="G785" s="92"/>
      <c r="H785" s="60"/>
      <c r="I785" s="60"/>
      <c r="J785" s="60"/>
      <c r="K785" s="71" t="str">
        <f>VLOOKUP(E785,'HEAD OF THE FAMILY'!$B$6:$J1851,9,FALSE)</f>
        <v>BLOCK 4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60">
        <f t="shared" si="3"/>
        <v>781</v>
      </c>
      <c r="B786" s="62" t="s">
        <v>2069</v>
      </c>
      <c r="C786" s="62" t="s">
        <v>2070</v>
      </c>
      <c r="D786" s="62" t="s">
        <v>2071</v>
      </c>
      <c r="E786" s="62" t="s">
        <v>1176</v>
      </c>
      <c r="F786" s="60"/>
      <c r="G786" s="92"/>
      <c r="H786" s="60"/>
      <c r="I786" s="60"/>
      <c r="J786" s="60"/>
      <c r="K786" s="71" t="str">
        <f>VLOOKUP(E786,'HEAD OF THE FAMILY'!$B$6:$J1851,9,FALSE)</f>
        <v>BLOCK 4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60">
        <f t="shared" si="3"/>
        <v>782</v>
      </c>
      <c r="B787" s="62" t="s">
        <v>498</v>
      </c>
      <c r="C787" s="62" t="s">
        <v>2073</v>
      </c>
      <c r="D787" s="105"/>
      <c r="E787" s="62" t="s">
        <v>228</v>
      </c>
      <c r="F787" s="60"/>
      <c r="G787" s="92"/>
      <c r="H787" s="60"/>
      <c r="I787" s="60"/>
      <c r="J787" s="60"/>
      <c r="K787" s="71" t="str">
        <f>VLOOKUP(E787,'HEAD OF THE FAMILY'!$B$6:$J1851,9,FALSE)</f>
        <v>BLOCK 4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60">
        <f t="shared" si="3"/>
        <v>783</v>
      </c>
      <c r="B788" s="62" t="s">
        <v>498</v>
      </c>
      <c r="C788" s="62" t="s">
        <v>893</v>
      </c>
      <c r="D788" s="105"/>
      <c r="E788" s="62" t="s">
        <v>228</v>
      </c>
      <c r="F788" s="60"/>
      <c r="G788" s="92"/>
      <c r="H788" s="60"/>
      <c r="I788" s="60"/>
      <c r="J788" s="60"/>
      <c r="K788" s="71" t="str">
        <f>VLOOKUP(E788,'HEAD OF THE FAMILY'!$B$6:$J1851,9,FALSE)</f>
        <v>BLOCK 4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60">
        <f t="shared" si="3"/>
        <v>784</v>
      </c>
      <c r="B789" s="62" t="s">
        <v>498</v>
      </c>
      <c r="C789" s="62" t="s">
        <v>2076</v>
      </c>
      <c r="D789" s="105"/>
      <c r="E789" s="62" t="s">
        <v>228</v>
      </c>
      <c r="F789" s="60"/>
      <c r="G789" s="92"/>
      <c r="H789" s="60"/>
      <c r="I789" s="60"/>
      <c r="J789" s="60"/>
      <c r="K789" s="71" t="str">
        <f>VLOOKUP(E789,'HEAD OF THE FAMILY'!$B$6:$J1851,9,FALSE)</f>
        <v>BLOCK 4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60">
        <f t="shared" si="3"/>
        <v>785</v>
      </c>
      <c r="B790" s="62" t="s">
        <v>498</v>
      </c>
      <c r="C790" s="62" t="s">
        <v>2077</v>
      </c>
      <c r="D790" s="62" t="s">
        <v>95</v>
      </c>
      <c r="E790" s="62" t="s">
        <v>2078</v>
      </c>
      <c r="F790" s="60"/>
      <c r="G790" s="92"/>
      <c r="H790" s="60"/>
      <c r="I790" s="60"/>
      <c r="J790" s="60"/>
      <c r="K790" s="71" t="str">
        <f>VLOOKUP(E790,'HEAD OF THE FAMILY'!$B$6:$J1851,9,FALSE)</f>
        <v>BLOCK 4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60">
        <f t="shared" si="3"/>
        <v>786</v>
      </c>
      <c r="B791" s="62" t="s">
        <v>498</v>
      </c>
      <c r="C791" s="62" t="s">
        <v>2080</v>
      </c>
      <c r="D791" s="62" t="s">
        <v>95</v>
      </c>
      <c r="E791" s="62" t="s">
        <v>2078</v>
      </c>
      <c r="F791" s="60"/>
      <c r="G791" s="92"/>
      <c r="H791" s="60"/>
      <c r="I791" s="60"/>
      <c r="J791" s="60"/>
      <c r="K791" s="71" t="str">
        <f>VLOOKUP(E791,'HEAD OF THE FAMILY'!$B$6:$J1851,9,FALSE)</f>
        <v>BLOCK 4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60">
        <f t="shared" si="3"/>
        <v>787</v>
      </c>
      <c r="B792" s="62" t="s">
        <v>498</v>
      </c>
      <c r="C792" s="62" t="s">
        <v>1850</v>
      </c>
      <c r="D792" s="105"/>
      <c r="E792" s="62" t="s">
        <v>587</v>
      </c>
      <c r="F792" s="60"/>
      <c r="G792" s="92"/>
      <c r="H792" s="60"/>
      <c r="I792" s="60"/>
      <c r="J792" s="60"/>
      <c r="K792" s="71" t="str">
        <f>VLOOKUP(E792,'HEAD OF THE FAMILY'!$B$6:$J1851,9,FALSE)</f>
        <v>BLOCK 4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60">
        <f t="shared" si="3"/>
        <v>788</v>
      </c>
      <c r="B793" s="62" t="s">
        <v>498</v>
      </c>
      <c r="C793" s="62" t="s">
        <v>2081</v>
      </c>
      <c r="D793" s="105"/>
      <c r="E793" s="62" t="s">
        <v>2082</v>
      </c>
      <c r="F793" s="60"/>
      <c r="G793" s="92"/>
      <c r="H793" s="60"/>
      <c r="I793" s="60"/>
      <c r="J793" s="60"/>
      <c r="K793" s="71" t="str">
        <f>VLOOKUP(E793,'HEAD OF THE FAMILY'!$B$6:$J1851,9,FALSE)</f>
        <v>BLOCK 4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60">
        <f t="shared" si="3"/>
        <v>789</v>
      </c>
      <c r="B794" s="62" t="s">
        <v>498</v>
      </c>
      <c r="C794" s="62" t="s">
        <v>2084</v>
      </c>
      <c r="D794" s="62" t="s">
        <v>494</v>
      </c>
      <c r="E794" s="62" t="s">
        <v>2085</v>
      </c>
      <c r="F794" s="60"/>
      <c r="G794" s="92"/>
      <c r="H794" s="60"/>
      <c r="I794" s="60"/>
      <c r="J794" s="60"/>
      <c r="K794" s="71" t="str">
        <f>VLOOKUP(E794,'HEAD OF THE FAMILY'!$B$6:$J1851,9,FALSE)</f>
        <v>BLOCK 4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60">
        <f t="shared" si="3"/>
        <v>790</v>
      </c>
      <c r="B795" s="62" t="s">
        <v>498</v>
      </c>
      <c r="C795" s="62" t="s">
        <v>2087</v>
      </c>
      <c r="D795" s="62" t="s">
        <v>494</v>
      </c>
      <c r="E795" s="62" t="s">
        <v>2085</v>
      </c>
      <c r="F795" s="60"/>
      <c r="G795" s="92"/>
      <c r="H795" s="60"/>
      <c r="I795" s="60"/>
      <c r="J795" s="60"/>
      <c r="K795" s="71" t="str">
        <f>VLOOKUP(E795,'HEAD OF THE FAMILY'!$B$6:$J1851,9,FALSE)</f>
        <v>BLOCK 4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60">
        <f t="shared" si="3"/>
        <v>791</v>
      </c>
      <c r="B796" s="62" t="s">
        <v>498</v>
      </c>
      <c r="C796" s="62" t="s">
        <v>2089</v>
      </c>
      <c r="D796" s="62" t="s">
        <v>494</v>
      </c>
      <c r="E796" s="62" t="s">
        <v>2085</v>
      </c>
      <c r="F796" s="60"/>
      <c r="G796" s="92"/>
      <c r="H796" s="60"/>
      <c r="I796" s="60"/>
      <c r="J796" s="60"/>
      <c r="K796" s="71" t="str">
        <f>VLOOKUP(E796,'HEAD OF THE FAMILY'!$B$6:$J1851,9,FALSE)</f>
        <v>BLOCK 4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60">
        <f t="shared" si="3"/>
        <v>792</v>
      </c>
      <c r="B797" s="62" t="s">
        <v>2090</v>
      </c>
      <c r="C797" s="62" t="s">
        <v>2091</v>
      </c>
      <c r="D797" s="105"/>
      <c r="E797" s="62" t="s">
        <v>1243</v>
      </c>
      <c r="F797" s="60"/>
      <c r="G797" s="92"/>
      <c r="H797" s="60"/>
      <c r="I797" s="60"/>
      <c r="J797" s="60"/>
      <c r="K797" s="71" t="str">
        <f>VLOOKUP(E797,'HEAD OF THE FAMILY'!$B$6:$J1851,9,FALSE)</f>
        <v>BLOCK 4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60">
        <f t="shared" si="3"/>
        <v>793</v>
      </c>
      <c r="B798" s="62" t="s">
        <v>2092</v>
      </c>
      <c r="C798" s="62" t="s">
        <v>2093</v>
      </c>
      <c r="D798" s="105"/>
      <c r="E798" s="62" t="s">
        <v>133</v>
      </c>
      <c r="F798" s="60"/>
      <c r="G798" s="92"/>
      <c r="H798" s="60"/>
      <c r="I798" s="60"/>
      <c r="J798" s="60"/>
      <c r="K798" s="71" t="str">
        <f>VLOOKUP(E798,'HEAD OF THE FAMILY'!$B$6:$J1851,9,FALSE)</f>
        <v>BLOCK 4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60">
        <f t="shared" si="3"/>
        <v>794</v>
      </c>
      <c r="B799" s="62" t="s">
        <v>2095</v>
      </c>
      <c r="C799" s="62" t="s">
        <v>2096</v>
      </c>
      <c r="D799" s="105"/>
      <c r="E799" s="62" t="s">
        <v>133</v>
      </c>
      <c r="F799" s="60"/>
      <c r="G799" s="92"/>
      <c r="H799" s="60"/>
      <c r="I799" s="60"/>
      <c r="J799" s="60"/>
      <c r="K799" s="71" t="str">
        <f>VLOOKUP(E799,'HEAD OF THE FAMILY'!$B$6:$J1851,9,FALSE)</f>
        <v>BLOCK 4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60">
        <f t="shared" si="3"/>
        <v>795</v>
      </c>
      <c r="B800" s="62" t="s">
        <v>2098</v>
      </c>
      <c r="C800" s="62" t="s">
        <v>2099</v>
      </c>
      <c r="D800" s="62" t="s">
        <v>58</v>
      </c>
      <c r="E800" s="62" t="s">
        <v>960</v>
      </c>
      <c r="F800" s="60"/>
      <c r="G800" s="92"/>
      <c r="H800" s="60"/>
      <c r="I800" s="60"/>
      <c r="J800" s="60"/>
      <c r="K800" s="71" t="str">
        <f>VLOOKUP(E800,'HEAD OF THE FAMILY'!$B$6:$J1851,9,FALSE)</f>
        <v>BLOCK 4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60">
        <f t="shared" si="3"/>
        <v>796</v>
      </c>
      <c r="B801" s="62" t="s">
        <v>2098</v>
      </c>
      <c r="C801" s="62" t="s">
        <v>2100</v>
      </c>
      <c r="D801" s="62" t="s">
        <v>58</v>
      </c>
      <c r="E801" s="62" t="s">
        <v>960</v>
      </c>
      <c r="F801" s="60"/>
      <c r="G801" s="92"/>
      <c r="H801" s="60"/>
      <c r="I801" s="60"/>
      <c r="J801" s="60"/>
      <c r="K801" s="71" t="str">
        <f>VLOOKUP(E801,'HEAD OF THE FAMILY'!$B$6:$J1851,9,FALSE)</f>
        <v>BLOCK 4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60">
        <f t="shared" si="3"/>
        <v>797</v>
      </c>
      <c r="B802" s="62" t="s">
        <v>2098</v>
      </c>
      <c r="C802" s="62" t="s">
        <v>2102</v>
      </c>
      <c r="D802" s="62" t="s">
        <v>58</v>
      </c>
      <c r="E802" s="62" t="s">
        <v>960</v>
      </c>
      <c r="F802" s="60"/>
      <c r="G802" s="92"/>
      <c r="H802" s="60"/>
      <c r="I802" s="60"/>
      <c r="J802" s="60"/>
      <c r="K802" s="71" t="str">
        <f>VLOOKUP(E802,'HEAD OF THE FAMILY'!$B$6:$J1851,9,FALSE)</f>
        <v>BLOCK 4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60">
        <f t="shared" si="3"/>
        <v>798</v>
      </c>
      <c r="B803" s="62" t="s">
        <v>2104</v>
      </c>
      <c r="C803" s="62" t="s">
        <v>1500</v>
      </c>
      <c r="D803" s="105"/>
      <c r="E803" s="62" t="s">
        <v>638</v>
      </c>
      <c r="F803" s="60"/>
      <c r="G803" s="92"/>
      <c r="H803" s="60"/>
      <c r="I803" s="60"/>
      <c r="J803" s="60"/>
      <c r="K803" s="71" t="str">
        <f>VLOOKUP(E803,'HEAD OF THE FAMILY'!$B$6:$J1851,9,FALSE)</f>
        <v>BLOCK 4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60">
        <f t="shared" si="3"/>
        <v>799</v>
      </c>
      <c r="B804" s="62" t="s">
        <v>2104</v>
      </c>
      <c r="C804" s="62" t="s">
        <v>2105</v>
      </c>
      <c r="D804" s="105"/>
      <c r="E804" s="62" t="s">
        <v>1805</v>
      </c>
      <c r="F804" s="60"/>
      <c r="G804" s="92"/>
      <c r="H804" s="60"/>
      <c r="I804" s="60"/>
      <c r="J804" s="60"/>
      <c r="K804" s="71" t="str">
        <f>VLOOKUP(E804,'HEAD OF THE FAMILY'!$B$6:$J1851,9,FALSE)</f>
        <v>BLOCK 4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60">
        <f t="shared" si="3"/>
        <v>800</v>
      </c>
      <c r="B805" s="62" t="s">
        <v>2104</v>
      </c>
      <c r="C805" s="62" t="s">
        <v>2106</v>
      </c>
      <c r="D805" s="62" t="s">
        <v>494</v>
      </c>
      <c r="E805" s="62" t="s">
        <v>219</v>
      </c>
      <c r="F805" s="60"/>
      <c r="G805" s="92"/>
      <c r="H805" s="60"/>
      <c r="I805" s="60"/>
      <c r="J805" s="60"/>
      <c r="K805" s="71" t="str">
        <f>VLOOKUP(E805,'HEAD OF THE FAMILY'!$B$6:$J1851,9,FALSE)</f>
        <v>BLOCK 4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60">
        <f t="shared" si="3"/>
        <v>801</v>
      </c>
      <c r="B806" s="62" t="s">
        <v>2104</v>
      </c>
      <c r="C806" s="62" t="s">
        <v>2107</v>
      </c>
      <c r="D806" s="62" t="s">
        <v>494</v>
      </c>
      <c r="E806" s="62" t="s">
        <v>219</v>
      </c>
      <c r="F806" s="60"/>
      <c r="G806" s="92"/>
      <c r="H806" s="60"/>
      <c r="I806" s="60"/>
      <c r="J806" s="60"/>
      <c r="K806" s="71" t="str">
        <f>VLOOKUP(E806,'HEAD OF THE FAMILY'!$B$6:$J1851,9,FALSE)</f>
        <v>BLOCK 4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60">
        <f t="shared" si="3"/>
        <v>802</v>
      </c>
      <c r="B807" s="62" t="s">
        <v>2104</v>
      </c>
      <c r="C807" s="62" t="s">
        <v>2110</v>
      </c>
      <c r="D807" s="105"/>
      <c r="E807" s="62" t="s">
        <v>219</v>
      </c>
      <c r="F807" s="60"/>
      <c r="G807" s="92"/>
      <c r="H807" s="60"/>
      <c r="I807" s="60"/>
      <c r="J807" s="60"/>
      <c r="K807" s="71" t="str">
        <f>VLOOKUP(E807,'HEAD OF THE FAMILY'!$B$6:$J1851,9,FALSE)</f>
        <v>BLOCK 4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60">
        <f t="shared" si="3"/>
        <v>803</v>
      </c>
      <c r="B808" s="62" t="s">
        <v>598</v>
      </c>
      <c r="C808" s="62" t="s">
        <v>2111</v>
      </c>
      <c r="D808" s="62" t="s">
        <v>894</v>
      </c>
      <c r="E808" s="62" t="s">
        <v>2112</v>
      </c>
      <c r="F808" s="60"/>
      <c r="G808" s="92"/>
      <c r="H808" s="60"/>
      <c r="I808" s="60"/>
      <c r="J808" s="60"/>
      <c r="K808" s="71" t="str">
        <f>VLOOKUP(E808,'HEAD OF THE FAMILY'!$B$6:$J1851,9,FALSE)</f>
        <v>BLK 45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60">
        <f t="shared" si="3"/>
        <v>804</v>
      </c>
      <c r="B809" s="62" t="s">
        <v>2114</v>
      </c>
      <c r="C809" s="62" t="s">
        <v>2033</v>
      </c>
      <c r="D809" s="62" t="s">
        <v>329</v>
      </c>
      <c r="E809" s="62" t="s">
        <v>98</v>
      </c>
      <c r="F809" s="60"/>
      <c r="G809" s="92"/>
      <c r="H809" s="60"/>
      <c r="I809" s="60"/>
      <c r="J809" s="60"/>
      <c r="K809" s="71" t="str">
        <f>VLOOKUP(E809,'HEAD OF THE FAMILY'!$B$6:$J1851,9,FALSE)</f>
        <v>BLOCK 4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60">
        <f t="shared" si="3"/>
        <v>805</v>
      </c>
      <c r="B810" s="62" t="s">
        <v>2116</v>
      </c>
      <c r="C810" s="62" t="s">
        <v>2117</v>
      </c>
      <c r="D810" s="62" t="s">
        <v>329</v>
      </c>
      <c r="E810" s="62" t="s">
        <v>98</v>
      </c>
      <c r="F810" s="60"/>
      <c r="G810" s="92"/>
      <c r="H810" s="60"/>
      <c r="I810" s="60"/>
      <c r="J810" s="60"/>
      <c r="K810" s="71" t="str">
        <f>VLOOKUP(E810,'HEAD OF THE FAMILY'!$B$6:$J1851,9,FALSE)</f>
        <v>BLOCK 4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60">
        <f t="shared" si="3"/>
        <v>806</v>
      </c>
      <c r="B811" s="62" t="s">
        <v>2114</v>
      </c>
      <c r="C811" s="62" t="s">
        <v>2118</v>
      </c>
      <c r="D811" s="62" t="s">
        <v>329</v>
      </c>
      <c r="E811" s="62" t="s">
        <v>98</v>
      </c>
      <c r="F811" s="60"/>
      <c r="G811" s="92"/>
      <c r="H811" s="60"/>
      <c r="I811" s="60"/>
      <c r="J811" s="60"/>
      <c r="K811" s="71" t="str">
        <f>VLOOKUP(E811,'HEAD OF THE FAMILY'!$B$6:$J1851,9,FALSE)</f>
        <v>BLOCK 4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60">
        <f t="shared" si="3"/>
        <v>807</v>
      </c>
      <c r="B812" s="62" t="s">
        <v>2114</v>
      </c>
      <c r="C812" s="62" t="s">
        <v>2120</v>
      </c>
      <c r="D812" s="105"/>
      <c r="E812" s="62" t="s">
        <v>98</v>
      </c>
      <c r="F812" s="60"/>
      <c r="G812" s="92"/>
      <c r="H812" s="60"/>
      <c r="I812" s="60"/>
      <c r="J812" s="60"/>
      <c r="K812" s="71" t="str">
        <f>VLOOKUP(E812,'HEAD OF THE FAMILY'!$B$6:$J1851,9,FALSE)</f>
        <v>BLOCK 4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60">
        <f t="shared" si="3"/>
        <v>808</v>
      </c>
      <c r="B813" s="62" t="s">
        <v>2121</v>
      </c>
      <c r="C813" s="62" t="s">
        <v>2122</v>
      </c>
      <c r="D813" s="105"/>
      <c r="E813" s="62" t="s">
        <v>2123</v>
      </c>
      <c r="F813" s="60"/>
      <c r="G813" s="92"/>
      <c r="H813" s="60"/>
      <c r="I813" s="60"/>
      <c r="J813" s="60"/>
      <c r="K813" s="71" t="str">
        <f>VLOOKUP(E813,'HEAD OF THE FAMILY'!$B$6:$J1851,9,FALSE)</f>
        <v>BLOCK 4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60">
        <f t="shared" si="3"/>
        <v>809</v>
      </c>
      <c r="B814" s="62" t="s">
        <v>2098</v>
      </c>
      <c r="C814" s="62" t="s">
        <v>2124</v>
      </c>
      <c r="D814" s="105"/>
      <c r="E814" s="62" t="s">
        <v>1228</v>
      </c>
      <c r="F814" s="60"/>
      <c r="G814" s="92"/>
      <c r="H814" s="60"/>
      <c r="I814" s="60"/>
      <c r="J814" s="60"/>
      <c r="K814" s="71" t="str">
        <f>VLOOKUP(E814,'HEAD OF THE FAMILY'!$B$6:$J1851,9,FALSE)</f>
        <v>BLOCK 4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60">
        <f t="shared" si="3"/>
        <v>810</v>
      </c>
      <c r="B815" s="62" t="s">
        <v>2098</v>
      </c>
      <c r="C815" s="62" t="s">
        <v>2126</v>
      </c>
      <c r="D815" s="105"/>
      <c r="E815" s="62" t="s">
        <v>1228</v>
      </c>
      <c r="F815" s="60"/>
      <c r="G815" s="92"/>
      <c r="H815" s="60"/>
      <c r="I815" s="60"/>
      <c r="J815" s="60"/>
      <c r="K815" s="71" t="str">
        <f>VLOOKUP(E815,'HEAD OF THE FAMILY'!$B$6:$J1851,9,FALSE)</f>
        <v>BLOCK 4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60">
        <f t="shared" si="3"/>
        <v>811</v>
      </c>
      <c r="B816" s="62" t="s">
        <v>2127</v>
      </c>
      <c r="C816" s="62" t="s">
        <v>2128</v>
      </c>
      <c r="D816" s="62" t="s">
        <v>1883</v>
      </c>
      <c r="E816" s="62" t="s">
        <v>1383</v>
      </c>
      <c r="F816" s="60"/>
      <c r="G816" s="92"/>
      <c r="H816" s="60"/>
      <c r="I816" s="60"/>
      <c r="J816" s="60"/>
      <c r="K816" s="71" t="str">
        <f>VLOOKUP(E816,'HEAD OF THE FAMILY'!$B$6:$J1851,9,FALSE)</f>
        <v>BLOCK 4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60">
        <f t="shared" si="3"/>
        <v>812</v>
      </c>
      <c r="B817" s="62" t="s">
        <v>2127</v>
      </c>
      <c r="C817" s="62" t="s">
        <v>2129</v>
      </c>
      <c r="D817" s="62" t="s">
        <v>1883</v>
      </c>
      <c r="E817" s="62" t="s">
        <v>1383</v>
      </c>
      <c r="F817" s="60"/>
      <c r="G817" s="92"/>
      <c r="H817" s="60"/>
      <c r="I817" s="60"/>
      <c r="J817" s="60"/>
      <c r="K817" s="71" t="str">
        <f>VLOOKUP(E817,'HEAD OF THE FAMILY'!$B$6:$J1851,9,FALSE)</f>
        <v>BLOCK 4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60">
        <f t="shared" ref="A818:A820" si="4">IF(B912="","",ROW()-5)</f>
        <v>813</v>
      </c>
      <c r="B818" s="132" t="s">
        <v>2131</v>
      </c>
      <c r="C818" s="132" t="s">
        <v>2132</v>
      </c>
      <c r="D818" s="105"/>
      <c r="E818" s="62" t="s">
        <v>1195</v>
      </c>
      <c r="F818" s="60"/>
      <c r="G818" s="92"/>
      <c r="H818" s="60"/>
      <c r="I818" s="60"/>
      <c r="J818" s="60"/>
      <c r="K818" s="71" t="str">
        <f>VLOOKUP(E818,'HEAD OF THE FAMILY'!$B$6:$J1851,9,FALSE)</f>
        <v>BLOCK 4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60">
        <f t="shared" si="4"/>
        <v>814</v>
      </c>
      <c r="B819" s="132" t="s">
        <v>2131</v>
      </c>
      <c r="C819" s="132" t="s">
        <v>2133</v>
      </c>
      <c r="D819" s="105"/>
      <c r="E819" s="62" t="s">
        <v>1195</v>
      </c>
      <c r="F819" s="71" t="s">
        <v>172</v>
      </c>
      <c r="G819" s="92"/>
      <c r="H819" s="60"/>
      <c r="I819" s="60"/>
      <c r="J819" s="60"/>
      <c r="K819" s="71" t="str">
        <f>VLOOKUP(E819,'HEAD OF THE FAMILY'!$B$6:$J1851,9,FALSE)</f>
        <v>BLOCK 4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60">
        <f t="shared" si="4"/>
        <v>815</v>
      </c>
      <c r="B820" s="132" t="s">
        <v>2131</v>
      </c>
      <c r="C820" s="132" t="s">
        <v>2135</v>
      </c>
      <c r="D820" s="105"/>
      <c r="E820" s="62" t="s">
        <v>1195</v>
      </c>
      <c r="F820" s="60"/>
      <c r="G820" s="92"/>
      <c r="H820" s="60"/>
      <c r="I820" s="60"/>
      <c r="J820" s="60"/>
      <c r="K820" s="71" t="str">
        <f>VLOOKUP(E820,'HEAD OF THE FAMILY'!$B$6:$J1851,9,FALSE)</f>
        <v>BLOCK 4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60">
        <f t="shared" ref="A821:A1851" si="5">IF(B821="","",ROW()-5)</f>
        <v>816</v>
      </c>
      <c r="B821" s="62" t="s">
        <v>2098</v>
      </c>
      <c r="C821" s="62" t="s">
        <v>2137</v>
      </c>
      <c r="D821" s="62" t="s">
        <v>2138</v>
      </c>
      <c r="E821" s="62" t="s">
        <v>944</v>
      </c>
      <c r="F821" s="60"/>
      <c r="G821" s="92"/>
      <c r="H821" s="60"/>
      <c r="I821" s="60"/>
      <c r="J821" s="60"/>
      <c r="K821" s="71" t="str">
        <f>VLOOKUP(E821,'HEAD OF THE FAMILY'!$B$6:$J1851,9,FALSE)</f>
        <v>BLOCK 4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60">
        <f t="shared" si="5"/>
        <v>817</v>
      </c>
      <c r="B822" s="62" t="s">
        <v>2098</v>
      </c>
      <c r="C822" s="62" t="s">
        <v>2140</v>
      </c>
      <c r="D822" s="62" t="s">
        <v>2138</v>
      </c>
      <c r="E822" s="62" t="s">
        <v>944</v>
      </c>
      <c r="F822" s="60"/>
      <c r="G822" s="92"/>
      <c r="H822" s="60"/>
      <c r="I822" s="60"/>
      <c r="J822" s="60"/>
      <c r="K822" s="71" t="str">
        <f>VLOOKUP(E822,'HEAD OF THE FAMILY'!$B$6:$J1851,9,FALSE)</f>
        <v>BLOCK 4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60">
        <f t="shared" si="5"/>
        <v>818</v>
      </c>
      <c r="B823" s="62" t="s">
        <v>2098</v>
      </c>
      <c r="C823" s="62" t="s">
        <v>2141</v>
      </c>
      <c r="D823" s="62" t="s">
        <v>2071</v>
      </c>
      <c r="E823" s="62" t="s">
        <v>944</v>
      </c>
      <c r="F823" s="60"/>
      <c r="G823" s="92"/>
      <c r="H823" s="60"/>
      <c r="I823" s="60"/>
      <c r="J823" s="60"/>
      <c r="K823" s="71" t="str">
        <f>VLOOKUP(E823,'HEAD OF THE FAMILY'!$B$6:$J1851,9,FALSE)</f>
        <v>BLOCK 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60">
        <f t="shared" si="5"/>
        <v>819</v>
      </c>
      <c r="B824" s="62" t="s">
        <v>2098</v>
      </c>
      <c r="C824" s="62" t="s">
        <v>2142</v>
      </c>
      <c r="D824" s="62" t="s">
        <v>2071</v>
      </c>
      <c r="E824" s="62" t="s">
        <v>944</v>
      </c>
      <c r="F824" s="60"/>
      <c r="G824" s="92"/>
      <c r="H824" s="60"/>
      <c r="I824" s="60"/>
      <c r="J824" s="60"/>
      <c r="K824" s="71" t="str">
        <f>VLOOKUP(E824,'HEAD OF THE FAMILY'!$B$6:$J1851,9,FALSE)</f>
        <v>BLOCK 4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60">
        <f t="shared" si="5"/>
        <v>820</v>
      </c>
      <c r="B825" s="62" t="s">
        <v>2098</v>
      </c>
      <c r="C825" s="62" t="s">
        <v>190</v>
      </c>
      <c r="D825" s="62" t="s">
        <v>2071</v>
      </c>
      <c r="E825" s="62" t="s">
        <v>944</v>
      </c>
      <c r="F825" s="60"/>
      <c r="G825" s="92"/>
      <c r="H825" s="60"/>
      <c r="I825" s="60"/>
      <c r="J825" s="60"/>
      <c r="K825" s="71" t="str">
        <f>VLOOKUP(E825,'HEAD OF THE FAMILY'!$B$6:$J1851,9,FALSE)</f>
        <v>BLOCK 4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60">
        <f t="shared" si="5"/>
        <v>821</v>
      </c>
      <c r="B826" s="62" t="s">
        <v>2098</v>
      </c>
      <c r="C826" s="62" t="s">
        <v>2144</v>
      </c>
      <c r="D826" s="62" t="s">
        <v>2071</v>
      </c>
      <c r="E826" s="62" t="s">
        <v>944</v>
      </c>
      <c r="F826" s="60"/>
      <c r="G826" s="92"/>
      <c r="H826" s="60"/>
      <c r="I826" s="60"/>
      <c r="J826" s="60"/>
      <c r="K826" s="71" t="str">
        <f>VLOOKUP(E826,'HEAD OF THE FAMILY'!$B$6:$J1851,9,FALSE)</f>
        <v>BLOCK 4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60">
        <f t="shared" si="5"/>
        <v>822</v>
      </c>
      <c r="B827" s="62" t="s">
        <v>949</v>
      </c>
      <c r="C827" s="62" t="s">
        <v>2145</v>
      </c>
      <c r="D827" s="62" t="s">
        <v>95</v>
      </c>
      <c r="E827" s="62" t="s">
        <v>2146</v>
      </c>
      <c r="F827" s="60"/>
      <c r="G827" s="92"/>
      <c r="H827" s="60"/>
      <c r="I827" s="60"/>
      <c r="J827" s="60"/>
      <c r="K827" s="71" t="str">
        <f>VLOOKUP(E827,'HEAD OF THE FAMILY'!$B$6:$J1851,9,FALSE)</f>
        <v>BLOCK 4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60">
        <f t="shared" si="5"/>
        <v>823</v>
      </c>
      <c r="B828" s="62" t="s">
        <v>2149</v>
      </c>
      <c r="C828" s="62" t="s">
        <v>2150</v>
      </c>
      <c r="D828" s="62" t="s">
        <v>95</v>
      </c>
      <c r="E828" s="62" t="s">
        <v>2146</v>
      </c>
      <c r="F828" s="60"/>
      <c r="G828" s="92"/>
      <c r="H828" s="60"/>
      <c r="I828" s="60"/>
      <c r="J828" s="60"/>
      <c r="K828" s="71" t="str">
        <f>VLOOKUP(E828,'HEAD OF THE FAMILY'!$B$6:$J1851,9,FALSE)</f>
        <v>BLOCK 4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60">
        <f t="shared" si="5"/>
        <v>824</v>
      </c>
      <c r="B829" s="62" t="s">
        <v>2151</v>
      </c>
      <c r="C829" s="62" t="s">
        <v>2152</v>
      </c>
      <c r="D829" s="62" t="s">
        <v>329</v>
      </c>
      <c r="E829" s="62" t="s">
        <v>2153</v>
      </c>
      <c r="F829" s="60"/>
      <c r="G829" s="92"/>
      <c r="H829" s="60"/>
      <c r="I829" s="60"/>
      <c r="J829" s="60"/>
      <c r="K829" s="71" t="str">
        <f>VLOOKUP(E829,'HEAD OF THE FAMILY'!$B$6:$J1851,9,FALSE)</f>
        <v>BLOCK 4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60">
        <f t="shared" si="5"/>
        <v>825</v>
      </c>
      <c r="B830" s="62" t="s">
        <v>2154</v>
      </c>
      <c r="C830" s="62" t="s">
        <v>2155</v>
      </c>
      <c r="D830" s="105"/>
      <c r="E830" s="62" t="s">
        <v>2156</v>
      </c>
      <c r="F830" s="60"/>
      <c r="G830" s="92"/>
      <c r="H830" s="60"/>
      <c r="I830" s="60"/>
      <c r="J830" s="60"/>
      <c r="K830" s="71" t="str">
        <f>VLOOKUP(E830,'HEAD OF THE FAMILY'!$B$6:$J1851,9,FALSE)</f>
        <v>BLOCK 4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60">
        <f t="shared" si="5"/>
        <v>826</v>
      </c>
      <c r="B831" s="62" t="s">
        <v>1193</v>
      </c>
      <c r="C831" s="62" t="s">
        <v>1193</v>
      </c>
      <c r="D831" s="105"/>
      <c r="E831" s="62" t="s">
        <v>2156</v>
      </c>
      <c r="F831" s="60"/>
      <c r="G831" s="92"/>
      <c r="H831" s="60"/>
      <c r="I831" s="60"/>
      <c r="J831" s="60"/>
      <c r="K831" s="71" t="str">
        <f>VLOOKUP(E831,'HEAD OF THE FAMILY'!$B$6:$J1851,9,FALSE)</f>
        <v>BLOCK 4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60">
        <f t="shared" si="5"/>
        <v>827</v>
      </c>
      <c r="B832" s="62" t="s">
        <v>2092</v>
      </c>
      <c r="C832" s="62" t="s">
        <v>2158</v>
      </c>
      <c r="D832" s="105"/>
      <c r="E832" s="62" t="s">
        <v>129</v>
      </c>
      <c r="F832" s="60"/>
      <c r="G832" s="92"/>
      <c r="H832" s="60"/>
      <c r="I832" s="60"/>
      <c r="J832" s="60"/>
      <c r="K832" s="71" t="str">
        <f>VLOOKUP(E832,'HEAD OF THE FAMILY'!$B$6:$J1851,9,FALSE)</f>
        <v>BLOCK 4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60">
        <f t="shared" si="5"/>
        <v>828</v>
      </c>
      <c r="B833" s="62" t="s">
        <v>1193</v>
      </c>
      <c r="C833" s="62" t="s">
        <v>2159</v>
      </c>
      <c r="D833" s="105"/>
      <c r="E833" s="62" t="s">
        <v>129</v>
      </c>
      <c r="F833" s="60"/>
      <c r="G833" s="92"/>
      <c r="H833" s="60"/>
      <c r="I833" s="60"/>
      <c r="J833" s="60"/>
      <c r="K833" s="71" t="str">
        <f>VLOOKUP(E833,'HEAD OF THE FAMILY'!$B$6:$J1851,9,FALSE)</f>
        <v>BLOCK 4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60">
        <f t="shared" si="5"/>
        <v>829</v>
      </c>
      <c r="B834" s="62" t="s">
        <v>2154</v>
      </c>
      <c r="C834" s="62" t="s">
        <v>2160</v>
      </c>
      <c r="D834" s="105"/>
      <c r="E834" s="62" t="s">
        <v>1097</v>
      </c>
      <c r="F834" s="60"/>
      <c r="G834" s="92"/>
      <c r="H834" s="60"/>
      <c r="I834" s="60"/>
      <c r="J834" s="60"/>
      <c r="K834" s="71" t="str">
        <f>VLOOKUP(E834,'HEAD OF THE FAMILY'!$B$6:$J1851,9,FALSE)</f>
        <v>BLOCK 4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60">
        <f t="shared" si="5"/>
        <v>830</v>
      </c>
      <c r="B835" s="62" t="s">
        <v>2161</v>
      </c>
      <c r="C835" s="62" t="s">
        <v>2162</v>
      </c>
      <c r="D835" s="105"/>
      <c r="E835" s="62" t="s">
        <v>1097</v>
      </c>
      <c r="F835" s="60"/>
      <c r="G835" s="92"/>
      <c r="H835" s="60"/>
      <c r="I835" s="60"/>
      <c r="J835" s="60"/>
      <c r="K835" s="71" t="str">
        <f>VLOOKUP(E835,'HEAD OF THE FAMILY'!$B$6:$J1851,9,FALSE)</f>
        <v>BLOCK 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60">
        <f t="shared" si="5"/>
        <v>831</v>
      </c>
      <c r="B836" s="62" t="s">
        <v>2163</v>
      </c>
      <c r="C836" s="62" t="s">
        <v>2164</v>
      </c>
      <c r="D836" s="62" t="s">
        <v>85</v>
      </c>
      <c r="E836" s="62" t="s">
        <v>2166</v>
      </c>
      <c r="F836" s="60"/>
      <c r="G836" s="92"/>
      <c r="H836" s="60"/>
      <c r="I836" s="60"/>
      <c r="J836" s="60"/>
      <c r="K836" s="71" t="str">
        <f>VLOOKUP(E836,'HEAD OF THE FAMILY'!$B$6:$J1851,9,FALSE)</f>
        <v>BLOCK 4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60">
        <f t="shared" si="5"/>
        <v>832</v>
      </c>
      <c r="B837" s="62" t="s">
        <v>2163</v>
      </c>
      <c r="C837" s="62" t="s">
        <v>2168</v>
      </c>
      <c r="D837" s="62" t="s">
        <v>85</v>
      </c>
      <c r="E837" s="62" t="s">
        <v>2166</v>
      </c>
      <c r="F837" s="60"/>
      <c r="G837" s="92"/>
      <c r="H837" s="60"/>
      <c r="I837" s="60"/>
      <c r="J837" s="60"/>
      <c r="K837" s="71" t="str">
        <f>VLOOKUP(E837,'HEAD OF THE FAMILY'!$B$6:$J1851,9,FALSE)</f>
        <v>BLOCK 4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60">
        <f t="shared" si="5"/>
        <v>833</v>
      </c>
      <c r="B838" s="62" t="s">
        <v>2170</v>
      </c>
      <c r="C838" s="62" t="s">
        <v>2171</v>
      </c>
      <c r="D838" s="105"/>
      <c r="E838" s="62" t="s">
        <v>1395</v>
      </c>
      <c r="F838" s="60"/>
      <c r="G838" s="92"/>
      <c r="H838" s="60"/>
      <c r="I838" s="60"/>
      <c r="J838" s="60"/>
      <c r="K838" s="71" t="str">
        <f>VLOOKUP(E838,'HEAD OF THE FAMILY'!$B$6:$J1851,9,FALSE)</f>
        <v>BLOCK 4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60">
        <f t="shared" si="5"/>
        <v>834</v>
      </c>
      <c r="B839" s="62" t="s">
        <v>2173</v>
      </c>
      <c r="C839" s="62" t="s">
        <v>2174</v>
      </c>
      <c r="D839" s="105"/>
      <c r="E839" s="62" t="s">
        <v>1395</v>
      </c>
      <c r="F839" s="60"/>
      <c r="G839" s="92"/>
      <c r="H839" s="60"/>
      <c r="I839" s="60"/>
      <c r="J839" s="60"/>
      <c r="K839" s="71" t="str">
        <f>VLOOKUP(E839,'HEAD OF THE FAMILY'!$B$6:$J1851,9,FALSE)</f>
        <v>BLOCK 4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60">
        <f t="shared" si="5"/>
        <v>835</v>
      </c>
      <c r="B840" s="62" t="s">
        <v>2173</v>
      </c>
      <c r="C840" s="62" t="s">
        <v>2176</v>
      </c>
      <c r="D840" s="105"/>
      <c r="E840" s="62" t="s">
        <v>1395</v>
      </c>
      <c r="F840" s="60"/>
      <c r="G840" s="92"/>
      <c r="H840" s="60"/>
      <c r="I840" s="60"/>
      <c r="J840" s="60"/>
      <c r="K840" s="71" t="str">
        <f>VLOOKUP(E840,'HEAD OF THE FAMILY'!$B$6:$J1851,9,FALSE)</f>
        <v>BLOCK 4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60">
        <f t="shared" si="5"/>
        <v>836</v>
      </c>
      <c r="B841" s="62" t="s">
        <v>2177</v>
      </c>
      <c r="C841" s="62" t="s">
        <v>790</v>
      </c>
      <c r="D841" s="105"/>
      <c r="E841" s="62" t="s">
        <v>1249</v>
      </c>
      <c r="F841" s="60"/>
      <c r="G841" s="92"/>
      <c r="H841" s="60"/>
      <c r="I841" s="60"/>
      <c r="J841" s="60"/>
      <c r="K841" s="71" t="str">
        <f>VLOOKUP(E841,'HEAD OF THE FAMILY'!$B$6:$J1851,9,FALSE)</f>
        <v>BLOCK 4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60">
        <f t="shared" si="5"/>
        <v>837</v>
      </c>
      <c r="B842" s="62" t="s">
        <v>2177</v>
      </c>
      <c r="C842" s="62" t="s">
        <v>2178</v>
      </c>
      <c r="D842" s="105"/>
      <c r="E842" s="62" t="s">
        <v>1249</v>
      </c>
      <c r="F842" s="60"/>
      <c r="G842" s="92"/>
      <c r="H842" s="60"/>
      <c r="I842" s="60"/>
      <c r="J842" s="60"/>
      <c r="K842" s="71" t="str">
        <f>VLOOKUP(E842,'HEAD OF THE FAMILY'!$B$6:$J1851,9,FALSE)</f>
        <v>BLOCK 4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60">
        <f t="shared" si="5"/>
        <v>838</v>
      </c>
      <c r="B843" s="62" t="s">
        <v>2177</v>
      </c>
      <c r="C843" s="62" t="s">
        <v>2180</v>
      </c>
      <c r="D843" s="105"/>
      <c r="E843" s="62" t="s">
        <v>1249</v>
      </c>
      <c r="F843" s="60"/>
      <c r="G843" s="92"/>
      <c r="H843" s="60"/>
      <c r="I843" s="60"/>
      <c r="J843" s="60"/>
      <c r="K843" s="71" t="str">
        <f>VLOOKUP(E843,'HEAD OF THE FAMILY'!$B$6:$J1851,9,FALSE)</f>
        <v>BLOCK 4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60">
        <f t="shared" si="5"/>
        <v>839</v>
      </c>
      <c r="B844" s="62" t="s">
        <v>2182</v>
      </c>
      <c r="C844" s="62" t="s">
        <v>2183</v>
      </c>
      <c r="D844" s="105"/>
      <c r="E844" s="62" t="s">
        <v>351</v>
      </c>
      <c r="F844" s="60"/>
      <c r="G844" s="92"/>
      <c r="H844" s="60"/>
      <c r="I844" s="60"/>
      <c r="J844" s="60"/>
      <c r="K844" s="71" t="str">
        <f>VLOOKUP(E844,'HEAD OF THE FAMILY'!$B$6:$J1851,9,FALSE)</f>
        <v>BLOCK 4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60">
        <f t="shared" si="5"/>
        <v>840</v>
      </c>
      <c r="B845" s="62" t="s">
        <v>2182</v>
      </c>
      <c r="C845" s="62" t="s">
        <v>2185</v>
      </c>
      <c r="D845" s="105"/>
      <c r="E845" s="62" t="s">
        <v>351</v>
      </c>
      <c r="F845" s="60"/>
      <c r="G845" s="92"/>
      <c r="H845" s="60"/>
      <c r="I845" s="60"/>
      <c r="J845" s="60"/>
      <c r="K845" s="71" t="str">
        <f>VLOOKUP(E845,'HEAD OF THE FAMILY'!$B$6:$J1851,9,FALSE)</f>
        <v>BLOCK 4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60">
        <f t="shared" si="5"/>
        <v>841</v>
      </c>
      <c r="B846" s="62" t="s">
        <v>2182</v>
      </c>
      <c r="C846" s="62" t="s">
        <v>2186</v>
      </c>
      <c r="D846" s="105"/>
      <c r="E846" s="62" t="s">
        <v>351</v>
      </c>
      <c r="F846" s="60"/>
      <c r="G846" s="92"/>
      <c r="H846" s="60"/>
      <c r="I846" s="60"/>
      <c r="J846" s="60"/>
      <c r="K846" s="71" t="str">
        <f>VLOOKUP(E846,'HEAD OF THE FAMILY'!$B$6:$J1851,9,FALSE)</f>
        <v>BLOCK 4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60">
        <f t="shared" si="5"/>
        <v>842</v>
      </c>
      <c r="B847" s="62" t="s">
        <v>2182</v>
      </c>
      <c r="C847" s="62" t="s">
        <v>2188</v>
      </c>
      <c r="D847" s="105"/>
      <c r="E847" s="62" t="s">
        <v>1352</v>
      </c>
      <c r="F847" s="60"/>
      <c r="G847" s="92"/>
      <c r="H847" s="60"/>
      <c r="I847" s="60"/>
      <c r="J847" s="60"/>
      <c r="K847" s="71" t="str">
        <f>VLOOKUP(E847,'HEAD OF THE FAMILY'!$B$6:$J1851,9,FALSE)</f>
        <v>BLOCK 4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60">
        <f t="shared" si="5"/>
        <v>843</v>
      </c>
      <c r="B848" s="62" t="s">
        <v>2189</v>
      </c>
      <c r="C848" s="62" t="s">
        <v>2190</v>
      </c>
      <c r="D848" s="105"/>
      <c r="E848" s="62" t="s">
        <v>1275</v>
      </c>
      <c r="F848" s="60"/>
      <c r="G848" s="92"/>
      <c r="H848" s="60"/>
      <c r="I848" s="60"/>
      <c r="J848" s="60"/>
      <c r="K848" s="71" t="str">
        <f>VLOOKUP(E848,'HEAD OF THE FAMILY'!$B$6:$J1851,9,FALSE)</f>
        <v>BLOCK 4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60">
        <f t="shared" si="5"/>
        <v>844</v>
      </c>
      <c r="B849" s="62" t="s">
        <v>2191</v>
      </c>
      <c r="C849" s="62" t="s">
        <v>2192</v>
      </c>
      <c r="D849" s="105"/>
      <c r="E849" s="62" t="s">
        <v>1275</v>
      </c>
      <c r="F849" s="60"/>
      <c r="G849" s="92"/>
      <c r="H849" s="60"/>
      <c r="I849" s="60"/>
      <c r="J849" s="60"/>
      <c r="K849" s="71" t="str">
        <f>VLOOKUP(E849,'HEAD OF THE FAMILY'!$B$6:$J1851,9,FALSE)</f>
        <v>BLOCK 4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60">
        <f t="shared" si="5"/>
        <v>845</v>
      </c>
      <c r="B850" s="62" t="s">
        <v>2193</v>
      </c>
      <c r="C850" s="62" t="s">
        <v>2194</v>
      </c>
      <c r="D850" s="105"/>
      <c r="E850" s="62" t="s">
        <v>1275</v>
      </c>
      <c r="F850" s="60"/>
      <c r="G850" s="92"/>
      <c r="H850" s="60"/>
      <c r="I850" s="60"/>
      <c r="J850" s="60"/>
      <c r="K850" s="71" t="str">
        <f>VLOOKUP(E850,'HEAD OF THE FAMILY'!$B$6:$J1851,9,FALSE)</f>
        <v>BLOCK 4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60">
        <f t="shared" si="5"/>
        <v>846</v>
      </c>
      <c r="B851" s="62" t="s">
        <v>2196</v>
      </c>
      <c r="C851" s="62" t="s">
        <v>2197</v>
      </c>
      <c r="D851" s="105"/>
      <c r="E851" s="62" t="s">
        <v>1275</v>
      </c>
      <c r="F851" s="60"/>
      <c r="G851" s="92"/>
      <c r="H851" s="60"/>
      <c r="I851" s="60"/>
      <c r="J851" s="60"/>
      <c r="K851" s="71" t="str">
        <f>VLOOKUP(E851,'HEAD OF THE FAMILY'!$B$6:$J1851,9,FALSE)</f>
        <v>BLOCK 4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60">
        <f t="shared" si="5"/>
        <v>847</v>
      </c>
      <c r="B852" s="62" t="s">
        <v>2199</v>
      </c>
      <c r="C852" s="62" t="s">
        <v>2200</v>
      </c>
      <c r="D852" s="62" t="s">
        <v>1088</v>
      </c>
      <c r="E852" s="62" t="s">
        <v>2201</v>
      </c>
      <c r="F852" s="60"/>
      <c r="G852" s="92"/>
      <c r="H852" s="60"/>
      <c r="I852" s="60"/>
      <c r="J852" s="60"/>
      <c r="K852" s="71" t="str">
        <f>VLOOKUP(E852,'HEAD OF THE FAMILY'!$B$6:$J1851,9,FALSE)</f>
        <v>BLOCK 4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60">
        <f t="shared" si="5"/>
        <v>848</v>
      </c>
      <c r="B853" s="62" t="s">
        <v>2199</v>
      </c>
      <c r="C853" s="62" t="s">
        <v>2202</v>
      </c>
      <c r="D853" s="62" t="s">
        <v>1088</v>
      </c>
      <c r="E853" s="62" t="s">
        <v>2201</v>
      </c>
      <c r="F853" s="60"/>
      <c r="G853" s="92"/>
      <c r="H853" s="60"/>
      <c r="I853" s="60"/>
      <c r="J853" s="60"/>
      <c r="K853" s="71" t="str">
        <f>VLOOKUP(E853,'HEAD OF THE FAMILY'!$B$6:$J1851,9,FALSE)</f>
        <v>BLOCK 4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60">
        <f t="shared" si="5"/>
        <v>849</v>
      </c>
      <c r="B854" s="62" t="s">
        <v>2199</v>
      </c>
      <c r="C854" s="62" t="s">
        <v>2204</v>
      </c>
      <c r="D854" s="62" t="s">
        <v>1088</v>
      </c>
      <c r="E854" s="62" t="s">
        <v>2201</v>
      </c>
      <c r="F854" s="60"/>
      <c r="G854" s="92"/>
      <c r="H854" s="60"/>
      <c r="I854" s="60"/>
      <c r="J854" s="60"/>
      <c r="K854" s="71" t="str">
        <f>VLOOKUP(E854,'HEAD OF THE FAMILY'!$B$6:$J1851,9,FALSE)</f>
        <v>BLOCK 4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60">
        <f t="shared" si="5"/>
        <v>850</v>
      </c>
      <c r="B855" s="62" t="s">
        <v>2205</v>
      </c>
      <c r="C855" s="62" t="s">
        <v>2206</v>
      </c>
      <c r="D855" s="105"/>
      <c r="E855" s="62" t="s">
        <v>512</v>
      </c>
      <c r="F855" s="60"/>
      <c r="G855" s="92"/>
      <c r="H855" s="60"/>
      <c r="I855" s="60"/>
      <c r="J855" s="60"/>
      <c r="K855" s="71" t="str">
        <f>VLOOKUP(E855,'HEAD OF THE FAMILY'!$B$6:$J1851,9,FALSE)</f>
        <v>BLOCK 4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60">
        <f t="shared" si="5"/>
        <v>851</v>
      </c>
      <c r="B856" s="62" t="s">
        <v>2208</v>
      </c>
      <c r="C856" s="62" t="s">
        <v>2209</v>
      </c>
      <c r="D856" s="105"/>
      <c r="E856" s="62" t="s">
        <v>512</v>
      </c>
      <c r="F856" s="60"/>
      <c r="G856" s="92"/>
      <c r="H856" s="60"/>
      <c r="I856" s="60"/>
      <c r="J856" s="60"/>
      <c r="K856" s="71" t="str">
        <f>VLOOKUP(E856,'HEAD OF THE FAMILY'!$B$6:$J1851,9,FALSE)</f>
        <v>BLOCK 4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60">
        <f t="shared" si="5"/>
        <v>852</v>
      </c>
      <c r="B857" s="62" t="s">
        <v>2212</v>
      </c>
      <c r="C857" s="62" t="s">
        <v>2213</v>
      </c>
      <c r="D857" s="105"/>
      <c r="E857" s="62" t="s">
        <v>512</v>
      </c>
      <c r="F857" s="60"/>
      <c r="G857" s="92"/>
      <c r="H857" s="60"/>
      <c r="I857" s="60"/>
      <c r="J857" s="60"/>
      <c r="K857" s="71" t="str">
        <f>VLOOKUP(E857,'HEAD OF THE FAMILY'!$B$6:$J1851,9,FALSE)</f>
        <v>BLOCK 4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60">
        <f t="shared" si="5"/>
        <v>853</v>
      </c>
      <c r="B858" s="62" t="s">
        <v>2215</v>
      </c>
      <c r="C858" s="62" t="s">
        <v>2216</v>
      </c>
      <c r="D858" s="105"/>
      <c r="E858" s="62" t="s">
        <v>650</v>
      </c>
      <c r="F858" s="60"/>
      <c r="G858" s="92"/>
      <c r="H858" s="60"/>
      <c r="I858" s="60"/>
      <c r="J858" s="60"/>
      <c r="K858" s="71" t="str">
        <f>VLOOKUP(E858,'HEAD OF THE FAMILY'!$B$6:$J1851,9,FALSE)</f>
        <v>BLOCK 4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60">
        <f t="shared" si="5"/>
        <v>854</v>
      </c>
      <c r="B859" s="62" t="s">
        <v>2217</v>
      </c>
      <c r="C859" s="62" t="s">
        <v>2218</v>
      </c>
      <c r="D859" s="62" t="s">
        <v>58</v>
      </c>
      <c r="E859" s="62" t="s">
        <v>445</v>
      </c>
      <c r="F859" s="60"/>
      <c r="G859" s="92"/>
      <c r="H859" s="60"/>
      <c r="I859" s="60"/>
      <c r="J859" s="60"/>
      <c r="K859" s="71" t="str">
        <f>VLOOKUP(E859,'HEAD OF THE FAMILY'!$B$6:$J1851,9,FALSE)</f>
        <v>BLOCK 4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60">
        <f t="shared" si="5"/>
        <v>855</v>
      </c>
      <c r="B860" s="62" t="s">
        <v>2217</v>
      </c>
      <c r="C860" s="62" t="s">
        <v>979</v>
      </c>
      <c r="D860" s="62" t="s">
        <v>58</v>
      </c>
      <c r="E860" s="62" t="s">
        <v>445</v>
      </c>
      <c r="F860" s="60"/>
      <c r="G860" s="92"/>
      <c r="H860" s="60"/>
      <c r="I860" s="60"/>
      <c r="J860" s="60"/>
      <c r="K860" s="71" t="str">
        <f>VLOOKUP(E860,'HEAD OF THE FAMILY'!$B$6:$J1851,9,FALSE)</f>
        <v>BLOCK 4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60">
        <f t="shared" si="5"/>
        <v>856</v>
      </c>
      <c r="B861" s="62" t="s">
        <v>2217</v>
      </c>
      <c r="C861" s="62" t="s">
        <v>2220</v>
      </c>
      <c r="D861" s="62" t="s">
        <v>58</v>
      </c>
      <c r="E861" s="62" t="s">
        <v>445</v>
      </c>
      <c r="F861" s="60"/>
      <c r="G861" s="92"/>
      <c r="H861" s="60"/>
      <c r="I861" s="60"/>
      <c r="J861" s="60"/>
      <c r="K861" s="71" t="str">
        <f>VLOOKUP(E861,'HEAD OF THE FAMILY'!$B$6:$J1851,9,FALSE)</f>
        <v>BLOCK 4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60">
        <f t="shared" si="5"/>
        <v>857</v>
      </c>
      <c r="B862" s="62" t="s">
        <v>2212</v>
      </c>
      <c r="C862" s="62" t="s">
        <v>2223</v>
      </c>
      <c r="D862" s="105"/>
      <c r="E862" s="62" t="s">
        <v>2224</v>
      </c>
      <c r="F862" s="60"/>
      <c r="G862" s="92"/>
      <c r="H862" s="60"/>
      <c r="I862" s="60"/>
      <c r="J862" s="60"/>
      <c r="K862" s="71" t="str">
        <f>VLOOKUP(E862,'HEAD OF THE FAMILY'!$B$6:$J1851,9,FALSE)</f>
        <v>BLOCK 4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60">
        <f t="shared" si="5"/>
        <v>858</v>
      </c>
      <c r="B863" s="62" t="s">
        <v>2226</v>
      </c>
      <c r="C863" s="62" t="s">
        <v>2227</v>
      </c>
      <c r="D863" s="62" t="s">
        <v>85</v>
      </c>
      <c r="E863" s="62" t="s">
        <v>1304</v>
      </c>
      <c r="F863" s="60"/>
      <c r="G863" s="92"/>
      <c r="H863" s="60"/>
      <c r="I863" s="60"/>
      <c r="J863" s="60"/>
      <c r="K863" s="71" t="str">
        <f>VLOOKUP(E863,'HEAD OF THE FAMILY'!$B$6:$J1851,9,FALSE)</f>
        <v>BLOCK 4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60">
        <f t="shared" si="5"/>
        <v>859</v>
      </c>
      <c r="B864" s="62" t="s">
        <v>2226</v>
      </c>
      <c r="C864" s="62" t="s">
        <v>2229</v>
      </c>
      <c r="D864" s="62" t="s">
        <v>85</v>
      </c>
      <c r="E864" s="62" t="s">
        <v>1304</v>
      </c>
      <c r="F864" s="60"/>
      <c r="G864" s="92"/>
      <c r="H864" s="60"/>
      <c r="I864" s="60"/>
      <c r="J864" s="60"/>
      <c r="K864" s="71" t="str">
        <f>VLOOKUP(E864,'HEAD OF THE FAMILY'!$B$6:$J1851,9,FALSE)</f>
        <v>BLOCK 4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60">
        <f t="shared" si="5"/>
        <v>860</v>
      </c>
      <c r="B865" s="62" t="s">
        <v>2231</v>
      </c>
      <c r="C865" s="62" t="s">
        <v>2232</v>
      </c>
      <c r="D865" s="62" t="s">
        <v>85</v>
      </c>
      <c r="E865" s="62" t="s">
        <v>2233</v>
      </c>
      <c r="F865" s="60"/>
      <c r="G865" s="92"/>
      <c r="H865" s="60"/>
      <c r="I865" s="60"/>
      <c r="J865" s="60"/>
      <c r="K865" s="71" t="str">
        <f>VLOOKUP(E865,'HEAD OF THE FAMILY'!$B$6:$J1851,9,FALSE)</f>
        <v>BLOCK 4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60">
        <f t="shared" si="5"/>
        <v>861</v>
      </c>
      <c r="B866" s="62" t="s">
        <v>2231</v>
      </c>
      <c r="C866" s="62" t="s">
        <v>2235</v>
      </c>
      <c r="D866" s="62" t="s">
        <v>85</v>
      </c>
      <c r="E866" s="62" t="s">
        <v>2233</v>
      </c>
      <c r="F866" s="60"/>
      <c r="G866" s="92"/>
      <c r="H866" s="60"/>
      <c r="I866" s="60"/>
      <c r="J866" s="60"/>
      <c r="K866" s="71" t="str">
        <f>VLOOKUP(E866,'HEAD OF THE FAMILY'!$B$6:$J1851,9,FALSE)</f>
        <v>BLOCK 4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60">
        <f t="shared" si="5"/>
        <v>862</v>
      </c>
      <c r="B867" s="62" t="s">
        <v>2231</v>
      </c>
      <c r="C867" s="62" t="s">
        <v>2236</v>
      </c>
      <c r="D867" s="62" t="s">
        <v>85</v>
      </c>
      <c r="E867" s="62" t="s">
        <v>2233</v>
      </c>
      <c r="F867" s="60"/>
      <c r="G867" s="92"/>
      <c r="H867" s="60"/>
      <c r="I867" s="60"/>
      <c r="J867" s="60"/>
      <c r="K867" s="71" t="str">
        <f>VLOOKUP(E867,'HEAD OF THE FAMILY'!$B$6:$J1851,9,FALSE)</f>
        <v>BLOCK 4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60">
        <f t="shared" si="5"/>
        <v>863</v>
      </c>
      <c r="B868" s="62" t="s">
        <v>2231</v>
      </c>
      <c r="C868" s="62" t="s">
        <v>2238</v>
      </c>
      <c r="D868" s="62" t="s">
        <v>85</v>
      </c>
      <c r="E868" s="62" t="s">
        <v>2233</v>
      </c>
      <c r="F868" s="60"/>
      <c r="G868" s="92"/>
      <c r="H868" s="60"/>
      <c r="I868" s="60"/>
      <c r="J868" s="60"/>
      <c r="K868" s="71" t="str">
        <f>VLOOKUP(E868,'HEAD OF THE FAMILY'!$B$6:$J1851,9,FALSE)</f>
        <v>BLOCK 4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60">
        <f t="shared" si="5"/>
        <v>864</v>
      </c>
      <c r="B869" s="62" t="s">
        <v>2231</v>
      </c>
      <c r="C869" s="62" t="s">
        <v>1850</v>
      </c>
      <c r="D869" s="62" t="s">
        <v>85</v>
      </c>
      <c r="E869" s="62" t="s">
        <v>2233</v>
      </c>
      <c r="F869" s="60"/>
      <c r="G869" s="92"/>
      <c r="H869" s="60"/>
      <c r="I869" s="60"/>
      <c r="J869" s="60"/>
      <c r="K869" s="71" t="str">
        <f>VLOOKUP(E869,'HEAD OF THE FAMILY'!$B$6:$J1851,9,FALSE)</f>
        <v>BLOCK 4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60">
        <f t="shared" si="5"/>
        <v>865</v>
      </c>
      <c r="B870" s="62" t="s">
        <v>2242</v>
      </c>
      <c r="C870" s="62" t="s">
        <v>2216</v>
      </c>
      <c r="D870" s="62" t="s">
        <v>85</v>
      </c>
      <c r="E870" s="62" t="s">
        <v>2233</v>
      </c>
      <c r="F870" s="60"/>
      <c r="G870" s="92"/>
      <c r="H870" s="60"/>
      <c r="I870" s="60"/>
      <c r="J870" s="60"/>
      <c r="K870" s="71" t="str">
        <f>VLOOKUP(E870,'HEAD OF THE FAMILY'!$B$6:$J1851,9,FALSE)</f>
        <v>BLOCK 4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60">
        <f t="shared" si="5"/>
        <v>866</v>
      </c>
      <c r="B871" s="62" t="s">
        <v>2243</v>
      </c>
      <c r="C871" s="62" t="s">
        <v>2244</v>
      </c>
      <c r="D871" s="62" t="s">
        <v>85</v>
      </c>
      <c r="E871" s="62" t="s">
        <v>2233</v>
      </c>
      <c r="F871" s="60"/>
      <c r="G871" s="92"/>
      <c r="H871" s="60"/>
      <c r="I871" s="60"/>
      <c r="J871" s="60"/>
      <c r="K871" s="71" t="str">
        <f>VLOOKUP(E871,'HEAD OF THE FAMILY'!$B$6:$J1851,9,FALSE)</f>
        <v>BLOCK 4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60">
        <f t="shared" si="5"/>
        <v>867</v>
      </c>
      <c r="B872" s="62" t="s">
        <v>2245</v>
      </c>
      <c r="C872" s="62" t="s">
        <v>2246</v>
      </c>
      <c r="D872" s="105"/>
      <c r="E872" s="62" t="s">
        <v>2030</v>
      </c>
      <c r="F872" s="60"/>
      <c r="G872" s="92"/>
      <c r="H872" s="60"/>
      <c r="I872" s="60"/>
      <c r="J872" s="60"/>
      <c r="K872" s="71" t="str">
        <f>VLOOKUP(E872,'HEAD OF THE FAMILY'!$B$6:$J1851,9,FALSE)</f>
        <v>BLOCK 4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60">
        <f t="shared" si="5"/>
        <v>868</v>
      </c>
      <c r="B873" s="62" t="s">
        <v>2245</v>
      </c>
      <c r="C873" s="62" t="s">
        <v>2247</v>
      </c>
      <c r="D873" s="105"/>
      <c r="E873" s="62" t="s">
        <v>2030</v>
      </c>
      <c r="F873" s="60"/>
      <c r="G873" s="92"/>
      <c r="H873" s="60"/>
      <c r="I873" s="60"/>
      <c r="J873" s="60"/>
      <c r="K873" s="71" t="str">
        <f>VLOOKUP(E873,'HEAD OF THE FAMILY'!$B$6:$J1851,9,FALSE)</f>
        <v>BLOCK 4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60">
        <f t="shared" si="5"/>
        <v>869</v>
      </c>
      <c r="B874" s="62" t="s">
        <v>2245</v>
      </c>
      <c r="C874" s="62" t="s">
        <v>2248</v>
      </c>
      <c r="D874" s="62" t="s">
        <v>329</v>
      </c>
      <c r="E874" s="62" t="s">
        <v>2249</v>
      </c>
      <c r="F874" s="60"/>
      <c r="G874" s="92"/>
      <c r="H874" s="60"/>
      <c r="I874" s="60"/>
      <c r="J874" s="60"/>
      <c r="K874" s="71" t="str">
        <f>VLOOKUP(E874,'HEAD OF THE FAMILY'!$B$6:$J1851,9,FALSE)</f>
        <v>BLOCK 4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60">
        <f t="shared" si="5"/>
        <v>870</v>
      </c>
      <c r="B875" s="62" t="s">
        <v>2250</v>
      </c>
      <c r="C875" s="62" t="s">
        <v>2251</v>
      </c>
      <c r="D875" s="62" t="s">
        <v>85</v>
      </c>
      <c r="E875" s="62" t="s">
        <v>2252</v>
      </c>
      <c r="F875" s="60"/>
      <c r="G875" s="92"/>
      <c r="H875" s="60"/>
      <c r="I875" s="60"/>
      <c r="J875" s="60"/>
      <c r="K875" s="71" t="str">
        <f>VLOOKUP(E875,'HEAD OF THE FAMILY'!$B$6:$J1851,9,FALSE)</f>
        <v>BLOCK 4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60">
        <f t="shared" si="5"/>
        <v>871</v>
      </c>
      <c r="B876" s="62" t="s">
        <v>806</v>
      </c>
      <c r="C876" s="62" t="s">
        <v>2253</v>
      </c>
      <c r="D876" s="62" t="s">
        <v>85</v>
      </c>
      <c r="E876" s="62" t="s">
        <v>503</v>
      </c>
      <c r="F876" s="60"/>
      <c r="G876" s="92"/>
      <c r="H876" s="60"/>
      <c r="I876" s="60"/>
      <c r="J876" s="60"/>
      <c r="K876" s="71" t="str">
        <f>VLOOKUP(E876,'HEAD OF THE FAMILY'!$B$6:$J1851,9,FALSE)</f>
        <v>BLOCK 4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60">
        <f t="shared" si="5"/>
        <v>872</v>
      </c>
      <c r="B877" s="62" t="s">
        <v>2245</v>
      </c>
      <c r="C877" s="62" t="s">
        <v>1287</v>
      </c>
      <c r="D877" s="105"/>
      <c r="E877" s="62" t="s">
        <v>844</v>
      </c>
      <c r="F877" s="60"/>
      <c r="G877" s="92"/>
      <c r="H877" s="60"/>
      <c r="I877" s="60"/>
      <c r="J877" s="60"/>
      <c r="K877" s="71" t="str">
        <f>VLOOKUP(E877,'HEAD OF THE FAMILY'!$B$6:$J1851,9,FALSE)</f>
        <v>BLOCK 4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60">
        <f t="shared" si="5"/>
        <v>873</v>
      </c>
      <c r="B878" s="62" t="s">
        <v>2254</v>
      </c>
      <c r="C878" s="62" t="s">
        <v>2255</v>
      </c>
      <c r="D878" s="105"/>
      <c r="E878" s="62" t="s">
        <v>767</v>
      </c>
      <c r="F878" s="60"/>
      <c r="G878" s="92"/>
      <c r="H878" s="60"/>
      <c r="I878" s="60"/>
      <c r="J878" s="75" t="s">
        <v>2256</v>
      </c>
      <c r="K878" s="71" t="str">
        <f>VLOOKUP(E878,'HEAD OF THE FAMILY'!$B$6:$J1851,9,FALSE)</f>
        <v>BLOCK 4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60">
        <f t="shared" si="5"/>
        <v>874</v>
      </c>
      <c r="B879" s="62" t="s">
        <v>2254</v>
      </c>
      <c r="C879" s="62" t="s">
        <v>1774</v>
      </c>
      <c r="D879" s="105"/>
      <c r="E879" s="62" t="s">
        <v>767</v>
      </c>
      <c r="F879" s="60"/>
      <c r="G879" s="92"/>
      <c r="H879" s="60"/>
      <c r="I879" s="60"/>
      <c r="J879" s="60"/>
      <c r="K879" s="71" t="str">
        <f>VLOOKUP(E879,'HEAD OF THE FAMILY'!$B$6:$J1851,9,FALSE)</f>
        <v>BLOCK 4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60">
        <f t="shared" si="5"/>
        <v>875</v>
      </c>
      <c r="B880" s="62" t="s">
        <v>2254</v>
      </c>
      <c r="C880" s="62" t="s">
        <v>1654</v>
      </c>
      <c r="D880" s="105"/>
      <c r="E880" s="62" t="s">
        <v>767</v>
      </c>
      <c r="F880" s="60"/>
      <c r="G880" s="92"/>
      <c r="H880" s="60"/>
      <c r="I880" s="60"/>
      <c r="J880" s="60"/>
      <c r="K880" s="71" t="str">
        <f>VLOOKUP(E880,'HEAD OF THE FAMILY'!$B$6:$J1851,9,FALSE)</f>
        <v>BLOCK 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60">
        <f t="shared" si="5"/>
        <v>876</v>
      </c>
      <c r="B881" s="62" t="s">
        <v>2254</v>
      </c>
      <c r="C881" s="62" t="s">
        <v>2257</v>
      </c>
      <c r="D881" s="105"/>
      <c r="E881" s="62" t="s">
        <v>767</v>
      </c>
      <c r="F881" s="60"/>
      <c r="G881" s="92"/>
      <c r="H881" s="60"/>
      <c r="I881" s="60"/>
      <c r="J881" s="75" t="s">
        <v>19</v>
      </c>
      <c r="K881" s="71" t="str">
        <f>VLOOKUP(E881,'HEAD OF THE FAMILY'!$B$6:$J1851,9,FALSE)</f>
        <v>BLOCK 4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60">
        <f t="shared" si="5"/>
        <v>877</v>
      </c>
      <c r="B882" s="62" t="s">
        <v>2254</v>
      </c>
      <c r="C882" s="62" t="s">
        <v>380</v>
      </c>
      <c r="D882" s="105"/>
      <c r="E882" s="62" t="s">
        <v>2083</v>
      </c>
      <c r="F882" s="60"/>
      <c r="G882" s="92"/>
      <c r="H882" s="60"/>
      <c r="I882" s="60"/>
      <c r="J882" s="60"/>
      <c r="K882" s="71" t="str">
        <f>VLOOKUP(E882,'HEAD OF THE FAMILY'!$B$6:$J1851,9,FALSE)</f>
        <v>BLOCK 4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60">
        <f t="shared" si="5"/>
        <v>878</v>
      </c>
      <c r="B883" s="62" t="s">
        <v>2254</v>
      </c>
      <c r="C883" s="62" t="s">
        <v>2258</v>
      </c>
      <c r="D883" s="105"/>
      <c r="E883" s="62" t="s">
        <v>2083</v>
      </c>
      <c r="F883" s="60"/>
      <c r="G883" s="92"/>
      <c r="H883" s="60"/>
      <c r="I883" s="60"/>
      <c r="J883" s="60"/>
      <c r="K883" s="71" t="str">
        <f>VLOOKUP(E883,'HEAD OF THE FAMILY'!$B$6:$J1851,9,FALSE)</f>
        <v>BLOCK 4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60">
        <f t="shared" si="5"/>
        <v>879</v>
      </c>
      <c r="B884" s="62" t="s">
        <v>2259</v>
      </c>
      <c r="C884" s="62" t="s">
        <v>549</v>
      </c>
      <c r="D884" s="105"/>
      <c r="E884" s="62" t="s">
        <v>1044</v>
      </c>
      <c r="F884" s="60"/>
      <c r="G884" s="92"/>
      <c r="H884" s="60"/>
      <c r="I884" s="60"/>
      <c r="J884" s="60"/>
      <c r="K884" s="71" t="str">
        <f>VLOOKUP(E884,'HEAD OF THE FAMILY'!$B$6:$J1851,9,FALSE)</f>
        <v>BLOCK 4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60">
        <f t="shared" si="5"/>
        <v>880</v>
      </c>
      <c r="B885" s="62" t="s">
        <v>2259</v>
      </c>
      <c r="C885" s="62" t="s">
        <v>2260</v>
      </c>
      <c r="D885" s="105"/>
      <c r="E885" s="62" t="s">
        <v>1044</v>
      </c>
      <c r="F885" s="60"/>
      <c r="G885" s="92"/>
      <c r="H885" s="60"/>
      <c r="I885" s="60"/>
      <c r="J885" s="60"/>
      <c r="K885" s="71" t="str">
        <f>VLOOKUP(E885,'HEAD OF THE FAMILY'!$B$6:$J1851,9,FALSE)</f>
        <v>BLOCK 4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60">
        <f t="shared" si="5"/>
        <v>881</v>
      </c>
      <c r="B886" s="62" t="s">
        <v>2261</v>
      </c>
      <c r="C886" s="62" t="s">
        <v>2262</v>
      </c>
      <c r="D886" s="105"/>
      <c r="E886" s="62" t="s">
        <v>1461</v>
      </c>
      <c r="F886" s="60"/>
      <c r="G886" s="92"/>
      <c r="H886" s="60"/>
      <c r="I886" s="60"/>
      <c r="J886" s="60"/>
      <c r="K886" s="71" t="str">
        <f>VLOOKUP(E886,'HEAD OF THE FAMILY'!$B$6:$J1851,9,FALSE)</f>
        <v>BLOCK 4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60">
        <f t="shared" si="5"/>
        <v>882</v>
      </c>
      <c r="B887" s="62" t="s">
        <v>2261</v>
      </c>
      <c r="C887" s="62" t="s">
        <v>2263</v>
      </c>
      <c r="D887" s="105"/>
      <c r="E887" s="62" t="s">
        <v>1461</v>
      </c>
      <c r="F887" s="60"/>
      <c r="G887" s="92"/>
      <c r="H887" s="60"/>
      <c r="I887" s="60"/>
      <c r="J887" s="60"/>
      <c r="K887" s="71" t="str">
        <f>VLOOKUP(E887,'HEAD OF THE FAMILY'!$B$6:$J1851,9,FALSE)</f>
        <v>BLOCK 4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60">
        <f t="shared" si="5"/>
        <v>883</v>
      </c>
      <c r="B888" s="62" t="s">
        <v>2261</v>
      </c>
      <c r="C888" s="62" t="s">
        <v>2265</v>
      </c>
      <c r="D888" s="105"/>
      <c r="E888" s="62" t="s">
        <v>1461</v>
      </c>
      <c r="F888" s="60"/>
      <c r="G888" s="92"/>
      <c r="H888" s="60"/>
      <c r="I888" s="60"/>
      <c r="J888" s="60"/>
      <c r="K888" s="71" t="str">
        <f>VLOOKUP(E888,'HEAD OF THE FAMILY'!$B$6:$J1851,9,FALSE)</f>
        <v>BLOCK 4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60">
        <f t="shared" si="5"/>
        <v>884</v>
      </c>
      <c r="B889" s="62" t="s">
        <v>2266</v>
      </c>
      <c r="C889" s="62" t="s">
        <v>2267</v>
      </c>
      <c r="D889" s="105"/>
      <c r="E889" s="62" t="s">
        <v>531</v>
      </c>
      <c r="F889" s="60"/>
      <c r="G889" s="92"/>
      <c r="H889" s="60"/>
      <c r="I889" s="60"/>
      <c r="J889" s="60"/>
      <c r="K889" s="71" t="str">
        <f>VLOOKUP(E889,'HEAD OF THE FAMILY'!$B$6:$J1851,9,FALSE)</f>
        <v>BLOCK 4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60">
        <f t="shared" si="5"/>
        <v>885</v>
      </c>
      <c r="B890" s="62" t="s">
        <v>2269</v>
      </c>
      <c r="C890" s="62" t="s">
        <v>1287</v>
      </c>
      <c r="D890" s="105"/>
      <c r="E890" s="62" t="s">
        <v>2270</v>
      </c>
      <c r="F890" s="60"/>
      <c r="G890" s="92"/>
      <c r="H890" s="60"/>
      <c r="I890" s="60"/>
      <c r="J890" s="60"/>
      <c r="K890" s="71" t="str">
        <f>VLOOKUP(E890,'HEAD OF THE FAMILY'!$B$6:$J1851,9,FALSE)</f>
        <v>BLOCK 4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60">
        <f t="shared" si="5"/>
        <v>886</v>
      </c>
      <c r="B891" s="62" t="s">
        <v>2271</v>
      </c>
      <c r="C891" s="62" t="s">
        <v>2272</v>
      </c>
      <c r="D891" s="62" t="s">
        <v>212</v>
      </c>
      <c r="E891" s="62" t="s">
        <v>1858</v>
      </c>
      <c r="F891" s="60"/>
      <c r="G891" s="92"/>
      <c r="H891" s="60"/>
      <c r="I891" s="60"/>
      <c r="J891" s="60"/>
      <c r="K891" s="71" t="str">
        <f>VLOOKUP(E891,'HEAD OF THE FAMILY'!$B$6:$J1851,9,FALSE)</f>
        <v>BLK 46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60">
        <f t="shared" si="5"/>
        <v>887</v>
      </c>
      <c r="B892" s="62" t="s">
        <v>2271</v>
      </c>
      <c r="C892" s="62" t="s">
        <v>2274</v>
      </c>
      <c r="D892" s="62" t="s">
        <v>212</v>
      </c>
      <c r="E892" s="62" t="s">
        <v>1858</v>
      </c>
      <c r="F892" s="60"/>
      <c r="G892" s="92"/>
      <c r="H892" s="60"/>
      <c r="I892" s="60"/>
      <c r="J892" s="60"/>
      <c r="K892" s="71" t="str">
        <f>VLOOKUP(E892,'HEAD OF THE FAMILY'!$B$6:$J1851,9,FALSE)</f>
        <v>BLK 46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60">
        <f t="shared" si="5"/>
        <v>888</v>
      </c>
      <c r="B893" s="62" t="s">
        <v>791</v>
      </c>
      <c r="C893" s="62" t="s">
        <v>2276</v>
      </c>
      <c r="D893" s="105"/>
      <c r="E893" s="62" t="s">
        <v>2277</v>
      </c>
      <c r="F893" s="60"/>
      <c r="G893" s="92"/>
      <c r="H893" s="60"/>
      <c r="I893" s="60"/>
      <c r="J893" s="60"/>
      <c r="K893" s="71" t="str">
        <f>VLOOKUP(E893,'HEAD OF THE FAMILY'!$B$6:$J1851,9,FALSE)</f>
        <v>BLOCK 4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60">
        <f t="shared" si="5"/>
        <v>889</v>
      </c>
      <c r="B894" s="62" t="s">
        <v>2278</v>
      </c>
      <c r="C894" s="62" t="s">
        <v>2279</v>
      </c>
      <c r="D894" s="105"/>
      <c r="E894" s="62" t="s">
        <v>2277</v>
      </c>
      <c r="F894" s="60"/>
      <c r="G894" s="92"/>
      <c r="H894" s="60"/>
      <c r="I894" s="60"/>
      <c r="J894" s="60"/>
      <c r="K894" s="71" t="str">
        <f>VLOOKUP(E894,'HEAD OF THE FAMILY'!$B$6:$J1851,9,FALSE)</f>
        <v>BLOCK 4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60">
        <f t="shared" si="5"/>
        <v>890</v>
      </c>
      <c r="B895" s="62" t="s">
        <v>791</v>
      </c>
      <c r="C895" s="62" t="s">
        <v>2280</v>
      </c>
      <c r="D895" s="105"/>
      <c r="E895" s="62" t="s">
        <v>2277</v>
      </c>
      <c r="F895" s="60"/>
      <c r="G895" s="92"/>
      <c r="H895" s="60"/>
      <c r="I895" s="60"/>
      <c r="J895" s="60"/>
      <c r="K895" s="71" t="str">
        <f>VLOOKUP(E895,'HEAD OF THE FAMILY'!$B$6:$J1851,9,FALSE)</f>
        <v>BLOCK 4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60">
        <f t="shared" si="5"/>
        <v>891</v>
      </c>
      <c r="B896" s="62" t="s">
        <v>791</v>
      </c>
      <c r="C896" s="62" t="s">
        <v>2281</v>
      </c>
      <c r="D896" s="105"/>
      <c r="E896" s="62" t="s">
        <v>2277</v>
      </c>
      <c r="F896" s="60"/>
      <c r="G896" s="92"/>
      <c r="H896" s="60"/>
      <c r="I896" s="60"/>
      <c r="J896" s="60"/>
      <c r="K896" s="71" t="str">
        <f>VLOOKUP(E896,'HEAD OF THE FAMILY'!$B$6:$J1851,9,FALSE)</f>
        <v>BLOCK 4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60">
        <f t="shared" si="5"/>
        <v>892</v>
      </c>
      <c r="B897" s="62" t="s">
        <v>791</v>
      </c>
      <c r="C897" s="62" t="s">
        <v>2282</v>
      </c>
      <c r="D897" s="105"/>
      <c r="E897" s="62" t="s">
        <v>2277</v>
      </c>
      <c r="F897" s="60"/>
      <c r="G897" s="92"/>
      <c r="H897" s="60"/>
      <c r="I897" s="60"/>
      <c r="J897" s="60"/>
      <c r="K897" s="71" t="str">
        <f>VLOOKUP(E897,'HEAD OF THE FAMILY'!$B$6:$J1851,9,FALSE)</f>
        <v>BLOCK 4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60">
        <f t="shared" si="5"/>
        <v>893</v>
      </c>
      <c r="B898" s="62" t="s">
        <v>791</v>
      </c>
      <c r="C898" s="62" t="s">
        <v>2284</v>
      </c>
      <c r="D898" s="105"/>
      <c r="E898" s="62" t="s">
        <v>2277</v>
      </c>
      <c r="F898" s="60"/>
      <c r="G898" s="92"/>
      <c r="H898" s="60"/>
      <c r="I898" s="60"/>
      <c r="J898" s="60"/>
      <c r="K898" s="71" t="str">
        <f>VLOOKUP(E898,'HEAD OF THE FAMILY'!$B$6:$J1851,9,FALSE)</f>
        <v>BLOCK 4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60">
        <f t="shared" si="5"/>
        <v>894</v>
      </c>
      <c r="B899" s="62" t="s">
        <v>791</v>
      </c>
      <c r="C899" s="62" t="s">
        <v>2285</v>
      </c>
      <c r="D899" s="105"/>
      <c r="E899" s="62" t="s">
        <v>2277</v>
      </c>
      <c r="F899" s="60"/>
      <c r="G899" s="92"/>
      <c r="H899" s="60"/>
      <c r="I899" s="60"/>
      <c r="J899" s="60"/>
      <c r="K899" s="71" t="str">
        <f>VLOOKUP(E899,'HEAD OF THE FAMILY'!$B$6:$J1851,9,FALSE)</f>
        <v>BLOCK 4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60">
        <f t="shared" si="5"/>
        <v>895</v>
      </c>
      <c r="B900" s="62" t="s">
        <v>2287</v>
      </c>
      <c r="C900" s="62" t="s">
        <v>2288</v>
      </c>
      <c r="D900" s="105"/>
      <c r="E900" s="62" t="s">
        <v>2289</v>
      </c>
      <c r="F900" s="60"/>
      <c r="G900" s="92"/>
      <c r="H900" s="60"/>
      <c r="I900" s="60"/>
      <c r="J900" s="60"/>
      <c r="K900" s="71" t="str">
        <f>VLOOKUP(E900,'HEAD OF THE FAMILY'!$B$6:$J1851,9,FALSE)</f>
        <v>BLOCK 4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60">
        <f t="shared" si="5"/>
        <v>896</v>
      </c>
      <c r="B901" s="62" t="s">
        <v>2287</v>
      </c>
      <c r="C901" s="62" t="s">
        <v>2290</v>
      </c>
      <c r="D901" s="105"/>
      <c r="E901" s="62" t="s">
        <v>2289</v>
      </c>
      <c r="F901" s="60"/>
      <c r="G901" s="92"/>
      <c r="H901" s="60"/>
      <c r="I901" s="60"/>
      <c r="J901" s="60"/>
      <c r="K901" s="71" t="str">
        <f>VLOOKUP(E901,'HEAD OF THE FAMILY'!$B$6:$J1851,9,FALSE)</f>
        <v>BLOCK 4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60">
        <f t="shared" si="5"/>
        <v>897</v>
      </c>
      <c r="B902" s="62" t="s">
        <v>2292</v>
      </c>
      <c r="C902" s="62" t="s">
        <v>2293</v>
      </c>
      <c r="D902" s="105"/>
      <c r="E902" s="62" t="s">
        <v>2294</v>
      </c>
      <c r="F902" s="60"/>
      <c r="G902" s="92"/>
      <c r="H902" s="60"/>
      <c r="I902" s="60"/>
      <c r="J902" s="60"/>
      <c r="K902" s="71" t="str">
        <f>VLOOKUP(E902,'HEAD OF THE FAMILY'!$B$6:$J1851,9,FALSE)</f>
        <v>BLOCK 4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60">
        <f t="shared" si="5"/>
        <v>898</v>
      </c>
      <c r="B903" s="62" t="s">
        <v>2292</v>
      </c>
      <c r="C903" s="62" t="s">
        <v>2295</v>
      </c>
      <c r="D903" s="105"/>
      <c r="E903" s="62" t="s">
        <v>2294</v>
      </c>
      <c r="F903" s="60"/>
      <c r="G903" s="92"/>
      <c r="H903" s="60"/>
      <c r="I903" s="60"/>
      <c r="J903" s="60"/>
      <c r="K903" s="71" t="str">
        <f>VLOOKUP(E903,'HEAD OF THE FAMILY'!$B$6:$J1851,9,FALSE)</f>
        <v>BLOCK 4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60">
        <f t="shared" si="5"/>
        <v>899</v>
      </c>
      <c r="B904" s="62" t="s">
        <v>2292</v>
      </c>
      <c r="C904" s="62" t="s">
        <v>2297</v>
      </c>
      <c r="D904" s="105"/>
      <c r="E904" s="62" t="s">
        <v>2294</v>
      </c>
      <c r="F904" s="60"/>
      <c r="G904" s="92"/>
      <c r="H904" s="60"/>
      <c r="I904" s="60"/>
      <c r="J904" s="60"/>
      <c r="K904" s="71" t="str">
        <f>VLOOKUP(E904,'HEAD OF THE FAMILY'!$B$6:$J1851,9,FALSE)</f>
        <v>BLOCK 4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60">
        <f t="shared" si="5"/>
        <v>900</v>
      </c>
      <c r="B905" s="62" t="s">
        <v>2292</v>
      </c>
      <c r="C905" s="62" t="s">
        <v>2298</v>
      </c>
      <c r="D905" s="105"/>
      <c r="E905" s="62" t="s">
        <v>2294</v>
      </c>
      <c r="F905" s="60"/>
      <c r="G905" s="92"/>
      <c r="H905" s="60"/>
      <c r="I905" s="60"/>
      <c r="J905" s="60"/>
      <c r="K905" s="71" t="str">
        <f>VLOOKUP(E905,'HEAD OF THE FAMILY'!$B$6:$J1851,9,FALSE)</f>
        <v>BLOCK 4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60">
        <f t="shared" si="5"/>
        <v>901</v>
      </c>
      <c r="B906" s="62" t="s">
        <v>2300</v>
      </c>
      <c r="C906" s="62" t="s">
        <v>2301</v>
      </c>
      <c r="D906" s="105"/>
      <c r="E906" s="62" t="s">
        <v>2143</v>
      </c>
      <c r="F906" s="60"/>
      <c r="G906" s="92"/>
      <c r="H906" s="60"/>
      <c r="I906" s="60"/>
      <c r="J906" s="60"/>
      <c r="K906" s="71" t="str">
        <f>VLOOKUP(E906,'HEAD OF THE FAMILY'!$B$6:$J1851,9,FALSE)</f>
        <v>BLOCK 4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60">
        <f t="shared" si="5"/>
        <v>902</v>
      </c>
      <c r="B907" s="62" t="s">
        <v>2300</v>
      </c>
      <c r="C907" s="62" t="s">
        <v>2303</v>
      </c>
      <c r="D907" s="105"/>
      <c r="E907" s="62" t="s">
        <v>2143</v>
      </c>
      <c r="F907" s="60"/>
      <c r="G907" s="92"/>
      <c r="H907" s="60"/>
      <c r="I907" s="60"/>
      <c r="J907" s="60"/>
      <c r="K907" s="71" t="str">
        <f>VLOOKUP(E907,'HEAD OF THE FAMILY'!$B$6:$J1851,9,FALSE)</f>
        <v>BLOCK 4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60">
        <f t="shared" si="5"/>
        <v>903</v>
      </c>
      <c r="B908" s="62" t="s">
        <v>2304</v>
      </c>
      <c r="C908" s="62" t="s">
        <v>2305</v>
      </c>
      <c r="D908" s="105"/>
      <c r="E908" s="62" t="s">
        <v>2143</v>
      </c>
      <c r="F908" s="60"/>
      <c r="G908" s="92"/>
      <c r="H908" s="60"/>
      <c r="I908" s="60"/>
      <c r="J908" s="60"/>
      <c r="K908" s="71" t="str">
        <f>VLOOKUP(E908,'HEAD OF THE FAMILY'!$B$6:$J1851,9,FALSE)</f>
        <v>BLOCK 4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60">
        <f t="shared" si="5"/>
        <v>904</v>
      </c>
      <c r="B909" s="62" t="s">
        <v>2300</v>
      </c>
      <c r="C909" s="62" t="s">
        <v>2307</v>
      </c>
      <c r="D909" s="105"/>
      <c r="E909" s="62" t="s">
        <v>2143</v>
      </c>
      <c r="F909" s="60"/>
      <c r="G909" s="92"/>
      <c r="H909" s="60"/>
      <c r="I909" s="60"/>
      <c r="J909" s="60"/>
      <c r="K909" s="71" t="str">
        <f>VLOOKUP(E909,'HEAD OF THE FAMILY'!$B$6:$J1851,9,FALSE)</f>
        <v>BLOCK 4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60" t="str">
        <f t="shared" si="5"/>
        <v/>
      </c>
      <c r="B910" s="105"/>
      <c r="C910" s="62" t="s">
        <v>2308</v>
      </c>
      <c r="D910" s="105"/>
      <c r="E910" s="62" t="s">
        <v>2143</v>
      </c>
      <c r="F910" s="60"/>
      <c r="G910" s="92"/>
      <c r="H910" s="60"/>
      <c r="I910" s="60"/>
      <c r="J910" s="75" t="s">
        <v>2309</v>
      </c>
      <c r="K910" s="71" t="str">
        <f>VLOOKUP(E910,'HEAD OF THE FAMILY'!$B$6:$J1851,9,FALSE)</f>
        <v>BLOCK 4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60" t="str">
        <f t="shared" si="5"/>
        <v/>
      </c>
      <c r="B911" s="105"/>
      <c r="C911" s="62" t="s">
        <v>1990</v>
      </c>
      <c r="D911" s="105"/>
      <c r="E911" s="62" t="s">
        <v>2143</v>
      </c>
      <c r="F911" s="60"/>
      <c r="G911" s="92"/>
      <c r="H911" s="60"/>
      <c r="I911" s="60"/>
      <c r="J911" s="75" t="s">
        <v>19</v>
      </c>
      <c r="K911" s="71" t="str">
        <f>VLOOKUP(E911,'HEAD OF THE FAMILY'!$B$6:$J1851,9,FALSE)</f>
        <v>BLOCK 4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60">
        <f t="shared" si="5"/>
        <v>907</v>
      </c>
      <c r="B912" s="62" t="s">
        <v>2311</v>
      </c>
      <c r="C912" s="62" t="s">
        <v>2312</v>
      </c>
      <c r="D912" s="105"/>
      <c r="E912" s="62" t="s">
        <v>1828</v>
      </c>
      <c r="F912" s="60"/>
      <c r="G912" s="92"/>
      <c r="H912" s="60"/>
      <c r="I912" s="60"/>
      <c r="J912" s="60"/>
      <c r="K912" s="71" t="str">
        <f>VLOOKUP(E912,'HEAD OF THE FAMILY'!$B$6:$J1851,9,FALSE)</f>
        <v>BLK 46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60">
        <f t="shared" si="5"/>
        <v>908</v>
      </c>
      <c r="B913" s="62" t="s">
        <v>2311</v>
      </c>
      <c r="C913" s="62" t="s">
        <v>2314</v>
      </c>
      <c r="D913" s="105"/>
      <c r="E913" s="62" t="s">
        <v>1828</v>
      </c>
      <c r="F913" s="60"/>
      <c r="G913" s="92"/>
      <c r="H913" s="60"/>
      <c r="I913" s="60"/>
      <c r="J913" s="60"/>
      <c r="K913" s="71" t="str">
        <f>VLOOKUP(E913,'HEAD OF THE FAMILY'!$B$6:$J1851,9,FALSE)</f>
        <v>BLK 46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60">
        <f t="shared" si="5"/>
        <v>909</v>
      </c>
      <c r="B914" s="62" t="s">
        <v>2311</v>
      </c>
      <c r="C914" s="62" t="s">
        <v>2315</v>
      </c>
      <c r="D914" s="105"/>
      <c r="E914" s="62" t="s">
        <v>1828</v>
      </c>
      <c r="F914" s="60"/>
      <c r="G914" s="92"/>
      <c r="H914" s="60"/>
      <c r="I914" s="60"/>
      <c r="J914" s="60"/>
      <c r="K914" s="71" t="str">
        <f>VLOOKUP(E914,'HEAD OF THE FAMILY'!$B$6:$J1851,9,FALSE)</f>
        <v>BLK 46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60">
        <f t="shared" si="5"/>
        <v>910</v>
      </c>
      <c r="B915" s="62" t="s">
        <v>2317</v>
      </c>
      <c r="C915" s="62" t="s">
        <v>2318</v>
      </c>
      <c r="D915" s="105"/>
      <c r="E915" s="62" t="s">
        <v>2319</v>
      </c>
      <c r="F915" s="60"/>
      <c r="G915" s="92"/>
      <c r="H915" s="60"/>
      <c r="I915" s="60"/>
      <c r="J915" s="60"/>
      <c r="K915" s="71" t="str">
        <f>VLOOKUP(E915,'HEAD OF THE FAMILY'!$B$6:$J1851,9,FALSE)</f>
        <v>BLK 46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60">
        <f t="shared" si="5"/>
        <v>911</v>
      </c>
      <c r="B916" s="62" t="s">
        <v>2317</v>
      </c>
      <c r="C916" s="62" t="s">
        <v>2320</v>
      </c>
      <c r="D916" s="105"/>
      <c r="E916" s="62" t="s">
        <v>2319</v>
      </c>
      <c r="F916" s="60"/>
      <c r="G916" s="92"/>
      <c r="H916" s="60"/>
      <c r="I916" s="60"/>
      <c r="J916" s="60"/>
      <c r="K916" s="71" t="str">
        <f>VLOOKUP(E916,'HEAD OF THE FAMILY'!$B$6:$J1851,9,FALSE)</f>
        <v>BLK 46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60">
        <f t="shared" si="5"/>
        <v>912</v>
      </c>
      <c r="B917" s="62" t="s">
        <v>2322</v>
      </c>
      <c r="C917" s="62" t="s">
        <v>2323</v>
      </c>
      <c r="D917" s="62" t="s">
        <v>1065</v>
      </c>
      <c r="E917" s="62" t="s">
        <v>330</v>
      </c>
      <c r="F917" s="60"/>
      <c r="G917" s="92"/>
      <c r="H917" s="60"/>
      <c r="I917" s="60"/>
      <c r="J917" s="60"/>
      <c r="K917" s="71" t="str">
        <f>VLOOKUP(E917,'HEAD OF THE FAMILY'!$B$6:$J1851,9,FALSE)</f>
        <v>BLK 46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60">
        <f t="shared" si="5"/>
        <v>913</v>
      </c>
      <c r="B918" s="62" t="s">
        <v>2322</v>
      </c>
      <c r="C918" s="62" t="s">
        <v>2324</v>
      </c>
      <c r="D918" s="62" t="s">
        <v>1065</v>
      </c>
      <c r="E918" s="62" t="s">
        <v>330</v>
      </c>
      <c r="F918" s="60"/>
      <c r="G918" s="92"/>
      <c r="H918" s="60"/>
      <c r="I918" s="60"/>
      <c r="J918" s="60"/>
      <c r="K918" s="71" t="str">
        <f>VLOOKUP(E918,'HEAD OF THE FAMILY'!$B$6:$J1851,9,FALSE)</f>
        <v>BLK 46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60">
        <f t="shared" si="5"/>
        <v>914</v>
      </c>
      <c r="B919" s="62" t="s">
        <v>2322</v>
      </c>
      <c r="C919" s="62" t="s">
        <v>2326</v>
      </c>
      <c r="D919" s="62" t="s">
        <v>1065</v>
      </c>
      <c r="E919" s="62" t="s">
        <v>330</v>
      </c>
      <c r="F919" s="60"/>
      <c r="G919" s="92"/>
      <c r="H919" s="60"/>
      <c r="I919" s="60"/>
      <c r="J919" s="60"/>
      <c r="K919" s="71" t="str">
        <f>VLOOKUP(E919,'HEAD OF THE FAMILY'!$B$6:$J1851,9,FALSE)</f>
        <v>BLK 46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60">
        <f t="shared" si="5"/>
        <v>915</v>
      </c>
      <c r="B920" s="62" t="s">
        <v>2329</v>
      </c>
      <c r="C920" s="62" t="s">
        <v>2330</v>
      </c>
      <c r="D920" s="105"/>
      <c r="E920" s="62" t="s">
        <v>1725</v>
      </c>
      <c r="F920" s="60"/>
      <c r="G920" s="92"/>
      <c r="H920" s="60"/>
      <c r="I920" s="60"/>
      <c r="J920" s="75" t="s">
        <v>18</v>
      </c>
      <c r="K920" s="71" t="str">
        <f>VLOOKUP(E920,'HEAD OF THE FAMILY'!$B$6:$J1851,9,FALSE)</f>
        <v>BLK 1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60">
        <f t="shared" si="5"/>
        <v>916</v>
      </c>
      <c r="B921" s="62" t="s">
        <v>2331</v>
      </c>
      <c r="C921" s="62" t="s">
        <v>2332</v>
      </c>
      <c r="D921" s="62" t="s">
        <v>1065</v>
      </c>
      <c r="E921" s="62" t="s">
        <v>2335</v>
      </c>
      <c r="F921" s="60"/>
      <c r="G921" s="92"/>
      <c r="H921" s="60"/>
      <c r="I921" s="60"/>
      <c r="J921" s="60"/>
      <c r="K921" s="71" t="str">
        <f>VLOOKUP(E921,'HEAD OF THE FAMILY'!$B$6:$J1851,9,FALSE)</f>
        <v>BLK 46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60">
        <f t="shared" si="5"/>
        <v>917</v>
      </c>
      <c r="B922" s="62" t="s">
        <v>2331</v>
      </c>
      <c r="C922" s="62" t="s">
        <v>1078</v>
      </c>
      <c r="D922" s="62" t="s">
        <v>1065</v>
      </c>
      <c r="E922" s="62" t="s">
        <v>2335</v>
      </c>
      <c r="F922" s="60"/>
      <c r="G922" s="92"/>
      <c r="H922" s="60"/>
      <c r="I922" s="60"/>
      <c r="J922" s="60"/>
      <c r="K922" s="71" t="str">
        <f>VLOOKUP(E922,'HEAD OF THE FAMILY'!$B$6:$J1851,9,FALSE)</f>
        <v>BLK 46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60">
        <f t="shared" si="5"/>
        <v>918</v>
      </c>
      <c r="B923" s="62" t="s">
        <v>2339</v>
      </c>
      <c r="C923" s="62" t="s">
        <v>577</v>
      </c>
      <c r="D923" s="105"/>
      <c r="E923" s="62" t="s">
        <v>475</v>
      </c>
      <c r="F923" s="60"/>
      <c r="G923" s="92"/>
      <c r="H923" s="60"/>
      <c r="I923" s="60"/>
      <c r="J923" s="60"/>
      <c r="K923" s="71" t="str">
        <f>VLOOKUP(E923,'HEAD OF THE FAMILY'!$B$6:$J1851,9,FALSE)</f>
        <v>BLK 46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60">
        <f t="shared" si="5"/>
        <v>919</v>
      </c>
      <c r="B924" s="62" t="s">
        <v>1328</v>
      </c>
      <c r="C924" s="62" t="s">
        <v>2340</v>
      </c>
      <c r="D924" s="105"/>
      <c r="E924" s="62" t="s">
        <v>1231</v>
      </c>
      <c r="F924" s="60"/>
      <c r="G924" s="92"/>
      <c r="H924" s="60"/>
      <c r="I924" s="60"/>
      <c r="J924" s="60"/>
      <c r="K924" s="71" t="str">
        <f>VLOOKUP(E924,'HEAD OF THE FAMILY'!$B$6:$J1851,9,FALSE)</f>
        <v>BLK 46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60">
        <f t="shared" si="5"/>
        <v>920</v>
      </c>
      <c r="B925" s="62" t="s">
        <v>1328</v>
      </c>
      <c r="C925" s="62" t="s">
        <v>2342</v>
      </c>
      <c r="D925" s="105"/>
      <c r="E925" s="62" t="s">
        <v>1231</v>
      </c>
      <c r="F925" s="60"/>
      <c r="G925" s="92"/>
      <c r="H925" s="60"/>
      <c r="I925" s="60"/>
      <c r="J925" s="60"/>
      <c r="K925" s="71" t="str">
        <f>VLOOKUP(E925,'HEAD OF THE FAMILY'!$B$6:$J1851,9,FALSE)</f>
        <v>BLK 46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60">
        <f t="shared" si="5"/>
        <v>921</v>
      </c>
      <c r="B926" s="62" t="s">
        <v>2343</v>
      </c>
      <c r="C926" s="62" t="s">
        <v>2344</v>
      </c>
      <c r="D926" s="105"/>
      <c r="E926" s="62" t="s">
        <v>135</v>
      </c>
      <c r="F926" s="60"/>
      <c r="G926" s="92"/>
      <c r="H926" s="60"/>
      <c r="I926" s="60"/>
      <c r="J926" s="60"/>
      <c r="K926" s="71" t="str">
        <f>VLOOKUP(E926,'HEAD OF THE FAMILY'!$B$6:$J1851,9,FALSE)</f>
        <v>BLK 46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60">
        <f t="shared" si="5"/>
        <v>922</v>
      </c>
      <c r="B927" s="62" t="s">
        <v>2343</v>
      </c>
      <c r="C927" s="62" t="s">
        <v>2345</v>
      </c>
      <c r="D927" s="105"/>
      <c r="E927" s="62" t="s">
        <v>2147</v>
      </c>
      <c r="F927" s="60"/>
      <c r="G927" s="92"/>
      <c r="H927" s="60"/>
      <c r="I927" s="60"/>
      <c r="J927" s="60"/>
      <c r="K927" s="71" t="str">
        <f>VLOOKUP(E927,'HEAD OF THE FAMILY'!$B$6:$J1851,9,FALSE)</f>
        <v>BLK 46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60">
        <f t="shared" si="5"/>
        <v>923</v>
      </c>
      <c r="B928" s="62" t="s">
        <v>2343</v>
      </c>
      <c r="C928" s="62" t="s">
        <v>1783</v>
      </c>
      <c r="D928" s="105"/>
      <c r="E928" s="62" t="s">
        <v>2147</v>
      </c>
      <c r="F928" s="60"/>
      <c r="G928" s="92"/>
      <c r="H928" s="60"/>
      <c r="I928" s="60"/>
      <c r="J928" s="60"/>
      <c r="K928" s="71" t="str">
        <f>VLOOKUP(E928,'HEAD OF THE FAMILY'!$B$6:$J1851,9,FALSE)</f>
        <v>BLK 46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60">
        <f t="shared" si="5"/>
        <v>924</v>
      </c>
      <c r="B929" s="62" t="s">
        <v>2343</v>
      </c>
      <c r="C929" s="62" t="s">
        <v>2348</v>
      </c>
      <c r="D929" s="105"/>
      <c r="E929" s="62" t="s">
        <v>1042</v>
      </c>
      <c r="F929" s="60"/>
      <c r="G929" s="92"/>
      <c r="H929" s="60"/>
      <c r="I929" s="60"/>
      <c r="J929" s="60"/>
      <c r="K929" s="71" t="str">
        <f>VLOOKUP(E929,'HEAD OF THE FAMILY'!$B$6:$J1851,9,FALSE)</f>
        <v>BLK 46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60">
        <f t="shared" si="5"/>
        <v>925</v>
      </c>
      <c r="B930" s="62" t="s">
        <v>863</v>
      </c>
      <c r="C930" s="62" t="s">
        <v>2349</v>
      </c>
      <c r="D930" s="62" t="s">
        <v>1435</v>
      </c>
      <c r="E930" s="62" t="s">
        <v>2350</v>
      </c>
      <c r="F930" s="60"/>
      <c r="G930" s="92"/>
      <c r="H930" s="60"/>
      <c r="I930" s="60"/>
      <c r="J930" s="60"/>
      <c r="K930" s="71" t="str">
        <f>VLOOKUP(E930,'HEAD OF THE FAMILY'!$B$6:$J1851,9,FALSE)</f>
        <v>#N/A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60">
        <f t="shared" si="5"/>
        <v>926</v>
      </c>
      <c r="B931" s="62" t="s">
        <v>2352</v>
      </c>
      <c r="C931" s="62" t="s">
        <v>2353</v>
      </c>
      <c r="D931" s="62" t="s">
        <v>1497</v>
      </c>
      <c r="E931" s="62" t="s">
        <v>2354</v>
      </c>
      <c r="F931" s="60"/>
      <c r="G931" s="92"/>
      <c r="H931" s="60"/>
      <c r="I931" s="60"/>
      <c r="J931" s="60"/>
      <c r="K931" s="71" t="str">
        <f>VLOOKUP(E931,'HEAD OF THE FAMILY'!$B$6:$J1851,9,FALSE)</f>
        <v>BLK 46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60">
        <f t="shared" si="5"/>
        <v>927</v>
      </c>
      <c r="B932" s="62" t="s">
        <v>2356</v>
      </c>
      <c r="C932" s="62" t="s">
        <v>2357</v>
      </c>
      <c r="D932" s="105"/>
      <c r="E932" s="62" t="s">
        <v>1994</v>
      </c>
      <c r="F932" s="60"/>
      <c r="G932" s="92"/>
      <c r="H932" s="60"/>
      <c r="I932" s="60"/>
      <c r="J932" s="60"/>
      <c r="K932" s="71" t="str">
        <f>VLOOKUP(E932,'HEAD OF THE FAMILY'!$B$6:$J1851,9,FALSE)</f>
        <v>BLK 46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60">
        <f t="shared" si="5"/>
        <v>928</v>
      </c>
      <c r="B933" s="62" t="s">
        <v>2359</v>
      </c>
      <c r="C933" s="62" t="s">
        <v>2360</v>
      </c>
      <c r="D933" s="105"/>
      <c r="E933" s="62" t="s">
        <v>1700</v>
      </c>
      <c r="F933" s="60"/>
      <c r="G933" s="92"/>
      <c r="H933" s="60"/>
      <c r="I933" s="60"/>
      <c r="J933" s="60"/>
      <c r="K933" s="71" t="str">
        <f>VLOOKUP(E933,'HEAD OF THE FAMILY'!$B$6:$J1851,9,FALSE)</f>
        <v>BLK 46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60">
        <f t="shared" si="5"/>
        <v>929</v>
      </c>
      <c r="B934" s="62" t="s">
        <v>2361</v>
      </c>
      <c r="C934" s="62" t="s">
        <v>2362</v>
      </c>
      <c r="D934" s="105"/>
      <c r="E934" s="62" t="s">
        <v>848</v>
      </c>
      <c r="F934" s="60"/>
      <c r="G934" s="92"/>
      <c r="H934" s="60"/>
      <c r="I934" s="60"/>
      <c r="J934" s="60"/>
      <c r="K934" s="71" t="str">
        <f>VLOOKUP(E934,'HEAD OF THE FAMILY'!$B$6:$J1851,9,FALSE)</f>
        <v>BLK 46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60">
        <f t="shared" si="5"/>
        <v>930</v>
      </c>
      <c r="B935" s="62" t="s">
        <v>2331</v>
      </c>
      <c r="C935" s="62" t="s">
        <v>2363</v>
      </c>
      <c r="D935" s="105"/>
      <c r="E935" s="62" t="s">
        <v>2364</v>
      </c>
      <c r="F935" s="60"/>
      <c r="G935" s="92"/>
      <c r="H935" s="60"/>
      <c r="I935" s="60"/>
      <c r="J935" s="60"/>
      <c r="K935" s="71" t="str">
        <f>VLOOKUP(E935,'HEAD OF THE FAMILY'!$B$6:$J1851,9,FALSE)</f>
        <v>BLK 46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60">
        <f t="shared" si="5"/>
        <v>931</v>
      </c>
      <c r="B936" s="62" t="s">
        <v>2331</v>
      </c>
      <c r="C936" s="62" t="s">
        <v>1482</v>
      </c>
      <c r="D936" s="105"/>
      <c r="E936" s="62" t="s">
        <v>2365</v>
      </c>
      <c r="F936" s="60"/>
      <c r="G936" s="92"/>
      <c r="H936" s="60"/>
      <c r="I936" s="60"/>
      <c r="J936" s="60"/>
      <c r="K936" s="71" t="str">
        <f>VLOOKUP(E936,'HEAD OF THE FAMILY'!$B$6:$J1851,9,FALSE)</f>
        <v>BLK 46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60">
        <f t="shared" si="5"/>
        <v>932</v>
      </c>
      <c r="B937" s="62" t="s">
        <v>2331</v>
      </c>
      <c r="C937" s="62" t="s">
        <v>1588</v>
      </c>
      <c r="D937" s="105"/>
      <c r="E937" s="62" t="s">
        <v>2365</v>
      </c>
      <c r="F937" s="60"/>
      <c r="G937" s="92"/>
      <c r="H937" s="60"/>
      <c r="I937" s="60"/>
      <c r="J937" s="60"/>
      <c r="K937" s="71" t="str">
        <f>VLOOKUP(E937,'HEAD OF THE FAMILY'!$B$6:$J1851,9,FALSE)</f>
        <v>BLK 46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60">
        <f t="shared" si="5"/>
        <v>933</v>
      </c>
      <c r="B938" s="62" t="s">
        <v>2331</v>
      </c>
      <c r="C938" s="62" t="s">
        <v>2367</v>
      </c>
      <c r="D938" s="105"/>
      <c r="E938" s="62" t="s">
        <v>2365</v>
      </c>
      <c r="F938" s="60"/>
      <c r="G938" s="92"/>
      <c r="H938" s="60"/>
      <c r="I938" s="60"/>
      <c r="J938" s="60"/>
      <c r="K938" s="71" t="str">
        <f>VLOOKUP(E938,'HEAD OF THE FAMILY'!$B$6:$J1851,9,FALSE)</f>
        <v>BLK 46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60">
        <f t="shared" si="5"/>
        <v>934</v>
      </c>
      <c r="B939" s="62" t="s">
        <v>2369</v>
      </c>
      <c r="C939" s="62" t="s">
        <v>2370</v>
      </c>
      <c r="D939" s="105"/>
      <c r="E939" s="62" t="s">
        <v>2371</v>
      </c>
      <c r="F939" s="60"/>
      <c r="G939" s="92"/>
      <c r="H939" s="60"/>
      <c r="I939" s="60"/>
      <c r="J939" s="60"/>
      <c r="K939" s="71" t="str">
        <f>VLOOKUP(E939,'HEAD OF THE FAMILY'!$B$6:$J1851,9,FALSE)</f>
        <v>BLK 46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60">
        <f t="shared" si="5"/>
        <v>935</v>
      </c>
      <c r="B940" s="62" t="s">
        <v>2372</v>
      </c>
      <c r="C940" s="62" t="s">
        <v>2373</v>
      </c>
      <c r="D940" s="105"/>
      <c r="E940" s="62" t="s">
        <v>1516</v>
      </c>
      <c r="F940" s="60"/>
      <c r="G940" s="92"/>
      <c r="H940" s="60"/>
      <c r="I940" s="60"/>
      <c r="J940" s="60"/>
      <c r="K940" s="71" t="str">
        <f>VLOOKUP(E940,'HEAD OF THE FAMILY'!$B$6:$J1851,9,FALSE)</f>
        <v>BLK 46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60">
        <f t="shared" si="5"/>
        <v>936</v>
      </c>
      <c r="B941" s="62" t="s">
        <v>2375</v>
      </c>
      <c r="C941" s="62" t="s">
        <v>2376</v>
      </c>
      <c r="D941" s="105"/>
      <c r="E941" s="62" t="s">
        <v>971</v>
      </c>
      <c r="F941" s="60"/>
      <c r="G941" s="92"/>
      <c r="H941" s="60"/>
      <c r="I941" s="60"/>
      <c r="J941" s="60"/>
      <c r="K941" s="71" t="str">
        <f>VLOOKUP(E941,'HEAD OF THE FAMILY'!$B$6:$J1851,9,FALSE)</f>
        <v>BLK 46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60">
        <f t="shared" si="5"/>
        <v>937</v>
      </c>
      <c r="B942" s="62" t="s">
        <v>2375</v>
      </c>
      <c r="C942" s="62" t="s">
        <v>1795</v>
      </c>
      <c r="D942" s="105"/>
      <c r="E942" s="62" t="s">
        <v>971</v>
      </c>
      <c r="F942" s="60"/>
      <c r="G942" s="92"/>
      <c r="H942" s="60"/>
      <c r="I942" s="60"/>
      <c r="J942" s="60"/>
      <c r="K942" s="71" t="str">
        <f>VLOOKUP(E942,'HEAD OF THE FAMILY'!$B$6:$J1851,9,FALSE)</f>
        <v>BLK 46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60">
        <f t="shared" si="5"/>
        <v>938</v>
      </c>
      <c r="B943" s="62" t="s">
        <v>2375</v>
      </c>
      <c r="C943" s="62" t="s">
        <v>2378</v>
      </c>
      <c r="D943" s="105"/>
      <c r="E943" s="62" t="s">
        <v>971</v>
      </c>
      <c r="F943" s="60"/>
      <c r="G943" s="92"/>
      <c r="H943" s="60"/>
      <c r="I943" s="60"/>
      <c r="J943" s="60"/>
      <c r="K943" s="71" t="str">
        <f>VLOOKUP(E943,'HEAD OF THE FAMILY'!$B$6:$J1851,9,FALSE)</f>
        <v>BLK 46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60">
        <f t="shared" si="5"/>
        <v>939</v>
      </c>
      <c r="B944" s="62" t="s">
        <v>2379</v>
      </c>
      <c r="C944" s="62" t="s">
        <v>2380</v>
      </c>
      <c r="D944" s="105"/>
      <c r="E944" s="62" t="s">
        <v>2381</v>
      </c>
      <c r="F944" s="60"/>
      <c r="G944" s="92"/>
      <c r="H944" s="60"/>
      <c r="I944" s="60"/>
      <c r="J944" s="60"/>
      <c r="K944" s="71" t="str">
        <f>VLOOKUP(E944,'HEAD OF THE FAMILY'!$B$6:$J1851,9,FALSE)</f>
        <v>BLK 46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60">
        <f t="shared" si="5"/>
        <v>940</v>
      </c>
      <c r="B945" s="62" t="s">
        <v>2379</v>
      </c>
      <c r="C945" s="62" t="s">
        <v>2383</v>
      </c>
      <c r="D945" s="105"/>
      <c r="E945" s="62" t="s">
        <v>2381</v>
      </c>
      <c r="F945" s="60"/>
      <c r="G945" s="92"/>
      <c r="H945" s="60"/>
      <c r="I945" s="60"/>
      <c r="J945" s="60"/>
      <c r="K945" s="71" t="str">
        <f>VLOOKUP(E945,'HEAD OF THE FAMILY'!$B$6:$J1851,9,FALSE)</f>
        <v>BLK 46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60">
        <f t="shared" si="5"/>
        <v>941</v>
      </c>
      <c r="B946" s="62" t="s">
        <v>1441</v>
      </c>
      <c r="C946" s="62" t="s">
        <v>2384</v>
      </c>
      <c r="D946" s="105"/>
      <c r="E946" s="62" t="s">
        <v>1448</v>
      </c>
      <c r="F946" s="60"/>
      <c r="G946" s="92"/>
      <c r="H946" s="60"/>
      <c r="I946" s="60"/>
      <c r="J946" s="60"/>
      <c r="K946" s="71" t="str">
        <f>VLOOKUP(E946,'HEAD OF THE FAMILY'!$B$6:$J1851,9,FALSE)</f>
        <v>BLK 3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60">
        <f t="shared" si="5"/>
        <v>942</v>
      </c>
      <c r="B947" s="62" t="s">
        <v>2385</v>
      </c>
      <c r="C947" s="62" t="s">
        <v>2386</v>
      </c>
      <c r="D947" s="105"/>
      <c r="E947" s="62" t="s">
        <v>1136</v>
      </c>
      <c r="F947" s="60"/>
      <c r="G947" s="92"/>
      <c r="H947" s="60"/>
      <c r="I947" s="60"/>
      <c r="J947" s="60"/>
      <c r="K947" s="71" t="str">
        <f>VLOOKUP(E947,'HEAD OF THE FAMILY'!$B$6:$J1851,9,FALSE)</f>
        <v>BLK 46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60">
        <f t="shared" si="5"/>
        <v>943</v>
      </c>
      <c r="B948" s="62" t="s">
        <v>2379</v>
      </c>
      <c r="C948" s="62" t="s">
        <v>2388</v>
      </c>
      <c r="D948" s="105"/>
      <c r="E948" s="62" t="s">
        <v>1818</v>
      </c>
      <c r="F948" s="60"/>
      <c r="G948" s="92"/>
      <c r="H948" s="60"/>
      <c r="I948" s="60"/>
      <c r="J948" s="60"/>
      <c r="K948" s="71" t="str">
        <f>VLOOKUP(E948,'HEAD OF THE FAMILY'!$B$6:$J1851,9,FALSE)</f>
        <v>BLK 46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60">
        <f t="shared" si="5"/>
        <v>944</v>
      </c>
      <c r="B949" s="62" t="s">
        <v>2375</v>
      </c>
      <c r="C949" s="62" t="s">
        <v>2389</v>
      </c>
      <c r="D949" s="105"/>
      <c r="E949" s="62" t="s">
        <v>2214</v>
      </c>
      <c r="F949" s="60"/>
      <c r="G949" s="92"/>
      <c r="H949" s="60"/>
      <c r="I949" s="60"/>
      <c r="J949" s="60"/>
      <c r="K949" s="71" t="str">
        <f>VLOOKUP(E949,'HEAD OF THE FAMILY'!$B$6:$J1851,9,FALSE)</f>
        <v>BLK 46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60">
        <f t="shared" si="5"/>
        <v>945</v>
      </c>
      <c r="B950" s="62" t="s">
        <v>2375</v>
      </c>
      <c r="C950" s="62" t="s">
        <v>2391</v>
      </c>
      <c r="D950" s="105"/>
      <c r="E950" s="62" t="s">
        <v>2214</v>
      </c>
      <c r="F950" s="60"/>
      <c r="G950" s="92"/>
      <c r="H950" s="60"/>
      <c r="I950" s="60"/>
      <c r="J950" s="60"/>
      <c r="K950" s="71" t="str">
        <f>VLOOKUP(E950,'HEAD OF THE FAMILY'!$B$6:$J1851,9,FALSE)</f>
        <v>BLK 46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60">
        <f t="shared" si="5"/>
        <v>946</v>
      </c>
      <c r="B951" s="62" t="s">
        <v>2331</v>
      </c>
      <c r="C951" s="62" t="s">
        <v>2392</v>
      </c>
      <c r="D951" s="105"/>
      <c r="E951" s="62" t="s">
        <v>427</v>
      </c>
      <c r="F951" s="60"/>
      <c r="G951" s="92"/>
      <c r="H951" s="60"/>
      <c r="I951" s="60"/>
      <c r="J951" s="60"/>
      <c r="K951" s="71" t="str">
        <f>VLOOKUP(E951,'HEAD OF THE FAMILY'!$B$6:$J1851,9,FALSE)</f>
        <v>BLK 46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60">
        <f t="shared" si="5"/>
        <v>947</v>
      </c>
      <c r="B952" s="62" t="s">
        <v>2331</v>
      </c>
      <c r="C952" s="62" t="s">
        <v>2393</v>
      </c>
      <c r="D952" s="105"/>
      <c r="E952" s="62" t="s">
        <v>2394</v>
      </c>
      <c r="F952" s="60"/>
      <c r="G952" s="92"/>
      <c r="H952" s="60"/>
      <c r="I952" s="60"/>
      <c r="J952" s="60"/>
      <c r="K952" s="71" t="str">
        <f>VLOOKUP(E952,'HEAD OF THE FAMILY'!$B$6:$J1851,9,FALSE)</f>
        <v>BLK 46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60">
        <f t="shared" si="5"/>
        <v>948</v>
      </c>
      <c r="B953" s="62" t="s">
        <v>690</v>
      </c>
      <c r="C953" s="62" t="s">
        <v>2396</v>
      </c>
      <c r="D953" s="62" t="s">
        <v>1065</v>
      </c>
      <c r="E953" s="62" t="s">
        <v>2397</v>
      </c>
      <c r="F953" s="60"/>
      <c r="G953" s="92"/>
      <c r="H953" s="60"/>
      <c r="I953" s="60"/>
      <c r="J953" s="60"/>
      <c r="K953" s="71" t="str">
        <f>VLOOKUP(E953,'HEAD OF THE FAMILY'!$B$6:$J1851,9,FALSE)</f>
        <v>BLK 46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60">
        <f t="shared" si="5"/>
        <v>949</v>
      </c>
      <c r="B954" s="62" t="s">
        <v>2399</v>
      </c>
      <c r="C954" s="62" t="s">
        <v>2400</v>
      </c>
      <c r="D954" s="105"/>
      <c r="E954" s="62" t="s">
        <v>1652</v>
      </c>
      <c r="F954" s="60"/>
      <c r="G954" s="92"/>
      <c r="H954" s="60"/>
      <c r="I954" s="60"/>
      <c r="J954" s="60"/>
      <c r="K954" s="71" t="str">
        <f>VLOOKUP(E954,'HEAD OF THE FAMILY'!$B$6:$J1851,9,FALSE)</f>
        <v>BLK 46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60">
        <f t="shared" si="5"/>
        <v>950</v>
      </c>
      <c r="B955" s="62" t="s">
        <v>2399</v>
      </c>
      <c r="C955" s="62" t="s">
        <v>2401</v>
      </c>
      <c r="D955" s="105"/>
      <c r="E955" s="62" t="s">
        <v>1652</v>
      </c>
      <c r="F955" s="60"/>
      <c r="G955" s="92"/>
      <c r="H955" s="60"/>
      <c r="I955" s="60"/>
      <c r="J955" s="60"/>
      <c r="K955" s="71" t="str">
        <f>VLOOKUP(E955,'HEAD OF THE FAMILY'!$B$6:$J1851,9,FALSE)</f>
        <v>BLK 46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60">
        <f t="shared" si="5"/>
        <v>951</v>
      </c>
      <c r="B956" s="62" t="s">
        <v>2399</v>
      </c>
      <c r="C956" s="62" t="s">
        <v>2403</v>
      </c>
      <c r="D956" s="62" t="s">
        <v>1463</v>
      </c>
      <c r="E956" s="62" t="s">
        <v>1746</v>
      </c>
      <c r="F956" s="60"/>
      <c r="G956" s="92"/>
      <c r="H956" s="60"/>
      <c r="I956" s="60"/>
      <c r="J956" s="60"/>
      <c r="K956" s="71" t="str">
        <f>VLOOKUP(E956,'HEAD OF THE FAMILY'!$B$6:$J1851,9,FALSE)</f>
        <v>BLK 46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60">
        <f t="shared" si="5"/>
        <v>952</v>
      </c>
      <c r="B957" s="62" t="s">
        <v>2399</v>
      </c>
      <c r="C957" s="62" t="s">
        <v>1840</v>
      </c>
      <c r="D957" s="62" t="s">
        <v>1463</v>
      </c>
      <c r="E957" s="62" t="s">
        <v>1746</v>
      </c>
      <c r="F957" s="60"/>
      <c r="G957" s="92"/>
      <c r="H957" s="60"/>
      <c r="I957" s="60"/>
      <c r="J957" s="60"/>
      <c r="K957" s="71" t="str">
        <f>VLOOKUP(E957,'HEAD OF THE FAMILY'!$B$6:$J1851,9,FALSE)</f>
        <v>BLK 46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60">
        <f t="shared" si="5"/>
        <v>953</v>
      </c>
      <c r="B958" s="62" t="s">
        <v>2399</v>
      </c>
      <c r="C958" s="62" t="s">
        <v>2405</v>
      </c>
      <c r="D958" s="62" t="s">
        <v>1463</v>
      </c>
      <c r="E958" s="62" t="s">
        <v>1746</v>
      </c>
      <c r="F958" s="60"/>
      <c r="G958" s="92"/>
      <c r="H958" s="60"/>
      <c r="I958" s="60"/>
      <c r="J958" s="60"/>
      <c r="K958" s="71" t="str">
        <f>VLOOKUP(E958,'HEAD OF THE FAMILY'!$B$6:$J1851,9,FALSE)</f>
        <v>BLK 46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60">
        <f t="shared" si="5"/>
        <v>954</v>
      </c>
      <c r="B959" s="62" t="s">
        <v>2407</v>
      </c>
      <c r="C959" s="62" t="s">
        <v>2408</v>
      </c>
      <c r="D959" s="62" t="s">
        <v>2138</v>
      </c>
      <c r="E959" s="62" t="s">
        <v>489</v>
      </c>
      <c r="F959" s="60"/>
      <c r="G959" s="92"/>
      <c r="H959" s="60"/>
      <c r="I959" s="60"/>
      <c r="J959" s="60"/>
      <c r="K959" s="71" t="str">
        <f>VLOOKUP(E959,'HEAD OF THE FAMILY'!$B$6:$J1851,9,FALSE)</f>
        <v>BLK 46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60">
        <f t="shared" si="5"/>
        <v>955</v>
      </c>
      <c r="B960" s="62" t="s">
        <v>2399</v>
      </c>
      <c r="C960" s="62" t="s">
        <v>2411</v>
      </c>
      <c r="D960" s="105"/>
      <c r="E960" s="62" t="s">
        <v>2264</v>
      </c>
      <c r="F960" s="60"/>
      <c r="G960" s="92"/>
      <c r="H960" s="60"/>
      <c r="I960" s="60"/>
      <c r="J960" s="60"/>
      <c r="K960" s="71" t="str">
        <f>VLOOKUP(E960,'HEAD OF THE FAMILY'!$B$6:$J1851,9,FALSE)</f>
        <v>BLK 46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60">
        <f t="shared" si="5"/>
        <v>956</v>
      </c>
      <c r="B961" s="62" t="s">
        <v>2412</v>
      </c>
      <c r="C961" s="62" t="s">
        <v>2413</v>
      </c>
      <c r="D961" s="105"/>
      <c r="E961" s="62" t="s">
        <v>1746</v>
      </c>
      <c r="F961" s="60"/>
      <c r="G961" s="92"/>
      <c r="H961" s="60"/>
      <c r="I961" s="60"/>
      <c r="J961" s="60"/>
      <c r="K961" s="71" t="str">
        <f>VLOOKUP(E961,'HEAD OF THE FAMILY'!$B$6:$J1851,9,FALSE)</f>
        <v>BLK 46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60">
        <f t="shared" si="5"/>
        <v>957</v>
      </c>
      <c r="B962" s="62" t="s">
        <v>2412</v>
      </c>
      <c r="C962" s="62" t="s">
        <v>2414</v>
      </c>
      <c r="D962" s="105"/>
      <c r="E962" s="62" t="s">
        <v>1746</v>
      </c>
      <c r="F962" s="60"/>
      <c r="G962" s="92"/>
      <c r="H962" s="60"/>
      <c r="I962" s="60"/>
      <c r="J962" s="60"/>
      <c r="K962" s="71" t="str">
        <f>VLOOKUP(E962,'HEAD OF THE FAMILY'!$B$6:$J1851,9,FALSE)</f>
        <v>BLK 46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60">
        <f t="shared" si="5"/>
        <v>958</v>
      </c>
      <c r="B963" s="62" t="s">
        <v>2399</v>
      </c>
      <c r="C963" s="62" t="s">
        <v>2417</v>
      </c>
      <c r="D963" s="105"/>
      <c r="E963" s="62" t="s">
        <v>1746</v>
      </c>
      <c r="F963" s="60"/>
      <c r="G963" s="92"/>
      <c r="H963" s="60"/>
      <c r="I963" s="60"/>
      <c r="J963" s="60"/>
      <c r="K963" s="71" t="str">
        <f>VLOOKUP(E963,'HEAD OF THE FAMILY'!$B$6:$J1851,9,FALSE)</f>
        <v>BLK 46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60">
        <f t="shared" si="5"/>
        <v>959</v>
      </c>
      <c r="B964" s="62" t="s">
        <v>2399</v>
      </c>
      <c r="C964" s="62" t="s">
        <v>2295</v>
      </c>
      <c r="D964" s="105"/>
      <c r="E964" s="62" t="s">
        <v>1746</v>
      </c>
      <c r="F964" s="60"/>
      <c r="G964" s="92"/>
      <c r="H964" s="60"/>
      <c r="I964" s="60"/>
      <c r="J964" s="60"/>
      <c r="K964" s="71" t="str">
        <f>VLOOKUP(E964,'HEAD OF THE FAMILY'!$B$6:$J1851,9,FALSE)</f>
        <v>BLK 46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60">
        <f t="shared" si="5"/>
        <v>960</v>
      </c>
      <c r="B965" s="62" t="s">
        <v>2399</v>
      </c>
      <c r="C965" s="62" t="s">
        <v>2418</v>
      </c>
      <c r="D965" s="105"/>
      <c r="E965" s="62" t="s">
        <v>1746</v>
      </c>
      <c r="F965" s="60"/>
      <c r="G965" s="92"/>
      <c r="H965" s="60"/>
      <c r="I965" s="60"/>
      <c r="J965" s="60"/>
      <c r="K965" s="71" t="str">
        <f>VLOOKUP(E965,'HEAD OF THE FAMILY'!$B$6:$J1851,9,FALSE)</f>
        <v>BLK 46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60">
        <f t="shared" si="5"/>
        <v>961</v>
      </c>
      <c r="B966" s="62" t="s">
        <v>2419</v>
      </c>
      <c r="C966" s="62" t="s">
        <v>2420</v>
      </c>
      <c r="D966" s="62" t="s">
        <v>1497</v>
      </c>
      <c r="E966" s="62" t="s">
        <v>2422</v>
      </c>
      <c r="F966" s="60"/>
      <c r="G966" s="92"/>
      <c r="H966" s="60"/>
      <c r="I966" s="60"/>
      <c r="J966" s="60"/>
      <c r="K966" s="71" t="str">
        <f>VLOOKUP(E966,'HEAD OF THE FAMILY'!$B$6:$J1851,9,FALSE)</f>
        <v>#N/A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60">
        <f t="shared" si="5"/>
        <v>962</v>
      </c>
      <c r="B967" s="62" t="s">
        <v>2419</v>
      </c>
      <c r="C967" s="62" t="s">
        <v>2423</v>
      </c>
      <c r="D967" s="62" t="s">
        <v>1497</v>
      </c>
      <c r="E967" s="62" t="s">
        <v>2422</v>
      </c>
      <c r="F967" s="60"/>
      <c r="G967" s="92"/>
      <c r="H967" s="60"/>
      <c r="I967" s="60"/>
      <c r="J967" s="60"/>
      <c r="K967" s="71" t="str">
        <f>VLOOKUP(E967,'HEAD OF THE FAMILY'!$B$6:$J1851,9,FALSE)</f>
        <v>#N/A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60">
        <f t="shared" si="5"/>
        <v>963</v>
      </c>
      <c r="B968" s="62" t="s">
        <v>2419</v>
      </c>
      <c r="C968" s="62" t="s">
        <v>2425</v>
      </c>
      <c r="D968" s="62" t="s">
        <v>1497</v>
      </c>
      <c r="E968" s="62" t="s">
        <v>2422</v>
      </c>
      <c r="F968" s="60"/>
      <c r="G968" s="92"/>
      <c r="H968" s="60"/>
      <c r="I968" s="60"/>
      <c r="J968" s="60"/>
      <c r="K968" s="71" t="str">
        <f>VLOOKUP(E968,'HEAD OF THE FAMILY'!$B$6:$J1851,9,FALSE)</f>
        <v>#N/A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60">
        <f t="shared" si="5"/>
        <v>964</v>
      </c>
      <c r="B969" s="62" t="s">
        <v>2419</v>
      </c>
      <c r="C969" s="62" t="s">
        <v>2427</v>
      </c>
      <c r="D969" s="62" t="s">
        <v>1497</v>
      </c>
      <c r="E969" s="62" t="s">
        <v>2422</v>
      </c>
      <c r="F969" s="60"/>
      <c r="G969" s="92"/>
      <c r="H969" s="60"/>
      <c r="I969" s="60"/>
      <c r="J969" s="60"/>
      <c r="K969" s="71" t="str">
        <f>VLOOKUP(E969,'HEAD OF THE FAMILY'!$B$6:$J1851,9,FALSE)</f>
        <v>#N/A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60">
        <f t="shared" si="5"/>
        <v>965</v>
      </c>
      <c r="B970" s="62" t="s">
        <v>2429</v>
      </c>
      <c r="C970" s="62" t="s">
        <v>1373</v>
      </c>
      <c r="D970" s="105"/>
      <c r="E970" s="62" t="s">
        <v>2430</v>
      </c>
      <c r="F970" s="60"/>
      <c r="G970" s="92"/>
      <c r="H970" s="60"/>
      <c r="I970" s="60"/>
      <c r="J970" s="60"/>
      <c r="K970" s="71" t="str">
        <f>VLOOKUP(E970,'HEAD OF THE FAMILY'!$B$6:$J1851,9,FALSE)</f>
        <v>BLK 46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60">
        <f t="shared" si="5"/>
        <v>966</v>
      </c>
      <c r="B971" s="62" t="s">
        <v>2429</v>
      </c>
      <c r="C971" s="62" t="s">
        <v>1930</v>
      </c>
      <c r="D971" s="105"/>
      <c r="E971" s="62" t="s">
        <v>2430</v>
      </c>
      <c r="F971" s="60"/>
      <c r="G971" s="92"/>
      <c r="H971" s="60"/>
      <c r="I971" s="60"/>
      <c r="J971" s="60"/>
      <c r="K971" s="71" t="str">
        <f>VLOOKUP(E971,'HEAD OF THE FAMILY'!$B$6:$J1851,9,FALSE)</f>
        <v>BLK 46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60">
        <f t="shared" si="5"/>
        <v>967</v>
      </c>
      <c r="B972" s="62" t="s">
        <v>2429</v>
      </c>
      <c r="C972" s="62" t="s">
        <v>2431</v>
      </c>
      <c r="D972" s="105"/>
      <c r="E972" s="62" t="s">
        <v>2430</v>
      </c>
      <c r="F972" s="60"/>
      <c r="G972" s="92"/>
      <c r="H972" s="60"/>
      <c r="I972" s="60"/>
      <c r="J972" s="60"/>
      <c r="K972" s="71" t="str">
        <f>VLOOKUP(E972,'HEAD OF THE FAMILY'!$B$6:$J1851,9,FALSE)</f>
        <v>BLK 46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60">
        <f t="shared" si="5"/>
        <v>968</v>
      </c>
      <c r="B973" s="62" t="s">
        <v>2434</v>
      </c>
      <c r="C973" s="62" t="s">
        <v>2435</v>
      </c>
      <c r="D973" s="105"/>
      <c r="E973" s="62" t="s">
        <v>2264</v>
      </c>
      <c r="F973" s="60"/>
      <c r="G973" s="92"/>
      <c r="H973" s="60"/>
      <c r="I973" s="60"/>
      <c r="J973" s="75" t="s">
        <v>19</v>
      </c>
      <c r="K973" s="71" t="str">
        <f>VLOOKUP(E973,'HEAD OF THE FAMILY'!$B$6:$J1851,9,FALSE)</f>
        <v>BLK 46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60">
        <f t="shared" si="5"/>
        <v>969</v>
      </c>
      <c r="B974" s="62" t="s">
        <v>2429</v>
      </c>
      <c r="C974" s="62" t="s">
        <v>2436</v>
      </c>
      <c r="D974" s="105"/>
      <c r="E974" s="62" t="s">
        <v>1946</v>
      </c>
      <c r="F974" s="60"/>
      <c r="G974" s="92"/>
      <c r="H974" s="60"/>
      <c r="I974" s="60"/>
      <c r="J974" s="60"/>
      <c r="K974" s="71" t="str">
        <f>VLOOKUP(E974,'HEAD OF THE FAMILY'!$B$6:$J1851,9,FALSE)</f>
        <v>BLK 46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60">
        <f t="shared" si="5"/>
        <v>970</v>
      </c>
      <c r="B975" s="62" t="s">
        <v>2438</v>
      </c>
      <c r="C975" s="62" t="s">
        <v>2439</v>
      </c>
      <c r="D975" s="62" t="s">
        <v>1497</v>
      </c>
      <c r="E975" s="62" t="s">
        <v>193</v>
      </c>
      <c r="F975" s="60"/>
      <c r="G975" s="92"/>
      <c r="H975" s="60"/>
      <c r="I975" s="60"/>
      <c r="J975" s="60"/>
      <c r="K975" s="71" t="str">
        <f>VLOOKUP(E975,'HEAD OF THE FAMILY'!$B$6:$J1851,9,FALSE)</f>
        <v>BLK 46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60">
        <f t="shared" si="5"/>
        <v>971</v>
      </c>
      <c r="B976" s="62" t="s">
        <v>2438</v>
      </c>
      <c r="C976" s="62" t="s">
        <v>2441</v>
      </c>
      <c r="D976" s="62" t="s">
        <v>1497</v>
      </c>
      <c r="E976" s="62" t="s">
        <v>193</v>
      </c>
      <c r="F976" s="60"/>
      <c r="G976" s="92"/>
      <c r="H976" s="60"/>
      <c r="I976" s="60"/>
      <c r="J976" s="60"/>
      <c r="K976" s="71" t="str">
        <f>VLOOKUP(E976,'HEAD OF THE FAMILY'!$B$6:$J1851,9,FALSE)</f>
        <v>BLK 46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60">
        <f t="shared" si="5"/>
        <v>972</v>
      </c>
      <c r="B977" s="62" t="s">
        <v>2438</v>
      </c>
      <c r="C977" s="62" t="s">
        <v>2443</v>
      </c>
      <c r="D977" s="62" t="s">
        <v>1497</v>
      </c>
      <c r="E977" s="62" t="s">
        <v>193</v>
      </c>
      <c r="F977" s="60"/>
      <c r="G977" s="92"/>
      <c r="H977" s="60"/>
      <c r="I977" s="60"/>
      <c r="J977" s="60"/>
      <c r="K977" s="71" t="str">
        <f>VLOOKUP(E977,'HEAD OF THE FAMILY'!$B$6:$J1851,9,FALSE)</f>
        <v>BLK 46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60">
        <f t="shared" si="5"/>
        <v>973</v>
      </c>
      <c r="B978" s="62" t="s">
        <v>2438</v>
      </c>
      <c r="C978" s="62" t="s">
        <v>2444</v>
      </c>
      <c r="D978" s="62" t="s">
        <v>1497</v>
      </c>
      <c r="E978" s="62" t="s">
        <v>193</v>
      </c>
      <c r="F978" s="60"/>
      <c r="G978" s="92"/>
      <c r="H978" s="60"/>
      <c r="I978" s="60"/>
      <c r="J978" s="60"/>
      <c r="K978" s="71" t="str">
        <f>VLOOKUP(E978,'HEAD OF THE FAMILY'!$B$6:$J1851,9,FALSE)</f>
        <v>BLK 46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60">
        <f t="shared" si="5"/>
        <v>974</v>
      </c>
      <c r="B979" s="62" t="s">
        <v>2446</v>
      </c>
      <c r="C979" s="62" t="s">
        <v>2447</v>
      </c>
      <c r="D979" s="105"/>
      <c r="E979" s="62" t="s">
        <v>1958</v>
      </c>
      <c r="F979" s="60"/>
      <c r="G979" s="92"/>
      <c r="H979" s="60"/>
      <c r="I979" s="60"/>
      <c r="J979" s="60"/>
      <c r="K979" s="71" t="str">
        <f>VLOOKUP(E979,'HEAD OF THE FAMILY'!$B$6:$J1851,9,FALSE)</f>
        <v>BLK 46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60">
        <f t="shared" si="5"/>
        <v>975</v>
      </c>
      <c r="B980" s="62" t="s">
        <v>647</v>
      </c>
      <c r="C980" s="62" t="s">
        <v>2449</v>
      </c>
      <c r="D980" s="105"/>
      <c r="E980" s="62" t="s">
        <v>2450</v>
      </c>
      <c r="F980" s="60"/>
      <c r="G980" s="92"/>
      <c r="H980" s="60"/>
      <c r="I980" s="60"/>
      <c r="J980" s="60"/>
      <c r="K980" s="71" t="str">
        <f>VLOOKUP(E980,'HEAD OF THE FAMILY'!$B$6:$J1851,9,FALSE)</f>
        <v>BLK 46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60">
        <f t="shared" si="5"/>
        <v>976</v>
      </c>
      <c r="B981" s="62" t="s">
        <v>647</v>
      </c>
      <c r="C981" s="62" t="s">
        <v>2451</v>
      </c>
      <c r="D981" s="105"/>
      <c r="E981" s="62" t="s">
        <v>2450</v>
      </c>
      <c r="F981" s="60"/>
      <c r="G981" s="92"/>
      <c r="H981" s="60"/>
      <c r="I981" s="60"/>
      <c r="J981" s="60"/>
      <c r="K981" s="71" t="str">
        <f>VLOOKUP(E981,'HEAD OF THE FAMILY'!$B$6:$J1851,9,FALSE)</f>
        <v>BLK 46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60">
        <f t="shared" si="5"/>
        <v>977</v>
      </c>
      <c r="B982" s="62" t="s">
        <v>2438</v>
      </c>
      <c r="C982" s="62" t="s">
        <v>2453</v>
      </c>
      <c r="D982" s="105"/>
      <c r="E982" s="62" t="s">
        <v>520</v>
      </c>
      <c r="F982" s="60"/>
      <c r="G982" s="92"/>
      <c r="H982" s="60"/>
      <c r="I982" s="60"/>
      <c r="J982" s="60"/>
      <c r="K982" s="71" t="str">
        <f>VLOOKUP(E982,'HEAD OF THE FAMILY'!$B$6:$J1851,9,FALSE)</f>
        <v>BLK 46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60">
        <f t="shared" si="5"/>
        <v>978</v>
      </c>
      <c r="B983" s="62" t="s">
        <v>2454</v>
      </c>
      <c r="C983" s="62" t="s">
        <v>2455</v>
      </c>
      <c r="D983" s="105"/>
      <c r="E983" s="62" t="s">
        <v>990</v>
      </c>
      <c r="F983" s="60"/>
      <c r="G983" s="92"/>
      <c r="H983" s="60"/>
      <c r="I983" s="60"/>
      <c r="J983" s="60"/>
      <c r="K983" s="71" t="str">
        <f>VLOOKUP(E983,'HEAD OF THE FAMILY'!$B$6:$J1851,9,FALSE)</f>
        <v>BLK 46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60">
        <f t="shared" si="5"/>
        <v>979</v>
      </c>
      <c r="B984" s="62" t="s">
        <v>2292</v>
      </c>
      <c r="C984" s="62" t="s">
        <v>2457</v>
      </c>
      <c r="D984" s="105"/>
      <c r="E984" s="62" t="s">
        <v>1534</v>
      </c>
      <c r="F984" s="60"/>
      <c r="G984" s="92"/>
      <c r="H984" s="60"/>
      <c r="I984" s="60"/>
      <c r="J984" s="60"/>
      <c r="K984" s="71" t="str">
        <f>VLOOKUP(E984,'HEAD OF THE FAMILY'!$B$6:$J1851,9,FALSE)</f>
        <v>BLK 46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60">
        <f t="shared" si="5"/>
        <v>980</v>
      </c>
      <c r="B985" s="62" t="s">
        <v>2292</v>
      </c>
      <c r="C985" s="62" t="s">
        <v>2458</v>
      </c>
      <c r="D985" s="105"/>
      <c r="E985" s="62" t="s">
        <v>1534</v>
      </c>
      <c r="F985" s="60"/>
      <c r="G985" s="92"/>
      <c r="H985" s="60"/>
      <c r="I985" s="60"/>
      <c r="J985" s="60"/>
      <c r="K985" s="71" t="str">
        <f>VLOOKUP(E985,'HEAD OF THE FAMILY'!$B$6:$J1851,9,FALSE)</f>
        <v>BLK 46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60">
        <f t="shared" si="5"/>
        <v>981</v>
      </c>
      <c r="B986" s="62" t="s">
        <v>2292</v>
      </c>
      <c r="C986" s="62" t="s">
        <v>2459</v>
      </c>
      <c r="D986" s="105"/>
      <c r="E986" s="62" t="s">
        <v>1534</v>
      </c>
      <c r="F986" s="60"/>
      <c r="G986" s="92"/>
      <c r="H986" s="60"/>
      <c r="I986" s="60"/>
      <c r="J986" s="60"/>
      <c r="K986" s="71" t="str">
        <f>VLOOKUP(E986,'HEAD OF THE FAMILY'!$B$6:$J1851,9,FALSE)</f>
        <v>BLK 46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60">
        <f t="shared" si="5"/>
        <v>982</v>
      </c>
      <c r="B987" s="62" t="s">
        <v>2460</v>
      </c>
      <c r="C987" s="62" t="s">
        <v>2461</v>
      </c>
      <c r="D987" s="105"/>
      <c r="E987" s="62" t="s">
        <v>2108</v>
      </c>
      <c r="F987" s="60"/>
      <c r="G987" s="92"/>
      <c r="H987" s="60"/>
      <c r="I987" s="60"/>
      <c r="J987" s="60"/>
      <c r="K987" s="71" t="str">
        <f>VLOOKUP(E987,'HEAD OF THE FAMILY'!$B$6:$J1851,9,FALSE)</f>
        <v>BLK 46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60">
        <f t="shared" si="5"/>
        <v>983</v>
      </c>
      <c r="B988" s="62" t="s">
        <v>2460</v>
      </c>
      <c r="C988" s="62" t="s">
        <v>2463</v>
      </c>
      <c r="D988" s="105"/>
      <c r="E988" s="62" t="s">
        <v>2108</v>
      </c>
      <c r="F988" s="60"/>
      <c r="G988" s="92"/>
      <c r="H988" s="60"/>
      <c r="I988" s="60"/>
      <c r="J988" s="60"/>
      <c r="K988" s="71" t="str">
        <f>VLOOKUP(E988,'HEAD OF THE FAMILY'!$B$6:$J1851,9,FALSE)</f>
        <v>BLK 46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60">
        <f t="shared" si="5"/>
        <v>984</v>
      </c>
      <c r="B989" s="62" t="s">
        <v>2331</v>
      </c>
      <c r="C989" s="62" t="s">
        <v>2464</v>
      </c>
      <c r="D989" s="105"/>
      <c r="E989" s="62" t="s">
        <v>2198</v>
      </c>
      <c r="F989" s="60"/>
      <c r="G989" s="92"/>
      <c r="H989" s="60"/>
      <c r="I989" s="60"/>
      <c r="J989" s="60"/>
      <c r="K989" s="71" t="str">
        <f>VLOOKUP(E989,'HEAD OF THE FAMILY'!$B$6:$J1851,9,FALSE)</f>
        <v>BLK 46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60">
        <f t="shared" si="5"/>
        <v>985</v>
      </c>
      <c r="B990" s="62" t="s">
        <v>2465</v>
      </c>
      <c r="C990" s="62" t="s">
        <v>2466</v>
      </c>
      <c r="D990" s="105"/>
      <c r="E990" s="62" t="s">
        <v>2198</v>
      </c>
      <c r="F990" s="60"/>
      <c r="G990" s="92"/>
      <c r="H990" s="60"/>
      <c r="I990" s="60"/>
      <c r="J990" s="60"/>
      <c r="K990" s="71" t="str">
        <f>VLOOKUP(E990,'HEAD OF THE FAMILY'!$B$6:$J1851,9,FALSE)</f>
        <v>BLK 46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60">
        <f t="shared" si="5"/>
        <v>986</v>
      </c>
      <c r="B991" s="62" t="s">
        <v>320</v>
      </c>
      <c r="C991" s="62" t="s">
        <v>2468</v>
      </c>
      <c r="D991" s="105"/>
      <c r="E991" s="62" t="s">
        <v>2203</v>
      </c>
      <c r="F991" s="60"/>
      <c r="G991" s="92"/>
      <c r="H991" s="60"/>
      <c r="I991" s="60"/>
      <c r="J991" s="60"/>
      <c r="K991" s="71" t="str">
        <f>VLOOKUP(E991,'HEAD OF THE FAMILY'!$B$6:$J1851,9,FALSE)</f>
        <v>BLK 46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60">
        <f t="shared" si="5"/>
        <v>987</v>
      </c>
      <c r="B992" s="62" t="s">
        <v>2470</v>
      </c>
      <c r="C992" s="62" t="s">
        <v>1666</v>
      </c>
      <c r="D992" s="105"/>
      <c r="E992" s="62" t="s">
        <v>2203</v>
      </c>
      <c r="F992" s="60"/>
      <c r="G992" s="92"/>
      <c r="H992" s="60"/>
      <c r="I992" s="60"/>
      <c r="J992" s="60"/>
      <c r="K992" s="71" t="str">
        <f>VLOOKUP(E992,'HEAD OF THE FAMILY'!$B$6:$J1851,9,FALSE)</f>
        <v>BLK 46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60">
        <f t="shared" si="5"/>
        <v>988</v>
      </c>
      <c r="B993" s="62" t="s">
        <v>320</v>
      </c>
      <c r="C993" s="62" t="s">
        <v>2473</v>
      </c>
      <c r="D993" s="105"/>
      <c r="E993" s="62" t="s">
        <v>2203</v>
      </c>
      <c r="F993" s="60"/>
      <c r="G993" s="92"/>
      <c r="H993" s="60"/>
      <c r="I993" s="60"/>
      <c r="J993" s="60"/>
      <c r="K993" s="71" t="str">
        <f>VLOOKUP(E993,'HEAD OF THE FAMILY'!$B$6:$J1851,9,FALSE)</f>
        <v>BLK 46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60">
        <f t="shared" si="5"/>
        <v>989</v>
      </c>
      <c r="B994" s="62" t="s">
        <v>2476</v>
      </c>
      <c r="C994" s="62" t="s">
        <v>2477</v>
      </c>
      <c r="D994" s="105"/>
      <c r="E994" s="62" t="s">
        <v>91</v>
      </c>
      <c r="F994" s="60"/>
      <c r="G994" s="92"/>
      <c r="H994" s="60"/>
      <c r="I994" s="60"/>
      <c r="J994" s="60"/>
      <c r="K994" s="71" t="str">
        <f>VLOOKUP(E994,'HEAD OF THE FAMILY'!$B$6:$J1851,9,FALSE)</f>
        <v>BLK 46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60">
        <f t="shared" si="5"/>
        <v>990</v>
      </c>
      <c r="B995" s="62" t="s">
        <v>2476</v>
      </c>
      <c r="C995" s="62" t="s">
        <v>2478</v>
      </c>
      <c r="D995" s="105"/>
      <c r="E995" s="62" t="s">
        <v>723</v>
      </c>
      <c r="F995" s="60"/>
      <c r="G995" s="92"/>
      <c r="H995" s="60"/>
      <c r="I995" s="60"/>
      <c r="J995" s="60"/>
      <c r="K995" s="71" t="str">
        <f>VLOOKUP(E995,'HEAD OF THE FAMILY'!$B$6:$J1851,9,FALSE)</f>
        <v>BLK 46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60">
        <f t="shared" si="5"/>
        <v>991</v>
      </c>
      <c r="B996" s="62" t="s">
        <v>2331</v>
      </c>
      <c r="C996" s="62" t="s">
        <v>2480</v>
      </c>
      <c r="D996" s="105"/>
      <c r="E996" s="62" t="s">
        <v>2368</v>
      </c>
      <c r="F996" s="60"/>
      <c r="G996" s="92"/>
      <c r="H996" s="60"/>
      <c r="I996" s="60"/>
      <c r="J996" s="60"/>
      <c r="K996" s="71" t="str">
        <f>VLOOKUP(E996,'HEAD OF THE FAMILY'!$B$6:$J1851,9,FALSE)</f>
        <v>BLK 46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60">
        <f t="shared" si="5"/>
        <v>992</v>
      </c>
      <c r="B997" s="62" t="s">
        <v>2481</v>
      </c>
      <c r="C997" s="62" t="s">
        <v>2482</v>
      </c>
      <c r="D997" s="62" t="s">
        <v>1428</v>
      </c>
      <c r="E997" s="62" t="s">
        <v>2483</v>
      </c>
      <c r="F997" s="60"/>
      <c r="G997" s="92"/>
      <c r="H997" s="60"/>
      <c r="I997" s="60"/>
      <c r="J997" s="60"/>
      <c r="K997" s="71" t="str">
        <f>VLOOKUP(E997,'HEAD OF THE FAMILY'!$B$6:$J1851,9,FALSE)</f>
        <v>BLK 46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60">
        <f t="shared" si="5"/>
        <v>993</v>
      </c>
      <c r="B998" s="62" t="s">
        <v>2485</v>
      </c>
      <c r="C998" s="62" t="s">
        <v>2486</v>
      </c>
      <c r="D998" s="105"/>
      <c r="E998" s="62" t="s">
        <v>2487</v>
      </c>
      <c r="F998" s="60"/>
      <c r="G998" s="92"/>
      <c r="H998" s="60"/>
      <c r="I998" s="60"/>
      <c r="J998" s="60"/>
      <c r="K998" s="71" t="str">
        <f>VLOOKUP(E998,'HEAD OF THE FAMILY'!$B$6:$J1851,9,FALSE)</f>
        <v>BLK 46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60">
        <f t="shared" si="5"/>
        <v>994</v>
      </c>
      <c r="B999" s="62" t="s">
        <v>2489</v>
      </c>
      <c r="C999" s="62" t="s">
        <v>2490</v>
      </c>
      <c r="D999" s="62" t="s">
        <v>1620</v>
      </c>
      <c r="E999" s="62" t="s">
        <v>305</v>
      </c>
      <c r="F999" s="60"/>
      <c r="G999" s="92"/>
      <c r="H999" s="60"/>
      <c r="I999" s="60"/>
      <c r="J999" s="60"/>
      <c r="K999" s="71" t="str">
        <f>VLOOKUP(E999,'HEAD OF THE FAMILY'!$B$6:$J1851,9,FALSE)</f>
        <v>BLK 46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60">
        <f t="shared" si="5"/>
        <v>995</v>
      </c>
      <c r="B1000" s="62" t="s">
        <v>2489</v>
      </c>
      <c r="C1000" s="62" t="s">
        <v>2491</v>
      </c>
      <c r="D1000" s="62" t="s">
        <v>1620</v>
      </c>
      <c r="E1000" s="62" t="s">
        <v>305</v>
      </c>
      <c r="F1000" s="60"/>
      <c r="G1000" s="92"/>
      <c r="H1000" s="60"/>
      <c r="I1000" s="60"/>
      <c r="J1000" s="60"/>
      <c r="K1000" s="71" t="str">
        <f>VLOOKUP(E1000,'HEAD OF THE FAMILY'!$B$6:$J1851,9,FALSE)</f>
        <v>BLK 46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60">
        <f t="shared" si="5"/>
        <v>996</v>
      </c>
      <c r="B1001" s="62" t="s">
        <v>2481</v>
      </c>
      <c r="C1001" s="62" t="s">
        <v>2492</v>
      </c>
      <c r="D1001" s="62" t="s">
        <v>1508</v>
      </c>
      <c r="E1001" s="62" t="s">
        <v>655</v>
      </c>
      <c r="F1001" s="60"/>
      <c r="G1001" s="92"/>
      <c r="H1001" s="60"/>
      <c r="I1001" s="60"/>
      <c r="J1001" s="60"/>
      <c r="K1001" s="71" t="str">
        <f>VLOOKUP(E1001,'HEAD OF THE FAMILY'!$B$6:$J1851,9,FALSE)</f>
        <v>BLK 46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60">
        <f t="shared" si="5"/>
        <v>997</v>
      </c>
      <c r="B1002" s="62" t="s">
        <v>2481</v>
      </c>
      <c r="C1002" s="62" t="s">
        <v>2494</v>
      </c>
      <c r="D1002" s="62" t="s">
        <v>1508</v>
      </c>
      <c r="E1002" s="62" t="s">
        <v>655</v>
      </c>
      <c r="F1002" s="60"/>
      <c r="G1002" s="92"/>
      <c r="H1002" s="60"/>
      <c r="I1002" s="60"/>
      <c r="J1002" s="60"/>
      <c r="K1002" s="71" t="str">
        <f>VLOOKUP(E1002,'HEAD OF THE FAMILY'!$B$6:$J1851,9,FALSE)</f>
        <v>BLK 46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60">
        <f t="shared" si="5"/>
        <v>998</v>
      </c>
      <c r="B1003" s="62" t="s">
        <v>2481</v>
      </c>
      <c r="C1003" s="62" t="s">
        <v>385</v>
      </c>
      <c r="D1003" s="62" t="s">
        <v>1508</v>
      </c>
      <c r="E1003" s="62" t="s">
        <v>655</v>
      </c>
      <c r="F1003" s="60"/>
      <c r="G1003" s="92"/>
      <c r="H1003" s="60"/>
      <c r="I1003" s="60"/>
      <c r="J1003" s="60"/>
      <c r="K1003" s="71" t="str">
        <f>VLOOKUP(E1003,'HEAD OF THE FAMILY'!$B$6:$J1851,9,FALSE)</f>
        <v>BLK 46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60">
        <f t="shared" si="5"/>
        <v>999</v>
      </c>
      <c r="B1004" s="62" t="s">
        <v>2495</v>
      </c>
      <c r="C1004" s="62" t="s">
        <v>2496</v>
      </c>
      <c r="D1004" s="105"/>
      <c r="E1004" s="62" t="s">
        <v>2139</v>
      </c>
      <c r="F1004" s="60"/>
      <c r="G1004" s="92"/>
      <c r="H1004" s="60"/>
      <c r="I1004" s="60"/>
      <c r="J1004" s="60"/>
      <c r="K1004" s="71" t="str">
        <f>VLOOKUP(E1004,'HEAD OF THE FAMILY'!$B$6:$J1851,9,FALSE)</f>
        <v>BLK 46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60">
        <f t="shared" si="5"/>
        <v>1000</v>
      </c>
      <c r="B1005" s="62" t="s">
        <v>1077</v>
      </c>
      <c r="C1005" s="62" t="s">
        <v>2498</v>
      </c>
      <c r="D1005" s="105"/>
      <c r="E1005" s="62" t="s">
        <v>2499</v>
      </c>
      <c r="F1005" s="60"/>
      <c r="G1005" s="92"/>
      <c r="H1005" s="60"/>
      <c r="I1005" s="60"/>
      <c r="J1005" s="60"/>
      <c r="K1005" s="71" t="str">
        <f>VLOOKUP(E1005,'HEAD OF THE FAMILY'!$B$6:$J1851,9,FALSE)</f>
        <v>#N/A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60">
        <f t="shared" si="5"/>
        <v>1001</v>
      </c>
      <c r="B1006" s="62" t="s">
        <v>2500</v>
      </c>
      <c r="C1006" s="62" t="s">
        <v>2501</v>
      </c>
      <c r="D1006" s="105"/>
      <c r="E1006" s="62" t="s">
        <v>1781</v>
      </c>
      <c r="F1006" s="60"/>
      <c r="G1006" s="92"/>
      <c r="H1006" s="60"/>
      <c r="I1006" s="60"/>
      <c r="J1006" s="60"/>
      <c r="K1006" s="71" t="str">
        <f>VLOOKUP(E1006,'HEAD OF THE FAMILY'!$B$6:$J1851,9,FALSE)</f>
        <v>BLK 46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60">
        <f t="shared" si="5"/>
        <v>1002</v>
      </c>
      <c r="B1007" s="62" t="s">
        <v>2500</v>
      </c>
      <c r="C1007" s="62" t="s">
        <v>2502</v>
      </c>
      <c r="D1007" s="105"/>
      <c r="E1007" s="62" t="s">
        <v>1781</v>
      </c>
      <c r="F1007" s="60"/>
      <c r="G1007" s="92"/>
      <c r="H1007" s="60"/>
      <c r="I1007" s="60"/>
      <c r="J1007" s="60"/>
      <c r="K1007" s="71" t="str">
        <f>VLOOKUP(E1007,'HEAD OF THE FAMILY'!$B$6:$J1851,9,FALSE)</f>
        <v>BLK 46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60">
        <f t="shared" si="5"/>
        <v>1003</v>
      </c>
      <c r="B1008" s="62" t="s">
        <v>1344</v>
      </c>
      <c r="C1008" s="62" t="s">
        <v>2505</v>
      </c>
      <c r="D1008" s="105"/>
      <c r="E1008" s="62" t="s">
        <v>1718</v>
      </c>
      <c r="F1008" s="60"/>
      <c r="G1008" s="92"/>
      <c r="H1008" s="60"/>
      <c r="I1008" s="60"/>
      <c r="J1008" s="60"/>
      <c r="K1008" s="71" t="str">
        <f>VLOOKUP(E1008,'HEAD OF THE FAMILY'!$B$6:$J1851,9,FALSE)</f>
        <v>BLK 46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60">
        <f t="shared" si="5"/>
        <v>1004</v>
      </c>
      <c r="B1009" s="62" t="s">
        <v>1344</v>
      </c>
      <c r="C1009" s="62" t="s">
        <v>2124</v>
      </c>
      <c r="D1009" s="105"/>
      <c r="E1009" s="62" t="s">
        <v>1718</v>
      </c>
      <c r="F1009" s="60"/>
      <c r="G1009" s="92"/>
      <c r="H1009" s="60"/>
      <c r="I1009" s="60"/>
      <c r="J1009" s="60"/>
      <c r="K1009" s="71" t="str">
        <f>VLOOKUP(E1009,'HEAD OF THE FAMILY'!$B$6:$J1851,9,FALSE)</f>
        <v>BLK 46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60">
        <f t="shared" si="5"/>
        <v>1005</v>
      </c>
      <c r="B1010" s="62" t="s">
        <v>2508</v>
      </c>
      <c r="C1010" s="62" t="s">
        <v>2509</v>
      </c>
      <c r="D1010" s="105"/>
      <c r="E1010" s="62" t="s">
        <v>1718</v>
      </c>
      <c r="F1010" s="60"/>
      <c r="G1010" s="92"/>
      <c r="H1010" s="60"/>
      <c r="I1010" s="60"/>
      <c r="J1010" s="60"/>
      <c r="K1010" s="71" t="str">
        <f>VLOOKUP(E1010,'HEAD OF THE FAMILY'!$B$6:$J1851,9,FALSE)</f>
        <v>BLK 46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60">
        <f t="shared" si="5"/>
        <v>1006</v>
      </c>
      <c r="B1011" s="62" t="s">
        <v>2508</v>
      </c>
      <c r="C1011" s="62" t="s">
        <v>2510</v>
      </c>
      <c r="D1011" s="105"/>
      <c r="E1011" s="62" t="s">
        <v>1718</v>
      </c>
      <c r="F1011" s="60"/>
      <c r="G1011" s="92"/>
      <c r="H1011" s="60"/>
      <c r="I1011" s="60"/>
      <c r="J1011" s="60"/>
      <c r="K1011" s="71" t="str">
        <f>VLOOKUP(E1011,'HEAD OF THE FAMILY'!$B$6:$J1851,9,FALSE)</f>
        <v>BLK 46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60">
        <f t="shared" si="5"/>
        <v>1007</v>
      </c>
      <c r="B1012" s="62" t="s">
        <v>2512</v>
      </c>
      <c r="C1012" s="62" t="s">
        <v>2513</v>
      </c>
      <c r="D1012" s="105"/>
      <c r="E1012" s="62" t="s">
        <v>2210</v>
      </c>
      <c r="F1012" s="60"/>
      <c r="G1012" s="92"/>
      <c r="H1012" s="60"/>
      <c r="I1012" s="60"/>
      <c r="J1012" s="60"/>
      <c r="K1012" s="71" t="str">
        <f>VLOOKUP(E1012,'HEAD OF THE FAMILY'!$B$6:$J1851,9,FALSE)</f>
        <v>BLK 46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60">
        <f t="shared" si="5"/>
        <v>1008</v>
      </c>
      <c r="B1013" s="62" t="s">
        <v>2515</v>
      </c>
      <c r="C1013" s="62" t="s">
        <v>2033</v>
      </c>
      <c r="D1013" s="105"/>
      <c r="E1013" s="62" t="s">
        <v>2181</v>
      </c>
      <c r="F1013" s="60"/>
      <c r="G1013" s="92"/>
      <c r="H1013" s="60"/>
      <c r="I1013" s="60"/>
      <c r="J1013" s="60"/>
      <c r="K1013" s="71" t="str">
        <f>VLOOKUP(E1013,'HEAD OF THE FAMILY'!$B$6:$J1851,9,FALSE)</f>
        <v>BLK 46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60">
        <f t="shared" si="5"/>
        <v>1009</v>
      </c>
      <c r="B1014" s="62" t="s">
        <v>2517</v>
      </c>
      <c r="C1014" s="62" t="s">
        <v>2518</v>
      </c>
      <c r="D1014" s="105"/>
      <c r="E1014" s="62" t="s">
        <v>2519</v>
      </c>
      <c r="F1014" s="60"/>
      <c r="G1014" s="92"/>
      <c r="H1014" s="60"/>
      <c r="I1014" s="60"/>
      <c r="J1014" s="60"/>
      <c r="K1014" s="71" t="str">
        <f>VLOOKUP(E1014,'HEAD OF THE FAMILY'!$B$6:$J1851,9,FALSE)</f>
        <v>BLK 46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60">
        <f t="shared" si="5"/>
        <v>1010</v>
      </c>
      <c r="B1015" s="62" t="s">
        <v>2520</v>
      </c>
      <c r="C1015" s="62" t="s">
        <v>560</v>
      </c>
      <c r="D1015" s="105"/>
      <c r="E1015" s="62" t="s">
        <v>2519</v>
      </c>
      <c r="F1015" s="60"/>
      <c r="G1015" s="92"/>
      <c r="H1015" s="60"/>
      <c r="I1015" s="60"/>
      <c r="J1015" s="60"/>
      <c r="K1015" s="71" t="str">
        <f>VLOOKUP(E1015,'HEAD OF THE FAMILY'!$B$6:$J1851,9,FALSE)</f>
        <v>BLK 46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>
      <c r="A1016" s="60">
        <f t="shared" si="5"/>
        <v>1011</v>
      </c>
      <c r="B1016" s="62" t="s">
        <v>2522</v>
      </c>
      <c r="C1016" s="62" t="s">
        <v>2124</v>
      </c>
      <c r="D1016" s="105"/>
      <c r="E1016" s="62" t="s">
        <v>2523</v>
      </c>
      <c r="F1016" s="60"/>
      <c r="G1016" s="92"/>
      <c r="H1016" s="60"/>
      <c r="I1016" s="60"/>
      <c r="J1016" s="60"/>
      <c r="K1016" s="71" t="str">
        <f>VLOOKUP(E1016,'HEAD OF THE FAMILY'!$B$6:$J1851,9,FALSE)</f>
        <v>BLK 46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>
      <c r="A1017" s="60">
        <f t="shared" si="5"/>
        <v>1012</v>
      </c>
      <c r="B1017" s="62" t="s">
        <v>2524</v>
      </c>
      <c r="C1017" s="62" t="s">
        <v>2525</v>
      </c>
      <c r="D1017" s="105"/>
      <c r="E1017" s="62" t="s">
        <v>2527</v>
      </c>
      <c r="F1017" s="60"/>
      <c r="G1017" s="92"/>
      <c r="H1017" s="60"/>
      <c r="I1017" s="60"/>
      <c r="J1017" s="60"/>
      <c r="K1017" s="71" t="str">
        <f>VLOOKUP(E1017,'HEAD OF THE FAMILY'!$B$6:$J1851,9,FALSE)</f>
        <v>BLK 46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>
      <c r="A1018" s="60">
        <f t="shared" si="5"/>
        <v>1013</v>
      </c>
      <c r="B1018" s="62" t="s">
        <v>2528</v>
      </c>
      <c r="C1018" s="62" t="s">
        <v>2529</v>
      </c>
      <c r="D1018" s="62" t="s">
        <v>1065</v>
      </c>
      <c r="E1018" s="62" t="s">
        <v>1296</v>
      </c>
      <c r="F1018" s="60"/>
      <c r="G1018" s="92"/>
      <c r="H1018" s="60"/>
      <c r="I1018" s="60"/>
      <c r="J1018" s="60"/>
      <c r="K1018" s="71" t="str">
        <f>VLOOKUP(E1018,'HEAD OF THE FAMILY'!$B$6:$J1851,9,FALSE)</f>
        <v>BLK 46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>
      <c r="A1019" s="60">
        <f t="shared" si="5"/>
        <v>1014</v>
      </c>
      <c r="B1019" s="62" t="s">
        <v>2528</v>
      </c>
      <c r="C1019" s="62" t="s">
        <v>2531</v>
      </c>
      <c r="D1019" s="62" t="s">
        <v>1065</v>
      </c>
      <c r="E1019" s="62" t="s">
        <v>1296</v>
      </c>
      <c r="F1019" s="60"/>
      <c r="G1019" s="92"/>
      <c r="H1019" s="60"/>
      <c r="I1019" s="60"/>
      <c r="J1019" s="60"/>
      <c r="K1019" s="71" t="str">
        <f>VLOOKUP(E1019,'HEAD OF THE FAMILY'!$B$6:$J1851,9,FALSE)</f>
        <v>BLK 46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>
      <c r="A1020" s="60">
        <f t="shared" si="5"/>
        <v>1015</v>
      </c>
      <c r="B1020" s="62" t="s">
        <v>109</v>
      </c>
      <c r="C1020" s="62" t="s">
        <v>2532</v>
      </c>
      <c r="D1020" s="62" t="s">
        <v>1497</v>
      </c>
      <c r="E1020" s="62" t="s">
        <v>2533</v>
      </c>
      <c r="F1020" s="60"/>
      <c r="G1020" s="92"/>
      <c r="H1020" s="60"/>
      <c r="I1020" s="60"/>
      <c r="J1020" s="60"/>
      <c r="K1020" s="71" t="str">
        <f>VLOOKUP(E1020,'HEAD OF THE FAMILY'!$B$6:$J1851,9,FALSE)</f>
        <v>BLK 46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>
      <c r="A1021" s="60">
        <f t="shared" si="5"/>
        <v>1016</v>
      </c>
      <c r="B1021" s="62" t="s">
        <v>109</v>
      </c>
      <c r="C1021" s="62" t="s">
        <v>2535</v>
      </c>
      <c r="D1021" s="62" t="s">
        <v>1497</v>
      </c>
      <c r="E1021" s="62" t="s">
        <v>2533</v>
      </c>
      <c r="F1021" s="60"/>
      <c r="G1021" s="92"/>
      <c r="H1021" s="60"/>
      <c r="I1021" s="60"/>
      <c r="J1021" s="60"/>
      <c r="K1021" s="71" t="str">
        <f>VLOOKUP(E1021,'HEAD OF THE FAMILY'!$B$6:$J1851,9,FALSE)</f>
        <v>BLK 46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>
      <c r="A1022" s="60">
        <f t="shared" si="5"/>
        <v>1017</v>
      </c>
      <c r="B1022" s="62" t="s">
        <v>109</v>
      </c>
      <c r="C1022" s="62" t="s">
        <v>2536</v>
      </c>
      <c r="D1022" s="62" t="s">
        <v>1497</v>
      </c>
      <c r="E1022" s="62" t="s">
        <v>2533</v>
      </c>
      <c r="F1022" s="60"/>
      <c r="G1022" s="92"/>
      <c r="H1022" s="60"/>
      <c r="I1022" s="60"/>
      <c r="J1022" s="60"/>
      <c r="K1022" s="71" t="str">
        <f>VLOOKUP(E1022,'HEAD OF THE FAMILY'!$B$6:$J1851,9,FALSE)</f>
        <v>BLK 46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>
      <c r="A1023" s="60">
        <f t="shared" si="5"/>
        <v>1018</v>
      </c>
      <c r="B1023" s="62" t="s">
        <v>109</v>
      </c>
      <c r="C1023" s="62" t="s">
        <v>2538</v>
      </c>
      <c r="D1023" s="62" t="s">
        <v>1497</v>
      </c>
      <c r="E1023" s="62" t="s">
        <v>2533</v>
      </c>
      <c r="F1023" s="60"/>
      <c r="G1023" s="92"/>
      <c r="H1023" s="60"/>
      <c r="I1023" s="60"/>
      <c r="J1023" s="60"/>
      <c r="K1023" s="71" t="str">
        <f>VLOOKUP(E1023,'HEAD OF THE FAMILY'!$B$6:$J1851,9,FALSE)</f>
        <v>BLK 46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>
      <c r="A1024" s="60">
        <f t="shared" si="5"/>
        <v>1019</v>
      </c>
      <c r="B1024" s="62" t="s">
        <v>2541</v>
      </c>
      <c r="C1024" s="62" t="s">
        <v>2542</v>
      </c>
      <c r="D1024" s="105"/>
      <c r="E1024" s="62" t="s">
        <v>1773</v>
      </c>
      <c r="F1024" s="60"/>
      <c r="G1024" s="92"/>
      <c r="H1024" s="60"/>
      <c r="I1024" s="60"/>
      <c r="J1024" s="60"/>
      <c r="K1024" s="71" t="str">
        <f>VLOOKUP(E1024,'HEAD OF THE FAMILY'!$B$6:$J1851,9,FALSE)</f>
        <v>BLK 46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>
      <c r="A1025" s="60">
        <f t="shared" si="5"/>
        <v>1020</v>
      </c>
      <c r="B1025" s="62" t="s">
        <v>2541</v>
      </c>
      <c r="C1025" s="62" t="s">
        <v>2543</v>
      </c>
      <c r="D1025" s="105"/>
      <c r="E1025" s="62" t="s">
        <v>1773</v>
      </c>
      <c r="F1025" s="60"/>
      <c r="G1025" s="92"/>
      <c r="H1025" s="60"/>
      <c r="I1025" s="60"/>
      <c r="J1025" s="60"/>
      <c r="K1025" s="71" t="str">
        <f>VLOOKUP(E1025,'HEAD OF THE FAMILY'!$B$6:$J1851,9,FALSE)</f>
        <v>BLK 46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>
      <c r="A1026" s="60">
        <f t="shared" si="5"/>
        <v>1021</v>
      </c>
      <c r="B1026" s="62" t="s">
        <v>2541</v>
      </c>
      <c r="C1026" s="62" t="s">
        <v>2545</v>
      </c>
      <c r="D1026" s="105"/>
      <c r="E1026" s="62" t="s">
        <v>1773</v>
      </c>
      <c r="F1026" s="60"/>
      <c r="G1026" s="92"/>
      <c r="H1026" s="60"/>
      <c r="I1026" s="60"/>
      <c r="J1026" s="60"/>
      <c r="K1026" s="71" t="str">
        <f>VLOOKUP(E1026,'HEAD OF THE FAMILY'!$B$6:$J1851,9,FALSE)</f>
        <v>BLK 46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>
      <c r="A1027" s="60">
        <f t="shared" si="5"/>
        <v>1022</v>
      </c>
      <c r="B1027" s="62" t="s">
        <v>2546</v>
      </c>
      <c r="C1027" s="62" t="s">
        <v>2547</v>
      </c>
      <c r="D1027" s="105"/>
      <c r="E1027" s="62" t="s">
        <v>1740</v>
      </c>
      <c r="F1027" s="60"/>
      <c r="G1027" s="92"/>
      <c r="H1027" s="60"/>
      <c r="I1027" s="60"/>
      <c r="J1027" s="60"/>
      <c r="K1027" s="71" t="str">
        <f>VLOOKUP(E1027,'HEAD OF THE FAMILY'!$B$6:$J1851,9,FALSE)</f>
        <v>BLK 46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>
      <c r="A1028" s="60">
        <f t="shared" si="5"/>
        <v>1023</v>
      </c>
      <c r="B1028" s="62" t="s">
        <v>2549</v>
      </c>
      <c r="C1028" s="62" t="s">
        <v>2550</v>
      </c>
      <c r="D1028" s="105"/>
      <c r="E1028" s="62" t="s">
        <v>1740</v>
      </c>
      <c r="F1028" s="60"/>
      <c r="G1028" s="92"/>
      <c r="H1028" s="60"/>
      <c r="I1028" s="60"/>
      <c r="J1028" s="60"/>
      <c r="K1028" s="71" t="str">
        <f>VLOOKUP(E1028,'HEAD OF THE FAMILY'!$B$6:$J1851,9,FALSE)</f>
        <v>BLK 46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>
      <c r="A1029" s="60">
        <f t="shared" si="5"/>
        <v>1024</v>
      </c>
      <c r="B1029" s="62" t="s">
        <v>2546</v>
      </c>
      <c r="C1029" s="62" t="s">
        <v>2551</v>
      </c>
      <c r="D1029" s="105"/>
      <c r="E1029" s="62" t="s">
        <v>1740</v>
      </c>
      <c r="F1029" s="60"/>
      <c r="G1029" s="92"/>
      <c r="H1029" s="60"/>
      <c r="I1029" s="60"/>
      <c r="J1029" s="60"/>
      <c r="K1029" s="71" t="str">
        <f>VLOOKUP(E1029,'HEAD OF THE FAMILY'!$B$6:$J1851,9,FALSE)</f>
        <v>BLK 46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>
      <c r="A1030" s="60">
        <f t="shared" si="5"/>
        <v>1025</v>
      </c>
      <c r="B1030" s="62" t="s">
        <v>2553</v>
      </c>
      <c r="C1030" s="62" t="s">
        <v>2554</v>
      </c>
      <c r="D1030" s="105"/>
      <c r="E1030" s="62" t="s">
        <v>1740</v>
      </c>
      <c r="F1030" s="60"/>
      <c r="G1030" s="92"/>
      <c r="H1030" s="60"/>
      <c r="I1030" s="60"/>
      <c r="J1030" s="60"/>
      <c r="K1030" s="71" t="str">
        <f>VLOOKUP(E1030,'HEAD OF THE FAMILY'!$B$6:$J1851,9,FALSE)</f>
        <v>BLK 46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>
      <c r="A1031" s="60">
        <f t="shared" si="5"/>
        <v>1026</v>
      </c>
      <c r="B1031" s="62" t="s">
        <v>2555</v>
      </c>
      <c r="C1031" s="62" t="s">
        <v>2556</v>
      </c>
      <c r="D1031" s="62" t="s">
        <v>2557</v>
      </c>
      <c r="E1031" s="62" t="s">
        <v>1967</v>
      </c>
      <c r="F1031" s="60"/>
      <c r="G1031" s="92"/>
      <c r="H1031" s="60"/>
      <c r="I1031" s="60"/>
      <c r="J1031" s="60"/>
      <c r="K1031" s="71" t="str">
        <f>VLOOKUP(E1031,'HEAD OF THE FAMILY'!$B$6:$J1851,9,FALSE)</f>
        <v>BLK 46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>
      <c r="A1032" s="60">
        <f t="shared" si="5"/>
        <v>1027</v>
      </c>
      <c r="B1032" s="62" t="s">
        <v>2555</v>
      </c>
      <c r="C1032" s="62" t="s">
        <v>2558</v>
      </c>
      <c r="D1032" s="62" t="s">
        <v>2557</v>
      </c>
      <c r="E1032" s="62" t="s">
        <v>1967</v>
      </c>
      <c r="F1032" s="60"/>
      <c r="G1032" s="92"/>
      <c r="H1032" s="60"/>
      <c r="I1032" s="60"/>
      <c r="J1032" s="60"/>
      <c r="K1032" s="71" t="str">
        <f>VLOOKUP(E1032,'HEAD OF THE FAMILY'!$B$6:$J1851,9,FALSE)</f>
        <v>BLK 46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>
      <c r="A1033" s="60">
        <f t="shared" si="5"/>
        <v>1028</v>
      </c>
      <c r="B1033" s="62" t="s">
        <v>2555</v>
      </c>
      <c r="C1033" s="62" t="s">
        <v>2561</v>
      </c>
      <c r="D1033" s="62" t="s">
        <v>2557</v>
      </c>
      <c r="E1033" s="62" t="s">
        <v>1967</v>
      </c>
      <c r="F1033" s="60"/>
      <c r="G1033" s="92"/>
      <c r="H1033" s="60"/>
      <c r="I1033" s="60"/>
      <c r="J1033" s="60"/>
      <c r="K1033" s="71" t="str">
        <f>VLOOKUP(E1033,'HEAD OF THE FAMILY'!$B$6:$J1851,9,FALSE)</f>
        <v>BLK 46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>
      <c r="A1034" s="60">
        <f t="shared" si="5"/>
        <v>1029</v>
      </c>
      <c r="B1034" s="62" t="s">
        <v>2092</v>
      </c>
      <c r="C1034" s="62" t="s">
        <v>2563</v>
      </c>
      <c r="D1034" s="105"/>
      <c r="E1034" s="62" t="s">
        <v>2333</v>
      </c>
      <c r="F1034" s="60"/>
      <c r="G1034" s="92"/>
      <c r="H1034" s="60"/>
      <c r="I1034" s="60"/>
      <c r="J1034" s="60"/>
      <c r="K1034" s="71" t="str">
        <f>VLOOKUP(E1034,'HEAD OF THE FAMILY'!$B$6:$J1851,9,FALSE)</f>
        <v>BLK 46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>
      <c r="A1035" s="60">
        <f t="shared" si="5"/>
        <v>1030</v>
      </c>
      <c r="B1035" s="62" t="s">
        <v>109</v>
      </c>
      <c r="C1035" s="62" t="s">
        <v>2564</v>
      </c>
      <c r="D1035" s="105"/>
      <c r="E1035" s="62" t="s">
        <v>2333</v>
      </c>
      <c r="F1035" s="60"/>
      <c r="G1035" s="92"/>
      <c r="H1035" s="60"/>
      <c r="I1035" s="60"/>
      <c r="J1035" s="60"/>
      <c r="K1035" s="71" t="str">
        <f>VLOOKUP(E1035,'HEAD OF THE FAMILY'!$B$6:$J1851,9,FALSE)</f>
        <v>BLK 46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>
      <c r="A1036" s="60">
        <f t="shared" si="5"/>
        <v>1031</v>
      </c>
      <c r="B1036" s="62" t="s">
        <v>109</v>
      </c>
      <c r="C1036" s="62" t="s">
        <v>2566</v>
      </c>
      <c r="D1036" s="105"/>
      <c r="E1036" s="62" t="s">
        <v>2333</v>
      </c>
      <c r="F1036" s="60"/>
      <c r="G1036" s="92"/>
      <c r="H1036" s="60"/>
      <c r="I1036" s="60"/>
      <c r="J1036" s="60"/>
      <c r="K1036" s="71" t="str">
        <f>VLOOKUP(E1036,'HEAD OF THE FAMILY'!$B$6:$J1851,9,FALSE)</f>
        <v>BLK 46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>
      <c r="A1037" s="60">
        <f t="shared" si="5"/>
        <v>1032</v>
      </c>
      <c r="B1037" s="62" t="s">
        <v>2567</v>
      </c>
      <c r="C1037" s="62" t="s">
        <v>923</v>
      </c>
      <c r="D1037" s="105"/>
      <c r="E1037" s="62" t="s">
        <v>2568</v>
      </c>
      <c r="F1037" s="60"/>
      <c r="G1037" s="92"/>
      <c r="H1037" s="60"/>
      <c r="I1037" s="60"/>
      <c r="J1037" s="60"/>
      <c r="K1037" s="71" t="str">
        <f>VLOOKUP(E1037,'HEAD OF THE FAMILY'!$B$6:$J1851,9,FALSE)</f>
        <v>#N/A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>
      <c r="A1038" s="60">
        <f t="shared" si="5"/>
        <v>1033</v>
      </c>
      <c r="B1038" s="62" t="s">
        <v>2567</v>
      </c>
      <c r="C1038" s="62" t="s">
        <v>2569</v>
      </c>
      <c r="D1038" s="105"/>
      <c r="E1038" s="62" t="s">
        <v>2568</v>
      </c>
      <c r="F1038" s="60"/>
      <c r="G1038" s="92"/>
      <c r="H1038" s="60"/>
      <c r="I1038" s="60"/>
      <c r="J1038" s="60"/>
      <c r="K1038" s="71" t="str">
        <f>VLOOKUP(E1038,'HEAD OF THE FAMILY'!$B$6:$J1851,9,FALSE)</f>
        <v>#N/A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>
      <c r="A1039" s="60">
        <f t="shared" si="5"/>
        <v>1034</v>
      </c>
      <c r="B1039" s="62" t="s">
        <v>2567</v>
      </c>
      <c r="C1039" s="62" t="s">
        <v>2570</v>
      </c>
      <c r="D1039" s="105"/>
      <c r="E1039" s="62" t="s">
        <v>2568</v>
      </c>
      <c r="F1039" s="60"/>
      <c r="G1039" s="92"/>
      <c r="H1039" s="60"/>
      <c r="I1039" s="60"/>
      <c r="J1039" s="60"/>
      <c r="K1039" s="71" t="str">
        <f>VLOOKUP(E1039,'HEAD OF THE FAMILY'!$B$6:$J1851,9,FALSE)</f>
        <v>#N/A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>
      <c r="A1040" s="60">
        <f t="shared" si="5"/>
        <v>1035</v>
      </c>
      <c r="B1040" s="62" t="s">
        <v>2567</v>
      </c>
      <c r="C1040" s="62" t="s">
        <v>2571</v>
      </c>
      <c r="D1040" s="105"/>
      <c r="E1040" s="62" t="s">
        <v>2568</v>
      </c>
      <c r="F1040" s="60"/>
      <c r="G1040" s="92"/>
      <c r="H1040" s="60"/>
      <c r="I1040" s="60"/>
      <c r="J1040" s="60"/>
      <c r="K1040" s="71" t="str">
        <f>VLOOKUP(E1040,'HEAD OF THE FAMILY'!$B$6:$J1851,9,FALSE)</f>
        <v>#N/A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>
      <c r="A1041" s="60">
        <f t="shared" si="5"/>
        <v>1036</v>
      </c>
      <c r="B1041" s="62" t="s">
        <v>2567</v>
      </c>
      <c r="C1041" s="62" t="s">
        <v>1930</v>
      </c>
      <c r="D1041" s="105"/>
      <c r="E1041" s="62" t="s">
        <v>2568</v>
      </c>
      <c r="F1041" s="60"/>
      <c r="G1041" s="92"/>
      <c r="H1041" s="60"/>
      <c r="I1041" s="60"/>
      <c r="J1041" s="60"/>
      <c r="K1041" s="71" t="str">
        <f>VLOOKUP(E1041,'HEAD OF THE FAMILY'!$B$6:$J1851,9,FALSE)</f>
        <v>#N/A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>
      <c r="A1042" s="60">
        <f t="shared" si="5"/>
        <v>1037</v>
      </c>
      <c r="B1042" s="62" t="s">
        <v>2574</v>
      </c>
      <c r="C1042" s="62" t="s">
        <v>2575</v>
      </c>
      <c r="D1042" s="105"/>
      <c r="E1042" s="62" t="s">
        <v>2175</v>
      </c>
      <c r="F1042" s="60"/>
      <c r="G1042" s="92"/>
      <c r="H1042" s="60"/>
      <c r="I1042" s="60"/>
      <c r="J1042" s="60"/>
      <c r="K1042" s="71" t="str">
        <f>VLOOKUP(E1042,'HEAD OF THE FAMILY'!$B$6:$J1851,9,FALSE)</f>
        <v>BLK 46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>
      <c r="A1043" s="60">
        <f t="shared" si="5"/>
        <v>1038</v>
      </c>
      <c r="B1043" s="62" t="s">
        <v>2577</v>
      </c>
      <c r="C1043" s="62" t="s">
        <v>2578</v>
      </c>
      <c r="D1043" s="105"/>
      <c r="E1043" s="62" t="s">
        <v>2062</v>
      </c>
      <c r="F1043" s="60"/>
      <c r="G1043" s="92"/>
      <c r="H1043" s="60"/>
      <c r="I1043" s="60"/>
      <c r="J1043" s="60"/>
      <c r="K1043" s="71" t="str">
        <f>VLOOKUP(E1043,'HEAD OF THE FAMILY'!$B$6:$J1851,9,FALSE)</f>
        <v>BLK 46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>
      <c r="A1044" s="60">
        <f t="shared" si="5"/>
        <v>1039</v>
      </c>
      <c r="B1044" s="62" t="s">
        <v>2577</v>
      </c>
      <c r="C1044" s="62" t="s">
        <v>2124</v>
      </c>
      <c r="D1044" s="105"/>
      <c r="E1044" s="62" t="s">
        <v>2062</v>
      </c>
      <c r="F1044" s="60"/>
      <c r="G1044" s="92"/>
      <c r="H1044" s="60"/>
      <c r="I1044" s="60"/>
      <c r="J1044" s="60"/>
      <c r="K1044" s="71" t="str">
        <f>VLOOKUP(E1044,'HEAD OF THE FAMILY'!$B$6:$J1851,9,FALSE)</f>
        <v>BLK 46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>
      <c r="A1045" s="60">
        <f t="shared" si="5"/>
        <v>1040</v>
      </c>
      <c r="B1045" s="62" t="s">
        <v>2577</v>
      </c>
      <c r="C1045" s="62" t="s">
        <v>2580</v>
      </c>
      <c r="D1045" s="105"/>
      <c r="E1045" s="62" t="s">
        <v>2062</v>
      </c>
      <c r="F1045" s="60"/>
      <c r="G1045" s="92"/>
      <c r="H1045" s="60"/>
      <c r="I1045" s="60"/>
      <c r="J1045" s="60"/>
      <c r="K1045" s="71" t="str">
        <f>VLOOKUP(E1045,'HEAD OF THE FAMILY'!$B$6:$J1851,9,FALSE)</f>
        <v>BLK 46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>
      <c r="A1046" s="60">
        <f t="shared" si="5"/>
        <v>1041</v>
      </c>
      <c r="B1046" s="62" t="s">
        <v>2577</v>
      </c>
      <c r="C1046" s="62" t="s">
        <v>2581</v>
      </c>
      <c r="D1046" s="105"/>
      <c r="E1046" s="62" t="s">
        <v>2062</v>
      </c>
      <c r="F1046" s="60"/>
      <c r="G1046" s="92"/>
      <c r="H1046" s="60"/>
      <c r="I1046" s="60"/>
      <c r="J1046" s="60"/>
      <c r="K1046" s="71" t="str">
        <f>VLOOKUP(E1046,'HEAD OF THE FAMILY'!$B$6:$J1851,9,FALSE)</f>
        <v>BLK 46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>
      <c r="A1047" s="60">
        <f t="shared" si="5"/>
        <v>1042</v>
      </c>
      <c r="B1047" s="62" t="s">
        <v>2577</v>
      </c>
      <c r="C1047" s="62" t="s">
        <v>2583</v>
      </c>
      <c r="D1047" s="105"/>
      <c r="E1047" s="62" t="s">
        <v>2062</v>
      </c>
      <c r="F1047" s="60"/>
      <c r="G1047" s="92"/>
      <c r="H1047" s="60"/>
      <c r="I1047" s="60"/>
      <c r="J1047" s="60"/>
      <c r="K1047" s="71" t="str">
        <f>VLOOKUP(E1047,'HEAD OF THE FAMILY'!$B$6:$J1851,9,FALSE)</f>
        <v>BLK 46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>
      <c r="A1048" s="60">
        <f t="shared" si="5"/>
        <v>1043</v>
      </c>
      <c r="B1048" s="62" t="s">
        <v>2585</v>
      </c>
      <c r="C1048" s="62" t="s">
        <v>2586</v>
      </c>
      <c r="D1048" s="62" t="s">
        <v>2557</v>
      </c>
      <c r="E1048" s="62" t="s">
        <v>2043</v>
      </c>
      <c r="F1048" s="60"/>
      <c r="G1048" s="92"/>
      <c r="H1048" s="60"/>
      <c r="I1048" s="60"/>
      <c r="J1048" s="60"/>
      <c r="K1048" s="71" t="str">
        <f>VLOOKUP(E1048,'HEAD OF THE FAMILY'!$B$6:$J1851,9,FALSE)</f>
        <v>BLK 46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>
      <c r="A1049" s="60">
        <f t="shared" si="5"/>
        <v>1044</v>
      </c>
      <c r="B1049" s="62" t="s">
        <v>2585</v>
      </c>
      <c r="C1049" s="62" t="s">
        <v>1659</v>
      </c>
      <c r="D1049" s="62" t="s">
        <v>2557</v>
      </c>
      <c r="E1049" s="62" t="s">
        <v>2043</v>
      </c>
      <c r="F1049" s="60"/>
      <c r="G1049" s="92"/>
      <c r="H1049" s="60"/>
      <c r="I1049" s="60"/>
      <c r="J1049" s="60"/>
      <c r="K1049" s="71" t="str">
        <f>VLOOKUP(E1049,'HEAD OF THE FAMILY'!$B$6:$J1851,9,FALSE)</f>
        <v>BLK 46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>
      <c r="A1050" s="60">
        <f t="shared" si="5"/>
        <v>1045</v>
      </c>
      <c r="B1050" s="62" t="s">
        <v>2588</v>
      </c>
      <c r="C1050" s="62" t="s">
        <v>2589</v>
      </c>
      <c r="D1050" s="105"/>
      <c r="E1050" s="62" t="s">
        <v>2590</v>
      </c>
      <c r="F1050" s="60"/>
      <c r="G1050" s="92"/>
      <c r="H1050" s="60"/>
      <c r="I1050" s="60"/>
      <c r="J1050" s="60"/>
      <c r="K1050" s="71" t="str">
        <f>VLOOKUP(E1050,'HEAD OF THE FAMILY'!$B$6:$J1851,9,FALSE)</f>
        <v>BLK 46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>
      <c r="A1051" s="60">
        <f t="shared" si="5"/>
        <v>1046</v>
      </c>
      <c r="B1051" s="62" t="s">
        <v>2588</v>
      </c>
      <c r="C1051" s="62" t="s">
        <v>2593</v>
      </c>
      <c r="D1051" s="105"/>
      <c r="E1051" s="62" t="s">
        <v>2590</v>
      </c>
      <c r="F1051" s="60"/>
      <c r="G1051" s="92"/>
      <c r="H1051" s="60"/>
      <c r="I1051" s="60"/>
      <c r="J1051" s="60"/>
      <c r="K1051" s="71" t="str">
        <f>VLOOKUP(E1051,'HEAD OF THE FAMILY'!$B$6:$J1851,9,FALSE)</f>
        <v>BLK 46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>
      <c r="A1052" s="60">
        <f t="shared" si="5"/>
        <v>1047</v>
      </c>
      <c r="B1052" s="62" t="s">
        <v>2594</v>
      </c>
      <c r="C1052" s="62" t="s">
        <v>2595</v>
      </c>
      <c r="D1052" s="105"/>
      <c r="E1052" s="62" t="s">
        <v>907</v>
      </c>
      <c r="F1052" s="60"/>
      <c r="G1052" s="92"/>
      <c r="H1052" s="60"/>
      <c r="I1052" s="60"/>
      <c r="J1052" s="60"/>
      <c r="K1052" s="71" t="str">
        <f>VLOOKUP(E1052,'HEAD OF THE FAMILY'!$B$6:$J1851,9,FALSE)</f>
        <v>BLK 46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>
      <c r="A1053" s="60">
        <f t="shared" si="5"/>
        <v>1048</v>
      </c>
      <c r="B1053" s="62" t="s">
        <v>2594</v>
      </c>
      <c r="C1053" s="62" t="s">
        <v>2597</v>
      </c>
      <c r="D1053" s="105"/>
      <c r="E1053" s="62" t="s">
        <v>907</v>
      </c>
      <c r="F1053" s="60"/>
      <c r="G1053" s="92"/>
      <c r="H1053" s="60"/>
      <c r="I1053" s="60"/>
      <c r="J1053" s="60"/>
      <c r="K1053" s="71" t="str">
        <f>VLOOKUP(E1053,'HEAD OF THE FAMILY'!$B$6:$J1851,9,FALSE)</f>
        <v>BLK 46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>
      <c r="A1054" s="60">
        <f t="shared" si="5"/>
        <v>1049</v>
      </c>
      <c r="B1054" s="62" t="s">
        <v>2594</v>
      </c>
      <c r="C1054" s="62" t="s">
        <v>2599</v>
      </c>
      <c r="D1054" s="105"/>
      <c r="E1054" s="62" t="s">
        <v>907</v>
      </c>
      <c r="F1054" s="60"/>
      <c r="G1054" s="92"/>
      <c r="H1054" s="60"/>
      <c r="I1054" s="60"/>
      <c r="J1054" s="60"/>
      <c r="K1054" s="71" t="str">
        <f>VLOOKUP(E1054,'HEAD OF THE FAMILY'!$B$6:$J1851,9,FALSE)</f>
        <v>BLK 46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>
      <c r="A1055" s="60">
        <f t="shared" si="5"/>
        <v>1050</v>
      </c>
      <c r="B1055" s="62" t="s">
        <v>585</v>
      </c>
      <c r="C1055" s="62" t="s">
        <v>2601</v>
      </c>
      <c r="D1055" s="62" t="s">
        <v>1065</v>
      </c>
      <c r="E1055" s="62" t="s">
        <v>2603</v>
      </c>
      <c r="F1055" s="60"/>
      <c r="G1055" s="92"/>
      <c r="H1055" s="60"/>
      <c r="I1055" s="60"/>
      <c r="J1055" s="60"/>
      <c r="K1055" s="71" t="str">
        <f>VLOOKUP(E1055,'HEAD OF THE FAMILY'!$B$6:$J1851,9,FALSE)</f>
        <v>BLK 46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>
      <c r="A1056" s="60">
        <f t="shared" si="5"/>
        <v>1051</v>
      </c>
      <c r="B1056" s="62" t="s">
        <v>585</v>
      </c>
      <c r="C1056" s="62" t="s">
        <v>2605</v>
      </c>
      <c r="D1056" s="105"/>
      <c r="E1056" s="62" t="s">
        <v>2603</v>
      </c>
      <c r="F1056" s="60"/>
      <c r="G1056" s="92"/>
      <c r="H1056" s="60"/>
      <c r="I1056" s="60"/>
      <c r="J1056" s="60"/>
      <c r="K1056" s="71" t="str">
        <f>VLOOKUP(E1056,'HEAD OF THE FAMILY'!$B$6:$J1851,9,FALSE)</f>
        <v>BLK 46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>
      <c r="A1057" s="60">
        <f t="shared" si="5"/>
        <v>1052</v>
      </c>
      <c r="B1057" s="62" t="s">
        <v>2608</v>
      </c>
      <c r="C1057" s="62" t="s">
        <v>2609</v>
      </c>
      <c r="D1057" s="62" t="s">
        <v>1463</v>
      </c>
      <c r="E1057" s="62" t="s">
        <v>2603</v>
      </c>
      <c r="F1057" s="60"/>
      <c r="G1057" s="92"/>
      <c r="H1057" s="60"/>
      <c r="I1057" s="60"/>
      <c r="J1057" s="60"/>
      <c r="K1057" s="71" t="str">
        <f>VLOOKUP(E1057,'HEAD OF THE FAMILY'!$B$6:$J1851,9,FALSE)</f>
        <v>BLK 46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>
      <c r="A1058" s="60">
        <f t="shared" si="5"/>
        <v>1053</v>
      </c>
      <c r="B1058" s="62" t="s">
        <v>2608</v>
      </c>
      <c r="C1058" s="62" t="s">
        <v>2610</v>
      </c>
      <c r="D1058" s="62" t="s">
        <v>1463</v>
      </c>
      <c r="E1058" s="62" t="s">
        <v>2603</v>
      </c>
      <c r="F1058" s="60"/>
      <c r="G1058" s="92"/>
      <c r="H1058" s="60"/>
      <c r="I1058" s="60"/>
      <c r="J1058" s="60"/>
      <c r="K1058" s="71" t="str">
        <f>VLOOKUP(E1058,'HEAD OF THE FAMILY'!$B$6:$J1851,9,FALSE)</f>
        <v>BLK 46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>
      <c r="A1059" s="60">
        <f t="shared" si="5"/>
        <v>1054</v>
      </c>
      <c r="B1059" s="62" t="s">
        <v>585</v>
      </c>
      <c r="C1059" s="62" t="s">
        <v>2612</v>
      </c>
      <c r="D1059" s="105"/>
      <c r="E1059" s="62" t="s">
        <v>2603</v>
      </c>
      <c r="F1059" s="60"/>
      <c r="G1059" s="92"/>
      <c r="H1059" s="60"/>
      <c r="I1059" s="60"/>
      <c r="J1059" s="60"/>
      <c r="K1059" s="71" t="str">
        <f>VLOOKUP(E1059,'HEAD OF THE FAMILY'!$B$6:$J1851,9,FALSE)</f>
        <v>BLK 46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>
      <c r="A1060" s="60">
        <f t="shared" si="5"/>
        <v>1055</v>
      </c>
      <c r="B1060" s="62" t="s">
        <v>2613</v>
      </c>
      <c r="C1060" s="62" t="s">
        <v>2614</v>
      </c>
      <c r="D1060" s="62" t="s">
        <v>1428</v>
      </c>
      <c r="E1060" s="62" t="s">
        <v>1846</v>
      </c>
      <c r="F1060" s="60"/>
      <c r="G1060" s="92"/>
      <c r="H1060" s="60"/>
      <c r="I1060" s="60"/>
      <c r="J1060" s="60"/>
      <c r="K1060" s="71" t="str">
        <f>VLOOKUP(E1060,'HEAD OF THE FAMILY'!$B$6:$J1851,9,FALSE)</f>
        <v>BLK 46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>
      <c r="A1061" s="60">
        <f t="shared" si="5"/>
        <v>1056</v>
      </c>
      <c r="B1061" s="62" t="s">
        <v>2617</v>
      </c>
      <c r="C1061" s="62" t="s">
        <v>1596</v>
      </c>
      <c r="D1061" s="105"/>
      <c r="E1061" s="62" t="s">
        <v>1841</v>
      </c>
      <c r="F1061" s="60"/>
      <c r="G1061" s="92"/>
      <c r="H1061" s="60"/>
      <c r="I1061" s="60"/>
      <c r="J1061" s="60"/>
      <c r="K1061" s="71" t="str">
        <f>VLOOKUP(E1061,'HEAD OF THE FAMILY'!$B$6:$J1851,9,FALSE)</f>
        <v>BLK 46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>
      <c r="A1062" s="60">
        <f t="shared" si="5"/>
        <v>1057</v>
      </c>
      <c r="B1062" s="62" t="s">
        <v>2322</v>
      </c>
      <c r="C1062" s="62" t="s">
        <v>1854</v>
      </c>
      <c r="D1062" s="62" t="s">
        <v>53</v>
      </c>
      <c r="E1062" s="62" t="s">
        <v>1841</v>
      </c>
      <c r="F1062" s="60"/>
      <c r="G1062" s="92"/>
      <c r="H1062" s="60"/>
      <c r="I1062" s="60"/>
      <c r="J1062" s="60"/>
      <c r="K1062" s="71" t="str">
        <f>VLOOKUP(E1062,'HEAD OF THE FAMILY'!$B$6:$J1851,9,FALSE)</f>
        <v>BLK 46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>
      <c r="A1063" s="60">
        <f t="shared" si="5"/>
        <v>1058</v>
      </c>
      <c r="B1063" s="62" t="s">
        <v>2339</v>
      </c>
      <c r="C1063" s="62" t="s">
        <v>1515</v>
      </c>
      <c r="D1063" s="105"/>
      <c r="E1063" s="62" t="s">
        <v>2619</v>
      </c>
      <c r="F1063" s="60"/>
      <c r="G1063" s="92"/>
      <c r="H1063" s="60"/>
      <c r="I1063" s="60"/>
      <c r="J1063" s="60"/>
      <c r="K1063" s="71" t="str">
        <f>VLOOKUP(E1063,'HEAD OF THE FAMILY'!$B$6:$J1851,9,FALSE)</f>
        <v>BLK 46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>
      <c r="A1064" s="60">
        <f t="shared" si="5"/>
        <v>1059</v>
      </c>
      <c r="B1064" s="62" t="s">
        <v>2339</v>
      </c>
      <c r="C1064" s="62" t="s">
        <v>2620</v>
      </c>
      <c r="D1064" s="105"/>
      <c r="E1064" s="62" t="s">
        <v>2619</v>
      </c>
      <c r="F1064" s="60"/>
      <c r="G1064" s="92"/>
      <c r="H1064" s="60"/>
      <c r="I1064" s="60"/>
      <c r="J1064" s="60"/>
      <c r="K1064" s="71" t="str">
        <f>VLOOKUP(E1064,'HEAD OF THE FAMILY'!$B$6:$J1851,9,FALSE)</f>
        <v>BLK 46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>
      <c r="A1065" s="60">
        <f t="shared" si="5"/>
        <v>1060</v>
      </c>
      <c r="B1065" s="62" t="s">
        <v>2339</v>
      </c>
      <c r="C1065" s="62" t="s">
        <v>2621</v>
      </c>
      <c r="D1065" s="105"/>
      <c r="E1065" s="62" t="s">
        <v>2619</v>
      </c>
      <c r="F1065" s="60"/>
      <c r="G1065" s="92"/>
      <c r="H1065" s="60"/>
      <c r="I1065" s="60"/>
      <c r="J1065" s="60"/>
      <c r="K1065" s="71" t="str">
        <f>VLOOKUP(E1065,'HEAD OF THE FAMILY'!$B$6:$J1851,9,FALSE)</f>
        <v>BLK 46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>
      <c r="A1066" s="60">
        <f t="shared" si="5"/>
        <v>1061</v>
      </c>
      <c r="B1066" s="62" t="s">
        <v>2623</v>
      </c>
      <c r="C1066" s="62" t="s">
        <v>1776</v>
      </c>
      <c r="D1066" s="105"/>
      <c r="E1066" s="62" t="s">
        <v>419</v>
      </c>
      <c r="F1066" s="60"/>
      <c r="G1066" s="92"/>
      <c r="H1066" s="60"/>
      <c r="I1066" s="60"/>
      <c r="J1066" s="60"/>
      <c r="K1066" s="71" t="str">
        <f>VLOOKUP(E1066,'HEAD OF THE FAMILY'!$B$6:$J1851,9,FALSE)</f>
        <v>BLK 46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>
      <c r="A1067" s="60">
        <f t="shared" si="5"/>
        <v>1062</v>
      </c>
      <c r="B1067" s="62" t="s">
        <v>2623</v>
      </c>
      <c r="C1067" s="62" t="s">
        <v>2624</v>
      </c>
      <c r="D1067" s="105"/>
      <c r="E1067" s="62" t="s">
        <v>419</v>
      </c>
      <c r="F1067" s="60"/>
      <c r="G1067" s="92"/>
      <c r="H1067" s="60"/>
      <c r="I1067" s="60"/>
      <c r="J1067" s="60"/>
      <c r="K1067" s="71" t="str">
        <f>VLOOKUP(E1067,'HEAD OF THE FAMILY'!$B$6:$J1851,9,FALSE)</f>
        <v>BLK 46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>
      <c r="A1068" s="60">
        <f t="shared" si="5"/>
        <v>1063</v>
      </c>
      <c r="B1068" s="62" t="s">
        <v>2626</v>
      </c>
      <c r="C1068" s="62" t="s">
        <v>2627</v>
      </c>
      <c r="D1068" s="62" t="s">
        <v>1472</v>
      </c>
      <c r="E1068" s="62" t="s">
        <v>2187</v>
      </c>
      <c r="F1068" s="60"/>
      <c r="G1068" s="92"/>
      <c r="H1068" s="60"/>
      <c r="I1068" s="60"/>
      <c r="J1068" s="60"/>
      <c r="K1068" s="71" t="str">
        <f>VLOOKUP(E1068,'HEAD OF THE FAMILY'!$B$6:$J1851,9,FALSE)</f>
        <v>BLK 46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>
      <c r="A1069" s="60">
        <f t="shared" si="5"/>
        <v>1064</v>
      </c>
      <c r="B1069" s="62" t="s">
        <v>2626</v>
      </c>
      <c r="C1069" s="62" t="s">
        <v>2629</v>
      </c>
      <c r="D1069" s="62" t="s">
        <v>1472</v>
      </c>
      <c r="E1069" s="62" t="s">
        <v>2187</v>
      </c>
      <c r="F1069" s="60"/>
      <c r="G1069" s="92"/>
      <c r="H1069" s="60"/>
      <c r="I1069" s="60"/>
      <c r="J1069" s="60"/>
      <c r="K1069" s="71" t="str">
        <f>VLOOKUP(E1069,'HEAD OF THE FAMILY'!$B$6:$J1851,9,FALSE)</f>
        <v>BLK 46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>
      <c r="A1070" s="60">
        <f t="shared" si="5"/>
        <v>1065</v>
      </c>
      <c r="B1070" s="62" t="s">
        <v>2632</v>
      </c>
      <c r="C1070" s="62" t="s">
        <v>2633</v>
      </c>
      <c r="D1070" s="62" t="s">
        <v>1472</v>
      </c>
      <c r="E1070" s="62" t="s">
        <v>2187</v>
      </c>
      <c r="F1070" s="60"/>
      <c r="G1070" s="92"/>
      <c r="H1070" s="60"/>
      <c r="I1070" s="60"/>
      <c r="J1070" s="60"/>
      <c r="K1070" s="71" t="str">
        <f>VLOOKUP(E1070,'HEAD OF THE FAMILY'!$B$6:$J1851,9,FALSE)</f>
        <v>BLK 46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>
      <c r="A1071" s="60">
        <f t="shared" si="5"/>
        <v>1066</v>
      </c>
      <c r="B1071" s="62" t="s">
        <v>2626</v>
      </c>
      <c r="C1071" s="62" t="s">
        <v>2635</v>
      </c>
      <c r="D1071" s="62" t="s">
        <v>1472</v>
      </c>
      <c r="E1071" s="62" t="s">
        <v>2187</v>
      </c>
      <c r="F1071" s="60"/>
      <c r="G1071" s="92"/>
      <c r="H1071" s="60"/>
      <c r="I1071" s="60"/>
      <c r="J1071" s="60"/>
      <c r="K1071" s="71" t="str">
        <f>VLOOKUP(E1071,'HEAD OF THE FAMILY'!$B$6:$J1851,9,FALSE)</f>
        <v>BLK 46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>
      <c r="A1072" s="60">
        <f t="shared" si="5"/>
        <v>1067</v>
      </c>
      <c r="B1072" s="62" t="s">
        <v>120</v>
      </c>
      <c r="C1072" s="62" t="s">
        <v>2637</v>
      </c>
      <c r="D1072" s="105"/>
      <c r="E1072" s="62" t="s">
        <v>2187</v>
      </c>
      <c r="F1072" s="60"/>
      <c r="G1072" s="92"/>
      <c r="H1072" s="60"/>
      <c r="I1072" s="60"/>
      <c r="J1072" s="60"/>
      <c r="K1072" s="71" t="str">
        <f>VLOOKUP(E1072,'HEAD OF THE FAMILY'!$B$6:$J1851,9,FALSE)</f>
        <v>BLK 46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>
      <c r="A1073" s="60">
        <f t="shared" si="5"/>
        <v>1068</v>
      </c>
      <c r="B1073" s="62" t="s">
        <v>2639</v>
      </c>
      <c r="C1073" s="62" t="s">
        <v>2640</v>
      </c>
      <c r="D1073" s="62" t="s">
        <v>1472</v>
      </c>
      <c r="E1073" s="62" t="s">
        <v>2573</v>
      </c>
      <c r="F1073" s="60"/>
      <c r="G1073" s="92"/>
      <c r="H1073" s="60"/>
      <c r="I1073" s="60"/>
      <c r="J1073" s="60"/>
      <c r="K1073" s="71" t="str">
        <f>VLOOKUP(E1073,'HEAD OF THE FAMILY'!$B$6:$J1851,9,FALSE)</f>
        <v>BLK 46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>
      <c r="A1074" s="60">
        <f t="shared" si="5"/>
        <v>1069</v>
      </c>
      <c r="B1074" s="62" t="s">
        <v>2639</v>
      </c>
      <c r="C1074" s="62" t="s">
        <v>2642</v>
      </c>
      <c r="D1074" s="62" t="s">
        <v>1472</v>
      </c>
      <c r="E1074" s="62" t="s">
        <v>2573</v>
      </c>
      <c r="F1074" s="60"/>
      <c r="G1074" s="92"/>
      <c r="H1074" s="60"/>
      <c r="I1074" s="60"/>
      <c r="J1074" s="60"/>
      <c r="K1074" s="71" t="str">
        <f>VLOOKUP(E1074,'HEAD OF THE FAMILY'!$B$6:$J1851,9,FALSE)</f>
        <v>BLK 46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>
      <c r="A1075" s="60">
        <f t="shared" si="5"/>
        <v>1070</v>
      </c>
      <c r="B1075" s="62" t="s">
        <v>2644</v>
      </c>
      <c r="C1075" s="62" t="s">
        <v>2645</v>
      </c>
      <c r="D1075" s="62" t="s">
        <v>1472</v>
      </c>
      <c r="E1075" s="62" t="s">
        <v>2195</v>
      </c>
      <c r="F1075" s="60"/>
      <c r="G1075" s="92"/>
      <c r="H1075" s="60"/>
      <c r="I1075" s="60"/>
      <c r="J1075" s="60"/>
      <c r="K1075" s="71" t="str">
        <f>VLOOKUP(E1075,'HEAD OF THE FAMILY'!$B$6:$J1851,9,FALSE)</f>
        <v>BLK 46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>
      <c r="A1076" s="60">
        <f t="shared" si="5"/>
        <v>1071</v>
      </c>
      <c r="B1076" s="62" t="s">
        <v>2647</v>
      </c>
      <c r="C1076" s="62" t="s">
        <v>2648</v>
      </c>
      <c r="D1076" s="105"/>
      <c r="E1076" s="62" t="s">
        <v>1481</v>
      </c>
      <c r="F1076" s="60"/>
      <c r="G1076" s="92"/>
      <c r="H1076" s="60"/>
      <c r="I1076" s="60"/>
      <c r="J1076" s="60"/>
      <c r="K1076" s="71" t="str">
        <f>VLOOKUP(E1076,'HEAD OF THE FAMILY'!$B$6:$J1851,9,FALSE)</f>
        <v>BLK 46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>
      <c r="A1077" s="60">
        <f t="shared" si="5"/>
        <v>1072</v>
      </c>
      <c r="B1077" s="62" t="s">
        <v>2650</v>
      </c>
      <c r="C1077" s="62" t="s">
        <v>2651</v>
      </c>
      <c r="D1077" s="105"/>
      <c r="E1077" s="62" t="s">
        <v>2652</v>
      </c>
      <c r="F1077" s="60"/>
      <c r="G1077" s="92"/>
      <c r="H1077" s="60"/>
      <c r="I1077" s="60"/>
      <c r="J1077" s="60"/>
      <c r="K1077" s="71" t="str">
        <f>VLOOKUP(E1077,'HEAD OF THE FAMILY'!$B$6:$J1851,9,FALSE)</f>
        <v>BLK 46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>
      <c r="A1078" s="60">
        <f t="shared" si="5"/>
        <v>1073</v>
      </c>
      <c r="B1078" s="62" t="s">
        <v>2655</v>
      </c>
      <c r="C1078" s="62" t="s">
        <v>2656</v>
      </c>
      <c r="D1078" s="105"/>
      <c r="E1078" s="62" t="s">
        <v>2657</v>
      </c>
      <c r="F1078" s="60"/>
      <c r="G1078" s="92"/>
      <c r="H1078" s="60"/>
      <c r="I1078" s="60"/>
      <c r="J1078" s="60"/>
      <c r="K1078" s="71" t="str">
        <f>VLOOKUP(E1078,'HEAD OF THE FAMILY'!$B$6:$J1851,9,FALSE)</f>
        <v>BLK 46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>
      <c r="A1079" s="60">
        <f t="shared" si="5"/>
        <v>1074</v>
      </c>
      <c r="B1079" s="62" t="s">
        <v>2655</v>
      </c>
      <c r="C1079" s="62" t="s">
        <v>2660</v>
      </c>
      <c r="D1079" s="105"/>
      <c r="E1079" s="62" t="s">
        <v>2657</v>
      </c>
      <c r="F1079" s="60"/>
      <c r="G1079" s="92"/>
      <c r="H1079" s="60"/>
      <c r="I1079" s="60"/>
      <c r="J1079" s="60"/>
      <c r="K1079" s="71" t="str">
        <f>VLOOKUP(E1079,'HEAD OF THE FAMILY'!$B$6:$J1851,9,FALSE)</f>
        <v>BLK 46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>
      <c r="A1080" s="60">
        <f t="shared" si="5"/>
        <v>1075</v>
      </c>
      <c r="B1080" s="62" t="s">
        <v>2650</v>
      </c>
      <c r="C1080" s="62" t="s">
        <v>2661</v>
      </c>
      <c r="D1080" s="105"/>
      <c r="E1080" s="62" t="s">
        <v>1670</v>
      </c>
      <c r="F1080" s="60"/>
      <c r="G1080" s="92"/>
      <c r="H1080" s="60"/>
      <c r="I1080" s="60"/>
      <c r="J1080" s="60"/>
      <c r="K1080" s="71" t="str">
        <f>VLOOKUP(E1080,'HEAD OF THE FAMILY'!$B$6:$J1851,9,FALSE)</f>
        <v>BLK 46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>
      <c r="A1081" s="60">
        <f t="shared" si="5"/>
        <v>1076</v>
      </c>
      <c r="B1081" s="62" t="s">
        <v>2650</v>
      </c>
      <c r="C1081" s="62" t="s">
        <v>2663</v>
      </c>
      <c r="D1081" s="105"/>
      <c r="E1081" s="62" t="s">
        <v>1670</v>
      </c>
      <c r="F1081" s="60"/>
      <c r="G1081" s="92"/>
      <c r="H1081" s="60"/>
      <c r="I1081" s="60"/>
      <c r="J1081" s="60"/>
      <c r="K1081" s="71" t="str">
        <f>VLOOKUP(E1081,'HEAD OF THE FAMILY'!$B$6:$J1851,9,FALSE)</f>
        <v>BLK 46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>
      <c r="A1082" s="60">
        <f t="shared" si="5"/>
        <v>1077</v>
      </c>
      <c r="B1082" s="62" t="s">
        <v>2495</v>
      </c>
      <c r="C1082" s="62" t="s">
        <v>159</v>
      </c>
      <c r="D1082" s="105"/>
      <c r="E1082" s="62" t="s">
        <v>295</v>
      </c>
      <c r="F1082" s="60"/>
      <c r="G1082" s="92"/>
      <c r="H1082" s="60"/>
      <c r="I1082" s="60"/>
      <c r="J1082" s="60"/>
      <c r="K1082" s="71" t="str">
        <f>VLOOKUP(E1082,'HEAD OF THE FAMILY'!$B$6:$J1851,9,FALSE)</f>
        <v>BLK 46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>
      <c r="A1083" s="60">
        <f t="shared" si="5"/>
        <v>1078</v>
      </c>
      <c r="B1083" s="62" t="s">
        <v>2508</v>
      </c>
      <c r="C1083" s="62" t="s">
        <v>2665</v>
      </c>
      <c r="D1083" s="105"/>
      <c r="E1083" s="62" t="s">
        <v>2667</v>
      </c>
      <c r="F1083" s="60"/>
      <c r="G1083" s="92"/>
      <c r="H1083" s="60"/>
      <c r="I1083" s="60"/>
      <c r="J1083" s="60"/>
      <c r="K1083" s="71" t="str">
        <f>VLOOKUP(E1083,'HEAD OF THE FAMILY'!$B$6:$J1851,9,FALSE)</f>
        <v>BLK 46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>
      <c r="A1084" s="60">
        <f t="shared" si="5"/>
        <v>1079</v>
      </c>
      <c r="B1084" s="62" t="s">
        <v>2650</v>
      </c>
      <c r="C1084" s="62" t="s">
        <v>2668</v>
      </c>
      <c r="D1084" s="105"/>
      <c r="E1084" s="62" t="s">
        <v>2404</v>
      </c>
      <c r="F1084" s="60"/>
      <c r="G1084" s="92"/>
      <c r="H1084" s="60"/>
      <c r="I1084" s="60"/>
      <c r="J1084" s="60"/>
      <c r="K1084" s="71" t="str">
        <f>VLOOKUP(E1084,'HEAD OF THE FAMILY'!$B$6:$J1851,9,FALSE)</f>
        <v>BLK 46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>
      <c r="A1085" s="60">
        <f t="shared" si="5"/>
        <v>1080</v>
      </c>
      <c r="B1085" s="62" t="s">
        <v>2650</v>
      </c>
      <c r="C1085" s="62" t="s">
        <v>2670</v>
      </c>
      <c r="D1085" s="105"/>
      <c r="E1085" s="62" t="s">
        <v>2404</v>
      </c>
      <c r="F1085" s="60"/>
      <c r="G1085" s="92"/>
      <c r="H1085" s="60"/>
      <c r="I1085" s="60"/>
      <c r="J1085" s="60"/>
      <c r="K1085" s="71" t="str">
        <f>VLOOKUP(E1085,'HEAD OF THE FAMILY'!$B$6:$J1851,9,FALSE)</f>
        <v>BLK 46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>
      <c r="A1086" s="60">
        <f t="shared" si="5"/>
        <v>1081</v>
      </c>
      <c r="B1086" s="62" t="s">
        <v>2650</v>
      </c>
      <c r="C1086" s="62" t="s">
        <v>2671</v>
      </c>
      <c r="D1086" s="105"/>
      <c r="E1086" s="62" t="s">
        <v>2404</v>
      </c>
      <c r="F1086" s="60"/>
      <c r="G1086" s="92"/>
      <c r="H1086" s="60"/>
      <c r="I1086" s="60"/>
      <c r="J1086" s="60"/>
      <c r="K1086" s="71" t="str">
        <f>VLOOKUP(E1086,'HEAD OF THE FAMILY'!$B$6:$J1851,9,FALSE)</f>
        <v>BLK 46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>
      <c r="A1087" s="60">
        <f t="shared" si="5"/>
        <v>1082</v>
      </c>
      <c r="B1087" s="62" t="s">
        <v>2555</v>
      </c>
      <c r="C1087" s="62" t="s">
        <v>2673</v>
      </c>
      <c r="D1087" s="105"/>
      <c r="E1087" s="62" t="s">
        <v>2674</v>
      </c>
      <c r="F1087" s="60"/>
      <c r="G1087" s="92"/>
      <c r="H1087" s="60"/>
      <c r="I1087" s="60"/>
      <c r="J1087" s="60"/>
      <c r="K1087" s="71" t="str">
        <f>VLOOKUP(E1087,'HEAD OF THE FAMILY'!$B$6:$J1851,9,FALSE)</f>
        <v>BLK 46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>
      <c r="A1088" s="60">
        <f t="shared" si="5"/>
        <v>1083</v>
      </c>
      <c r="B1088" s="62" t="s">
        <v>2555</v>
      </c>
      <c r="C1088" s="62" t="s">
        <v>2675</v>
      </c>
      <c r="D1088" s="105"/>
      <c r="E1088" s="62" t="s">
        <v>2674</v>
      </c>
      <c r="F1088" s="60"/>
      <c r="G1088" s="92"/>
      <c r="H1088" s="60"/>
      <c r="I1088" s="60"/>
      <c r="J1088" s="60"/>
      <c r="K1088" s="71" t="str">
        <f>VLOOKUP(E1088,'HEAD OF THE FAMILY'!$B$6:$J1851,9,FALSE)</f>
        <v>BLK 46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>
      <c r="A1089" s="60">
        <f t="shared" si="5"/>
        <v>1084</v>
      </c>
      <c r="B1089" s="62" t="s">
        <v>2676</v>
      </c>
      <c r="C1089" s="62" t="s">
        <v>2677</v>
      </c>
      <c r="D1089" s="105"/>
      <c r="E1089" s="62" t="s">
        <v>1895</v>
      </c>
      <c r="F1089" s="60"/>
      <c r="G1089" s="92"/>
      <c r="H1089" s="60"/>
      <c r="I1089" s="60"/>
      <c r="J1089" s="60"/>
      <c r="K1089" s="71" t="str">
        <f>VLOOKUP(E1089,'HEAD OF THE FAMILY'!$B$6:$J1851,9,FALSE)</f>
        <v>BLK 46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>
      <c r="A1090" s="60">
        <f t="shared" si="5"/>
        <v>1085</v>
      </c>
      <c r="B1090" s="62" t="s">
        <v>2676</v>
      </c>
      <c r="C1090" s="62" t="s">
        <v>2678</v>
      </c>
      <c r="D1090" s="105"/>
      <c r="E1090" s="62" t="s">
        <v>1895</v>
      </c>
      <c r="F1090" s="60"/>
      <c r="G1090" s="92"/>
      <c r="H1090" s="60"/>
      <c r="I1090" s="60"/>
      <c r="J1090" s="60"/>
      <c r="K1090" s="71" t="str">
        <f>VLOOKUP(E1090,'HEAD OF THE FAMILY'!$B$6:$J1851,9,FALSE)</f>
        <v>BLK 46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>
      <c r="A1091" s="60">
        <f t="shared" si="5"/>
        <v>1086</v>
      </c>
      <c r="B1091" s="62" t="s">
        <v>2676</v>
      </c>
      <c r="C1091" s="62" t="s">
        <v>2680</v>
      </c>
      <c r="D1091" s="105"/>
      <c r="E1091" s="62" t="s">
        <v>1895</v>
      </c>
      <c r="F1091" s="60"/>
      <c r="G1091" s="92"/>
      <c r="H1091" s="60"/>
      <c r="I1091" s="60"/>
      <c r="J1091" s="60"/>
      <c r="K1091" s="71" t="str">
        <f>VLOOKUP(E1091,'HEAD OF THE FAMILY'!$B$6:$J1851,9,FALSE)</f>
        <v>BLK 46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>
      <c r="A1092" s="60">
        <f t="shared" si="5"/>
        <v>1087</v>
      </c>
      <c r="B1092" s="62" t="s">
        <v>2508</v>
      </c>
      <c r="C1092" s="62" t="s">
        <v>2681</v>
      </c>
      <c r="D1092" s="105"/>
      <c r="E1092" s="62" t="s">
        <v>2682</v>
      </c>
      <c r="F1092" s="60"/>
      <c r="G1092" s="92"/>
      <c r="H1092" s="60"/>
      <c r="I1092" s="60"/>
      <c r="J1092" s="60"/>
      <c r="K1092" s="71" t="str">
        <f>VLOOKUP(E1092,'HEAD OF THE FAMILY'!$B$6:$J1851,9,FALSE)</f>
        <v>BLK 46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>
      <c r="A1093" s="60">
        <f t="shared" si="5"/>
        <v>1088</v>
      </c>
      <c r="B1093" s="62" t="s">
        <v>725</v>
      </c>
      <c r="C1093" s="62" t="s">
        <v>2496</v>
      </c>
      <c r="D1093" s="105"/>
      <c r="E1093" s="62" t="s">
        <v>2682</v>
      </c>
      <c r="F1093" s="60"/>
      <c r="G1093" s="92"/>
      <c r="H1093" s="60"/>
      <c r="I1093" s="60"/>
      <c r="J1093" s="60"/>
      <c r="K1093" s="71" t="str">
        <f>VLOOKUP(E1093,'HEAD OF THE FAMILY'!$B$6:$J1851,9,FALSE)</f>
        <v>BLK 46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>
      <c r="A1094" s="60">
        <f t="shared" si="5"/>
        <v>1089</v>
      </c>
      <c r="B1094" s="62" t="s">
        <v>725</v>
      </c>
      <c r="C1094" s="62" t="s">
        <v>2686</v>
      </c>
      <c r="D1094" s="105"/>
      <c r="E1094" s="62" t="s">
        <v>2682</v>
      </c>
      <c r="F1094" s="60"/>
      <c r="G1094" s="92"/>
      <c r="H1094" s="60"/>
      <c r="I1094" s="60"/>
      <c r="J1094" s="60"/>
      <c r="K1094" s="71" t="str">
        <f>VLOOKUP(E1094,'HEAD OF THE FAMILY'!$B$6:$J1851,9,FALSE)</f>
        <v>BLK 46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>
      <c r="A1095" s="60">
        <f t="shared" si="5"/>
        <v>1090</v>
      </c>
      <c r="B1095" s="62" t="s">
        <v>725</v>
      </c>
      <c r="C1095" s="62" t="s">
        <v>2687</v>
      </c>
      <c r="D1095" s="105"/>
      <c r="E1095" s="62" t="s">
        <v>2682</v>
      </c>
      <c r="F1095" s="60"/>
      <c r="G1095" s="92"/>
      <c r="H1095" s="60"/>
      <c r="I1095" s="60"/>
      <c r="J1095" s="60"/>
      <c r="K1095" s="71" t="str">
        <f>VLOOKUP(E1095,'HEAD OF THE FAMILY'!$B$6:$J1851,9,FALSE)</f>
        <v>BLK 46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>
      <c r="A1096" s="60">
        <f t="shared" si="5"/>
        <v>1091</v>
      </c>
      <c r="B1096" s="62" t="s">
        <v>2655</v>
      </c>
      <c r="C1096" s="62" t="s">
        <v>2689</v>
      </c>
      <c r="D1096" s="105"/>
      <c r="E1096" s="62" t="s">
        <v>2387</v>
      </c>
      <c r="F1096" s="60"/>
      <c r="G1096" s="92"/>
      <c r="H1096" s="60"/>
      <c r="I1096" s="60"/>
      <c r="J1096" s="60"/>
      <c r="K1096" s="71" t="str">
        <f>VLOOKUP(E1096,'HEAD OF THE FAMILY'!$B$6:$J1851,9,FALSE)</f>
        <v>BLK 46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>
      <c r="A1097" s="60">
        <f t="shared" si="5"/>
        <v>1092</v>
      </c>
      <c r="B1097" s="62" t="s">
        <v>2650</v>
      </c>
      <c r="C1097" s="62" t="s">
        <v>2690</v>
      </c>
      <c r="D1097" s="105"/>
      <c r="E1097" s="62" t="s">
        <v>2387</v>
      </c>
      <c r="F1097" s="60"/>
      <c r="G1097" s="92"/>
      <c r="H1097" s="60"/>
      <c r="I1097" s="60"/>
      <c r="J1097" s="60"/>
      <c r="K1097" s="71" t="str">
        <f>VLOOKUP(E1097,'HEAD OF THE FAMILY'!$B$6:$J1851,9,FALSE)</f>
        <v>BLK 46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>
      <c r="A1098" s="60">
        <f t="shared" si="5"/>
        <v>1093</v>
      </c>
      <c r="B1098" s="62" t="s">
        <v>2495</v>
      </c>
      <c r="C1098" s="62" t="s">
        <v>2691</v>
      </c>
      <c r="D1098" s="105"/>
      <c r="E1098" s="62" t="s">
        <v>1899</v>
      </c>
      <c r="F1098" s="60"/>
      <c r="G1098" s="92"/>
      <c r="H1098" s="60"/>
      <c r="I1098" s="60"/>
      <c r="J1098" s="60"/>
      <c r="K1098" s="71" t="str">
        <f>VLOOKUP(E1098,'HEAD OF THE FAMILY'!$B$6:$J1851,9,FALSE)</f>
        <v>BLK 46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>
      <c r="A1099" s="60">
        <f t="shared" si="5"/>
        <v>1094</v>
      </c>
      <c r="B1099" s="62" t="s">
        <v>1063</v>
      </c>
      <c r="C1099" s="62" t="s">
        <v>2693</v>
      </c>
      <c r="D1099" s="105"/>
      <c r="E1099" s="62" t="s">
        <v>359</v>
      </c>
      <c r="F1099" s="60"/>
      <c r="G1099" s="92"/>
      <c r="H1099" s="60"/>
      <c r="I1099" s="60"/>
      <c r="J1099" s="60"/>
      <c r="K1099" s="71" t="str">
        <f>VLOOKUP(E1099,'HEAD OF THE FAMILY'!$B$6:$J1851,9,FALSE)</f>
        <v>BLK 46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>
      <c r="A1100" s="60">
        <f t="shared" si="5"/>
        <v>1095</v>
      </c>
      <c r="B1100" s="62" t="s">
        <v>2694</v>
      </c>
      <c r="C1100" s="62" t="s">
        <v>2696</v>
      </c>
      <c r="D1100" s="105"/>
      <c r="E1100" s="62" t="s">
        <v>359</v>
      </c>
      <c r="F1100" s="60"/>
      <c r="G1100" s="92"/>
      <c r="H1100" s="60"/>
      <c r="I1100" s="60"/>
      <c r="J1100" s="60"/>
      <c r="K1100" s="71" t="str">
        <f>VLOOKUP(E1100,'HEAD OF THE FAMILY'!$B$6:$J1851,9,FALSE)</f>
        <v>BLK 46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>
      <c r="A1101" s="60">
        <f t="shared" si="5"/>
        <v>1096</v>
      </c>
      <c r="B1101" s="62" t="s">
        <v>2694</v>
      </c>
      <c r="C1101" s="62" t="s">
        <v>2697</v>
      </c>
      <c r="D1101" s="105"/>
      <c r="E1101" s="62" t="s">
        <v>359</v>
      </c>
      <c r="F1101" s="60"/>
      <c r="G1101" s="92"/>
      <c r="H1101" s="60"/>
      <c r="I1101" s="60"/>
      <c r="J1101" s="60"/>
      <c r="K1101" s="71" t="str">
        <f>VLOOKUP(E1101,'HEAD OF THE FAMILY'!$B$6:$J1851,9,FALSE)</f>
        <v>BLK 46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>
      <c r="A1102" s="60">
        <f t="shared" si="5"/>
        <v>1097</v>
      </c>
      <c r="B1102" s="62" t="s">
        <v>2699</v>
      </c>
      <c r="C1102" s="62" t="s">
        <v>2700</v>
      </c>
      <c r="D1102" s="62" t="s">
        <v>2701</v>
      </c>
      <c r="E1102" s="62" t="s">
        <v>918</v>
      </c>
      <c r="F1102" s="60"/>
      <c r="G1102" s="92"/>
      <c r="H1102" s="60"/>
      <c r="I1102" s="60"/>
      <c r="J1102" s="60"/>
      <c r="K1102" s="71" t="str">
        <f>VLOOKUP(E1102,'HEAD OF THE FAMILY'!$B$6:$J1851,9,FALSE)</f>
        <v>BLK 46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>
      <c r="A1103" s="60">
        <f t="shared" si="5"/>
        <v>1098</v>
      </c>
      <c r="B1103" s="62" t="s">
        <v>1734</v>
      </c>
      <c r="C1103" s="62" t="s">
        <v>2702</v>
      </c>
      <c r="D1103" s="105"/>
      <c r="E1103" s="62" t="s">
        <v>165</v>
      </c>
      <c r="F1103" s="60"/>
      <c r="G1103" s="92"/>
      <c r="H1103" s="60"/>
      <c r="I1103" s="60"/>
      <c r="J1103" s="60"/>
      <c r="K1103" s="71" t="str">
        <f>VLOOKUP(E1103,'HEAD OF THE FAMILY'!$B$6:$J1851,9,FALSE)</f>
        <v>BLK 46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>
      <c r="A1104" s="60">
        <f t="shared" si="5"/>
        <v>1099</v>
      </c>
      <c r="B1104" s="62" t="s">
        <v>1734</v>
      </c>
      <c r="C1104" s="62" t="s">
        <v>2704</v>
      </c>
      <c r="D1104" s="105"/>
      <c r="E1104" s="62" t="s">
        <v>165</v>
      </c>
      <c r="F1104" s="60"/>
      <c r="G1104" s="92"/>
      <c r="H1104" s="60"/>
      <c r="I1104" s="60"/>
      <c r="J1104" s="60"/>
      <c r="K1104" s="71" t="str">
        <f>VLOOKUP(E1104,'HEAD OF THE FAMILY'!$B$6:$J1851,9,FALSE)</f>
        <v>BLK 46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>
      <c r="A1105" s="60">
        <f t="shared" si="5"/>
        <v>1100</v>
      </c>
      <c r="B1105" s="62" t="s">
        <v>1734</v>
      </c>
      <c r="C1105" s="62" t="s">
        <v>2342</v>
      </c>
      <c r="D1105" s="105"/>
      <c r="E1105" s="62" t="s">
        <v>165</v>
      </c>
      <c r="F1105" s="60"/>
      <c r="G1105" s="92"/>
      <c r="H1105" s="60"/>
      <c r="I1105" s="60"/>
      <c r="J1105" s="60"/>
      <c r="K1105" s="71" t="str">
        <f>VLOOKUP(E1105,'HEAD OF THE FAMILY'!$B$6:$J1851,9,FALSE)</f>
        <v>BLK 46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>
      <c r="A1106" s="60">
        <f t="shared" si="5"/>
        <v>1101</v>
      </c>
      <c r="B1106" s="62" t="s">
        <v>1734</v>
      </c>
      <c r="C1106" s="62" t="s">
        <v>2706</v>
      </c>
      <c r="D1106" s="105"/>
      <c r="E1106" s="62" t="s">
        <v>2273</v>
      </c>
      <c r="F1106" s="60"/>
      <c r="G1106" s="92"/>
      <c r="H1106" s="60"/>
      <c r="I1106" s="60"/>
      <c r="J1106" s="60"/>
      <c r="K1106" s="71" t="str">
        <f>VLOOKUP(E1106,'HEAD OF THE FAMILY'!$B$6:$J1851,9,FALSE)</f>
        <v>BLK 46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  <row r="1107">
      <c r="A1107" s="60">
        <f t="shared" si="5"/>
        <v>1102</v>
      </c>
      <c r="B1107" s="62" t="s">
        <v>2707</v>
      </c>
      <c r="C1107" s="62" t="s">
        <v>2708</v>
      </c>
      <c r="D1107" s="105"/>
      <c r="E1107" s="62" t="s">
        <v>338</v>
      </c>
      <c r="F1107" s="60"/>
      <c r="G1107" s="92"/>
      <c r="H1107" s="60"/>
      <c r="I1107" s="60"/>
      <c r="J1107" s="60"/>
      <c r="K1107" s="71" t="str">
        <f>VLOOKUP(E1107,'HEAD OF THE FAMILY'!$B$6:$J1851,9,FALSE)</f>
        <v>BLK 46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</row>
    <row r="1108">
      <c r="A1108" s="60">
        <f t="shared" si="5"/>
        <v>1103</v>
      </c>
      <c r="B1108" s="62" t="s">
        <v>2709</v>
      </c>
      <c r="C1108" s="62" t="s">
        <v>2710</v>
      </c>
      <c r="D1108" s="62" t="s">
        <v>1472</v>
      </c>
      <c r="E1108" s="62" t="s">
        <v>2711</v>
      </c>
      <c r="F1108" s="60"/>
      <c r="G1108" s="92"/>
      <c r="H1108" s="60"/>
      <c r="I1108" s="60"/>
      <c r="J1108" s="60"/>
      <c r="K1108" s="71" t="str">
        <f>VLOOKUP(E1108,'HEAD OF THE FAMILY'!$B$6:$J1851,9,FALSE)</f>
        <v>BLK 46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</row>
    <row r="1109">
      <c r="A1109" s="60">
        <f t="shared" si="5"/>
        <v>1104</v>
      </c>
      <c r="B1109" s="62" t="s">
        <v>2709</v>
      </c>
      <c r="C1109" s="62" t="s">
        <v>2713</v>
      </c>
      <c r="D1109" s="62" t="s">
        <v>1472</v>
      </c>
      <c r="E1109" s="62" t="s">
        <v>2711</v>
      </c>
      <c r="F1109" s="60"/>
      <c r="G1109" s="92"/>
      <c r="H1109" s="60"/>
      <c r="I1109" s="60"/>
      <c r="J1109" s="60"/>
      <c r="K1109" s="71" t="str">
        <f>VLOOKUP(E1109,'HEAD OF THE FAMILY'!$B$6:$J1851,9,FALSE)</f>
        <v>BLK 46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</row>
    <row r="1110">
      <c r="A1110" s="60">
        <f t="shared" si="5"/>
        <v>1105</v>
      </c>
      <c r="B1110" s="62" t="s">
        <v>1519</v>
      </c>
      <c r="C1110" s="62" t="s">
        <v>2715</v>
      </c>
      <c r="D1110" s="105"/>
      <c r="E1110" s="62" t="s">
        <v>2716</v>
      </c>
      <c r="F1110" s="60"/>
      <c r="G1110" s="92"/>
      <c r="H1110" s="60"/>
      <c r="I1110" s="60"/>
      <c r="J1110" s="60"/>
      <c r="K1110" s="71" t="str">
        <f>VLOOKUP(E1110,'HEAD OF THE FAMILY'!$B$6:$J1851,9,FALSE)</f>
        <v>BLK 45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</row>
    <row r="1111">
      <c r="A1111" s="60">
        <f t="shared" si="5"/>
        <v>1106</v>
      </c>
      <c r="B1111" s="62" t="s">
        <v>1519</v>
      </c>
      <c r="C1111" s="62" t="s">
        <v>1099</v>
      </c>
      <c r="D1111" s="105"/>
      <c r="E1111" s="62" t="s">
        <v>2716</v>
      </c>
      <c r="F1111" s="60"/>
      <c r="G1111" s="92"/>
      <c r="H1111" s="60"/>
      <c r="I1111" s="60"/>
      <c r="J1111" s="60"/>
      <c r="K1111" s="71" t="str">
        <f>VLOOKUP(E1111,'HEAD OF THE FAMILY'!$B$6:$J1851,9,FALSE)</f>
        <v>BLK 45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</row>
    <row r="1112">
      <c r="A1112" s="60">
        <f t="shared" si="5"/>
        <v>1107</v>
      </c>
      <c r="B1112" s="62" t="s">
        <v>2718</v>
      </c>
      <c r="C1112" s="62" t="s">
        <v>2719</v>
      </c>
      <c r="D1112" s="105"/>
      <c r="E1112" s="62" t="s">
        <v>941</v>
      </c>
      <c r="F1112" s="60"/>
      <c r="G1112" s="92"/>
      <c r="H1112" s="60"/>
      <c r="I1112" s="60"/>
      <c r="J1112" s="60"/>
      <c r="K1112" s="71" t="str">
        <f>VLOOKUP(E1112,'HEAD OF THE FAMILY'!$B$6:$J1851,9,FALSE)</f>
        <v>BLK 45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</row>
    <row r="1113">
      <c r="A1113" s="60">
        <f t="shared" si="5"/>
        <v>1108</v>
      </c>
      <c r="B1113" s="62" t="s">
        <v>2721</v>
      </c>
      <c r="C1113" s="62" t="s">
        <v>2722</v>
      </c>
      <c r="D1113" s="62" t="s">
        <v>494</v>
      </c>
      <c r="E1113" s="62" t="s">
        <v>2275</v>
      </c>
      <c r="F1113" s="71" t="s">
        <v>202</v>
      </c>
      <c r="G1113" s="92"/>
      <c r="H1113" s="60"/>
      <c r="I1113" s="75" t="s">
        <v>43</v>
      </c>
      <c r="J1113" s="60"/>
      <c r="K1113" s="71" t="str">
        <f>VLOOKUP(E1113,'HEAD OF THE FAMILY'!$B$6:$J1851,9,FALSE)</f>
        <v>BLK 45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</row>
    <row r="1114">
      <c r="A1114" s="60">
        <f t="shared" si="5"/>
        <v>1109</v>
      </c>
      <c r="B1114" s="62" t="s">
        <v>2721</v>
      </c>
      <c r="C1114" s="62" t="s">
        <v>2723</v>
      </c>
      <c r="D1114" s="62" t="s">
        <v>494</v>
      </c>
      <c r="E1114" s="62" t="s">
        <v>2275</v>
      </c>
      <c r="F1114" s="60"/>
      <c r="G1114" s="92"/>
      <c r="H1114" s="60"/>
      <c r="I1114" s="75" t="s">
        <v>43</v>
      </c>
      <c r="J1114" s="60"/>
      <c r="K1114" s="71" t="str">
        <f>VLOOKUP(E1114,'HEAD OF THE FAMILY'!$B$6:$J1851,9,FALSE)</f>
        <v>BLK 45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</row>
    <row r="1115">
      <c r="A1115" s="60">
        <f t="shared" si="5"/>
        <v>1110</v>
      </c>
      <c r="B1115" s="62" t="s">
        <v>2721</v>
      </c>
      <c r="C1115" s="62" t="s">
        <v>2725</v>
      </c>
      <c r="D1115" s="62" t="s">
        <v>494</v>
      </c>
      <c r="E1115" s="62" t="s">
        <v>2275</v>
      </c>
      <c r="F1115" s="60"/>
      <c r="G1115" s="92"/>
      <c r="H1115" s="60"/>
      <c r="I1115" s="75" t="s">
        <v>43</v>
      </c>
      <c r="J1115" s="60"/>
      <c r="K1115" s="71" t="str">
        <f>VLOOKUP(E1115,'HEAD OF THE FAMILY'!$B$6:$J1851,9,FALSE)</f>
        <v>BLK 45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</row>
    <row r="1116">
      <c r="A1116" s="60">
        <f t="shared" si="5"/>
        <v>1111</v>
      </c>
      <c r="B1116" s="62" t="s">
        <v>2721</v>
      </c>
      <c r="C1116" s="62" t="s">
        <v>2728</v>
      </c>
      <c r="D1116" s="62" t="s">
        <v>494</v>
      </c>
      <c r="E1116" s="62" t="s">
        <v>2275</v>
      </c>
      <c r="F1116" s="60"/>
      <c r="G1116" s="92"/>
      <c r="H1116" s="60"/>
      <c r="I1116" s="75" t="s">
        <v>43</v>
      </c>
      <c r="J1116" s="60"/>
      <c r="K1116" s="71" t="str">
        <f>VLOOKUP(E1116,'HEAD OF THE FAMILY'!$B$6:$J1851,9,FALSE)</f>
        <v>BLK 45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</row>
    <row r="1117">
      <c r="A1117" s="60">
        <f t="shared" si="5"/>
        <v>1112</v>
      </c>
      <c r="B1117" s="62" t="s">
        <v>2730</v>
      </c>
      <c r="C1117" s="62" t="s">
        <v>2731</v>
      </c>
      <c r="D1117" s="105"/>
      <c r="E1117" s="62" t="s">
        <v>2732</v>
      </c>
      <c r="F1117" s="60"/>
      <c r="G1117" s="92"/>
      <c r="H1117" s="60"/>
      <c r="I1117" s="60"/>
      <c r="J1117" s="60"/>
      <c r="K1117" s="71" t="str">
        <f>VLOOKUP(E1117,'HEAD OF THE FAMILY'!$B$6:$J1851,9,FALSE)</f>
        <v>#N/A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</row>
    <row r="1118">
      <c r="A1118" s="60">
        <f t="shared" si="5"/>
        <v>1113</v>
      </c>
      <c r="B1118" s="62" t="s">
        <v>2733</v>
      </c>
      <c r="C1118" s="62" t="s">
        <v>153</v>
      </c>
      <c r="D1118" s="62" t="s">
        <v>2557</v>
      </c>
      <c r="E1118" s="62" t="s">
        <v>2732</v>
      </c>
      <c r="F1118" s="60"/>
      <c r="G1118" s="92"/>
      <c r="H1118" s="60"/>
      <c r="I1118" s="60"/>
      <c r="J1118" s="60"/>
      <c r="K1118" s="71" t="str">
        <f>VLOOKUP(E1118,'HEAD OF THE FAMILY'!$B$6:$J1851,9,FALSE)</f>
        <v>#N/A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</row>
    <row r="1119">
      <c r="A1119" s="60">
        <f t="shared" si="5"/>
        <v>1114</v>
      </c>
      <c r="B1119" s="62" t="s">
        <v>2735</v>
      </c>
      <c r="C1119" s="62" t="s">
        <v>2736</v>
      </c>
      <c r="D1119" s="62" t="s">
        <v>2737</v>
      </c>
      <c r="E1119" s="62" t="s">
        <v>1607</v>
      </c>
      <c r="F1119" s="60"/>
      <c r="G1119" s="92"/>
      <c r="H1119" s="60"/>
      <c r="I1119" s="60"/>
      <c r="J1119" s="60"/>
      <c r="K1119" s="71" t="str">
        <f>VLOOKUP(E1119,'HEAD OF THE FAMILY'!$B$6:$J1851,9,FALSE)</f>
        <v>BLK 45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</row>
    <row r="1120">
      <c r="A1120" s="60">
        <f t="shared" si="5"/>
        <v>1115</v>
      </c>
      <c r="B1120" s="62" t="s">
        <v>2735</v>
      </c>
      <c r="C1120" s="62" t="s">
        <v>2738</v>
      </c>
      <c r="D1120" s="62" t="s">
        <v>2737</v>
      </c>
      <c r="E1120" s="62" t="s">
        <v>1607</v>
      </c>
      <c r="F1120" s="60"/>
      <c r="G1120" s="92"/>
      <c r="H1120" s="60"/>
      <c r="I1120" s="60"/>
      <c r="J1120" s="60"/>
      <c r="K1120" s="71" t="str">
        <f>VLOOKUP(E1120,'HEAD OF THE FAMILY'!$B$6:$J1851,9,FALSE)</f>
        <v>BLK 45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</row>
    <row r="1121">
      <c r="A1121" s="60">
        <f t="shared" si="5"/>
        <v>1116</v>
      </c>
      <c r="B1121" s="62" t="s">
        <v>2735</v>
      </c>
      <c r="C1121" s="62" t="s">
        <v>2740</v>
      </c>
      <c r="D1121" s="62" t="s">
        <v>2737</v>
      </c>
      <c r="E1121" s="62" t="s">
        <v>1607</v>
      </c>
      <c r="F1121" s="60"/>
      <c r="G1121" s="92"/>
      <c r="H1121" s="60"/>
      <c r="I1121" s="60"/>
      <c r="J1121" s="60"/>
      <c r="K1121" s="71" t="str">
        <f>VLOOKUP(E1121,'HEAD OF THE FAMILY'!$B$6:$J1851,9,FALSE)</f>
        <v>BLK 45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</row>
    <row r="1122">
      <c r="A1122" s="60">
        <f t="shared" si="5"/>
        <v>1117</v>
      </c>
      <c r="B1122" s="62" t="s">
        <v>2735</v>
      </c>
      <c r="C1122" s="62" t="s">
        <v>2741</v>
      </c>
      <c r="D1122" s="62" t="s">
        <v>2737</v>
      </c>
      <c r="E1122" s="62" t="s">
        <v>1607</v>
      </c>
      <c r="F1122" s="60"/>
      <c r="G1122" s="92"/>
      <c r="H1122" s="60"/>
      <c r="I1122" s="60"/>
      <c r="J1122" s="60"/>
      <c r="K1122" s="71" t="str">
        <f>VLOOKUP(E1122,'HEAD OF THE FAMILY'!$B$6:$J1851,9,FALSE)</f>
        <v>BLK 45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</row>
    <row r="1123">
      <c r="A1123" s="60">
        <f t="shared" si="5"/>
        <v>1118</v>
      </c>
      <c r="B1123" s="62" t="s">
        <v>2735</v>
      </c>
      <c r="C1123" s="62" t="s">
        <v>2743</v>
      </c>
      <c r="D1123" s="62" t="s">
        <v>2737</v>
      </c>
      <c r="E1123" s="62" t="s">
        <v>1607</v>
      </c>
      <c r="F1123" s="60"/>
      <c r="G1123" s="92"/>
      <c r="H1123" s="60"/>
      <c r="I1123" s="60"/>
      <c r="J1123" s="60"/>
      <c r="K1123" s="71" t="str">
        <f>VLOOKUP(E1123,'HEAD OF THE FAMILY'!$B$6:$J1851,9,FALSE)</f>
        <v>BLK 45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</row>
    <row r="1124">
      <c r="A1124" s="60">
        <f t="shared" si="5"/>
        <v>1119</v>
      </c>
      <c r="B1124" s="62" t="s">
        <v>2744</v>
      </c>
      <c r="C1124" s="62" t="s">
        <v>283</v>
      </c>
      <c r="D1124" s="62" t="s">
        <v>1620</v>
      </c>
      <c r="E1124" s="62" t="s">
        <v>2745</v>
      </c>
      <c r="F1124" s="60"/>
      <c r="G1124" s="92"/>
      <c r="H1124" s="60"/>
      <c r="I1124" s="60"/>
      <c r="J1124" s="60"/>
      <c r="K1124" s="71" t="str">
        <f>VLOOKUP(E1124,'HEAD OF THE FAMILY'!$B$6:$J1851,9,FALSE)</f>
        <v>BLK 45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</row>
    <row r="1125">
      <c r="A1125" s="60">
        <f t="shared" si="5"/>
        <v>1120</v>
      </c>
      <c r="B1125" s="62" t="s">
        <v>2744</v>
      </c>
      <c r="C1125" s="62" t="s">
        <v>2747</v>
      </c>
      <c r="D1125" s="62" t="s">
        <v>1620</v>
      </c>
      <c r="E1125" s="62" t="s">
        <v>2745</v>
      </c>
      <c r="F1125" s="60"/>
      <c r="G1125" s="92"/>
      <c r="H1125" s="60"/>
      <c r="I1125" s="60"/>
      <c r="J1125" s="60"/>
      <c r="K1125" s="71" t="str">
        <f>VLOOKUP(E1125,'HEAD OF THE FAMILY'!$B$6:$J1851,9,FALSE)</f>
        <v>BLK 45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</row>
    <row r="1126">
      <c r="A1126" s="60">
        <f t="shared" si="5"/>
        <v>1121</v>
      </c>
      <c r="B1126" s="62" t="s">
        <v>2744</v>
      </c>
      <c r="C1126" s="62" t="s">
        <v>2748</v>
      </c>
      <c r="D1126" s="62" t="s">
        <v>1620</v>
      </c>
      <c r="E1126" s="62" t="s">
        <v>2745</v>
      </c>
      <c r="F1126" s="60"/>
      <c r="G1126" s="92"/>
      <c r="H1126" s="60"/>
      <c r="I1126" s="60"/>
      <c r="J1126" s="60"/>
      <c r="K1126" s="71" t="str">
        <f>VLOOKUP(E1126,'HEAD OF THE FAMILY'!$B$6:$J1851,9,FALSE)</f>
        <v>BLK 45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</row>
    <row r="1127">
      <c r="A1127" s="60">
        <f t="shared" si="5"/>
        <v>1122</v>
      </c>
      <c r="B1127" s="62" t="s">
        <v>2744</v>
      </c>
      <c r="C1127" s="62" t="s">
        <v>2749</v>
      </c>
      <c r="D1127" s="62" t="s">
        <v>1620</v>
      </c>
      <c r="E1127" s="62" t="s">
        <v>2745</v>
      </c>
      <c r="F1127" s="60"/>
      <c r="G1127" s="92"/>
      <c r="H1127" s="60"/>
      <c r="I1127" s="60"/>
      <c r="J1127" s="60"/>
      <c r="K1127" s="71" t="str">
        <f>VLOOKUP(E1127,'HEAD OF THE FAMILY'!$B$6:$J1851,9,FALSE)</f>
        <v>BLK 45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</row>
    <row r="1128">
      <c r="A1128" s="60">
        <f t="shared" si="5"/>
        <v>1123</v>
      </c>
      <c r="B1128" s="62" t="s">
        <v>557</v>
      </c>
      <c r="C1128" s="62" t="s">
        <v>2750</v>
      </c>
      <c r="D1128" s="62" t="s">
        <v>2737</v>
      </c>
      <c r="E1128" s="62" t="s">
        <v>2751</v>
      </c>
      <c r="F1128" s="60"/>
      <c r="G1128" s="92"/>
      <c r="H1128" s="60"/>
      <c r="I1128" s="60"/>
      <c r="J1128" s="60"/>
      <c r="K1128" s="71" t="str">
        <f>VLOOKUP(E1128,'HEAD OF THE FAMILY'!$B$6:$J1851,9,FALSE)</f>
        <v>BLK 45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</row>
    <row r="1129">
      <c r="A1129" s="60">
        <f t="shared" si="5"/>
        <v>1124</v>
      </c>
      <c r="B1129" s="62" t="s">
        <v>2752</v>
      </c>
      <c r="C1129" s="62" t="s">
        <v>2753</v>
      </c>
      <c r="D1129" s="62" t="s">
        <v>2737</v>
      </c>
      <c r="E1129" s="62" t="s">
        <v>450</v>
      </c>
      <c r="F1129" s="60"/>
      <c r="G1129" s="92"/>
      <c r="H1129" s="60"/>
      <c r="I1129" s="60"/>
      <c r="J1129" s="60"/>
      <c r="K1129" s="71" t="str">
        <f>VLOOKUP(E1129,'HEAD OF THE FAMILY'!$B$6:$J1851,9,FALSE)</f>
        <v>BLK 45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</row>
    <row r="1130">
      <c r="A1130" s="60">
        <f t="shared" si="5"/>
        <v>1125</v>
      </c>
      <c r="B1130" s="62" t="s">
        <v>2752</v>
      </c>
      <c r="C1130" s="62" t="s">
        <v>2755</v>
      </c>
      <c r="D1130" s="62" t="s">
        <v>2737</v>
      </c>
      <c r="E1130" s="62" t="s">
        <v>450</v>
      </c>
      <c r="F1130" s="60"/>
      <c r="G1130" s="92"/>
      <c r="H1130" s="60"/>
      <c r="I1130" s="60"/>
      <c r="J1130" s="60"/>
      <c r="K1130" s="71" t="str">
        <f>VLOOKUP(E1130,'HEAD OF THE FAMILY'!$B$6:$J1851,9,FALSE)</f>
        <v>BLK 45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</row>
    <row r="1131">
      <c r="A1131" s="60">
        <f t="shared" si="5"/>
        <v>1126</v>
      </c>
      <c r="B1131" s="62" t="s">
        <v>2757</v>
      </c>
      <c r="C1131" s="62" t="s">
        <v>2758</v>
      </c>
      <c r="D1131" s="62" t="s">
        <v>1065</v>
      </c>
      <c r="E1131" s="62" t="s">
        <v>2225</v>
      </c>
      <c r="F1131" s="60"/>
      <c r="G1131" s="92"/>
      <c r="H1131" s="60"/>
      <c r="I1131" s="60"/>
      <c r="J1131" s="60"/>
      <c r="K1131" s="71" t="str">
        <f>VLOOKUP(E1131,'HEAD OF THE FAMILY'!$B$6:$J1851,9,FALSE)</f>
        <v>BLK 45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</row>
    <row r="1132">
      <c r="A1132" s="60">
        <f t="shared" si="5"/>
        <v>1127</v>
      </c>
      <c r="B1132" s="62" t="s">
        <v>2757</v>
      </c>
      <c r="C1132" s="62" t="s">
        <v>2761</v>
      </c>
      <c r="D1132" s="62" t="s">
        <v>1065</v>
      </c>
      <c r="E1132" s="62" t="s">
        <v>2225</v>
      </c>
      <c r="F1132" s="60"/>
      <c r="G1132" s="92"/>
      <c r="H1132" s="60"/>
      <c r="I1132" s="60"/>
      <c r="J1132" s="60"/>
      <c r="K1132" s="71" t="str">
        <f>VLOOKUP(E1132,'HEAD OF THE FAMILY'!$B$6:$J1851,9,FALSE)</f>
        <v>BLK 45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</row>
    <row r="1133">
      <c r="A1133" s="60">
        <f t="shared" si="5"/>
        <v>1128</v>
      </c>
      <c r="B1133" s="62" t="s">
        <v>2764</v>
      </c>
      <c r="C1133" s="62" t="s">
        <v>2765</v>
      </c>
      <c r="D1133" s="105"/>
      <c r="E1133" s="62" t="s">
        <v>1473</v>
      </c>
      <c r="F1133" s="60"/>
      <c r="G1133" s="92"/>
      <c r="H1133" s="60"/>
      <c r="I1133" s="60"/>
      <c r="J1133" s="60"/>
      <c r="K1133" s="71" t="str">
        <f>VLOOKUP(E1133,'HEAD OF THE FAMILY'!$B$6:$J1851,9,FALSE)</f>
        <v>BLK 45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</row>
    <row r="1134">
      <c r="A1134" s="60">
        <f t="shared" si="5"/>
        <v>1129</v>
      </c>
      <c r="B1134" s="62" t="s">
        <v>2766</v>
      </c>
      <c r="C1134" s="62" t="s">
        <v>2767</v>
      </c>
      <c r="D1134" s="62" t="s">
        <v>2737</v>
      </c>
      <c r="E1134" s="62" t="s">
        <v>1031</v>
      </c>
      <c r="F1134" s="60"/>
      <c r="G1134" s="92"/>
      <c r="H1134" s="60"/>
      <c r="I1134" s="60"/>
      <c r="J1134" s="60"/>
      <c r="K1134" s="71" t="str">
        <f>VLOOKUP(E1134,'HEAD OF THE FAMILY'!$B$6:$J1851,9,FALSE)</f>
        <v>BLK 45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</row>
    <row r="1135">
      <c r="A1135" s="60">
        <f t="shared" si="5"/>
        <v>1130</v>
      </c>
      <c r="B1135" s="62" t="s">
        <v>1519</v>
      </c>
      <c r="C1135" s="62" t="s">
        <v>2769</v>
      </c>
      <c r="D1135" s="105"/>
      <c r="E1135" s="62" t="s">
        <v>1410</v>
      </c>
      <c r="F1135" s="60"/>
      <c r="G1135" s="92"/>
      <c r="H1135" s="60"/>
      <c r="I1135" s="60"/>
      <c r="J1135" s="60"/>
      <c r="K1135" s="71" t="str">
        <f>VLOOKUP(E1135,'HEAD OF THE FAMILY'!$B$6:$J1851,9,FALSE)</f>
        <v>BLK 45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</row>
    <row r="1136">
      <c r="A1136" s="60">
        <f t="shared" si="5"/>
        <v>1131</v>
      </c>
      <c r="B1136" s="62" t="s">
        <v>1519</v>
      </c>
      <c r="C1136" s="62" t="s">
        <v>2770</v>
      </c>
      <c r="D1136" s="105"/>
      <c r="E1136" s="62" t="s">
        <v>1410</v>
      </c>
      <c r="F1136" s="60"/>
      <c r="G1136" s="92"/>
      <c r="H1136" s="60"/>
      <c r="I1136" s="60"/>
      <c r="J1136" s="60"/>
      <c r="K1136" s="71" t="str">
        <f>VLOOKUP(E1136,'HEAD OF THE FAMILY'!$B$6:$J1851,9,FALSE)</f>
        <v>BLK 45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</row>
    <row r="1137">
      <c r="A1137" s="60">
        <f t="shared" si="5"/>
        <v>1132</v>
      </c>
      <c r="B1137" s="62" t="s">
        <v>2446</v>
      </c>
      <c r="C1137" s="62" t="s">
        <v>1595</v>
      </c>
      <c r="D1137" s="105"/>
      <c r="E1137" s="62" t="s">
        <v>2169</v>
      </c>
      <c r="F1137" s="60"/>
      <c r="G1137" s="92"/>
      <c r="H1137" s="60"/>
      <c r="I1137" s="60"/>
      <c r="J1137" s="60"/>
      <c r="K1137" s="71" t="str">
        <f>VLOOKUP(E1137,'HEAD OF THE FAMILY'!$B$6:$J1851,9,FALSE)</f>
        <v>BLK 45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</row>
    <row r="1138">
      <c r="A1138" s="60">
        <f t="shared" si="5"/>
        <v>1133</v>
      </c>
      <c r="B1138" s="62" t="s">
        <v>2446</v>
      </c>
      <c r="C1138" s="62" t="s">
        <v>2772</v>
      </c>
      <c r="D1138" s="105"/>
      <c r="E1138" s="62" t="s">
        <v>2169</v>
      </c>
      <c r="F1138" s="60"/>
      <c r="G1138" s="92"/>
      <c r="H1138" s="60"/>
      <c r="I1138" s="60"/>
      <c r="J1138" s="60"/>
      <c r="K1138" s="71" t="str">
        <f>VLOOKUP(E1138,'HEAD OF THE FAMILY'!$B$6:$J1851,9,FALSE)</f>
        <v>BLK 45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</row>
    <row r="1139">
      <c r="A1139" s="60">
        <f t="shared" si="5"/>
        <v>1134</v>
      </c>
      <c r="B1139" s="62" t="s">
        <v>2446</v>
      </c>
      <c r="C1139" s="62" t="s">
        <v>2774</v>
      </c>
      <c r="D1139" s="105"/>
      <c r="E1139" s="62" t="s">
        <v>2169</v>
      </c>
      <c r="F1139" s="60"/>
      <c r="G1139" s="92"/>
      <c r="H1139" s="60"/>
      <c r="I1139" s="60"/>
      <c r="J1139" s="60"/>
      <c r="K1139" s="71" t="str">
        <f>VLOOKUP(E1139,'HEAD OF THE FAMILY'!$B$6:$J1851,9,FALSE)</f>
        <v>BLK 45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</row>
    <row r="1140">
      <c r="A1140" s="60">
        <f t="shared" si="5"/>
        <v>1135</v>
      </c>
      <c r="B1140" s="62" t="s">
        <v>2446</v>
      </c>
      <c r="C1140" s="62" t="s">
        <v>2776</v>
      </c>
      <c r="D1140" s="105"/>
      <c r="E1140" s="62" t="s">
        <v>2169</v>
      </c>
      <c r="F1140" s="60"/>
      <c r="G1140" s="92"/>
      <c r="H1140" s="60"/>
      <c r="I1140" s="60"/>
      <c r="J1140" s="60"/>
      <c r="K1140" s="71" t="str">
        <f>VLOOKUP(E1140,'HEAD OF THE FAMILY'!$B$6:$J1851,9,FALSE)</f>
        <v>BLK 45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</row>
    <row r="1141">
      <c r="A1141" s="60">
        <f t="shared" si="5"/>
        <v>1136</v>
      </c>
      <c r="B1141" s="62" t="s">
        <v>2446</v>
      </c>
      <c r="C1141" s="62" t="s">
        <v>2777</v>
      </c>
      <c r="D1141" s="62" t="s">
        <v>1497</v>
      </c>
      <c r="E1141" s="62" t="s">
        <v>2074</v>
      </c>
      <c r="F1141" s="60"/>
      <c r="G1141" s="92"/>
      <c r="H1141" s="60"/>
      <c r="I1141" s="60"/>
      <c r="J1141" s="60"/>
      <c r="K1141" s="71" t="str">
        <f>VLOOKUP(E1141,'HEAD OF THE FAMILY'!$B$6:$J1851,9,FALSE)</f>
        <v>BLK 45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</row>
    <row r="1142">
      <c r="A1142" s="60">
        <f t="shared" si="5"/>
        <v>1137</v>
      </c>
      <c r="B1142" s="62" t="s">
        <v>2446</v>
      </c>
      <c r="C1142" s="62" t="s">
        <v>1783</v>
      </c>
      <c r="D1142" s="62" t="s">
        <v>1497</v>
      </c>
      <c r="E1142" s="62" t="s">
        <v>2074</v>
      </c>
      <c r="F1142" s="60"/>
      <c r="G1142" s="92"/>
      <c r="H1142" s="60"/>
      <c r="I1142" s="60"/>
      <c r="J1142" s="60"/>
      <c r="K1142" s="71" t="str">
        <f>VLOOKUP(E1142,'HEAD OF THE FAMILY'!$B$6:$J1851,9,FALSE)</f>
        <v>BLK 45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</row>
    <row r="1143">
      <c r="A1143" s="60">
        <f t="shared" si="5"/>
        <v>1138</v>
      </c>
      <c r="B1143" s="62" t="s">
        <v>2446</v>
      </c>
      <c r="C1143" s="62" t="s">
        <v>2779</v>
      </c>
      <c r="D1143" s="62" t="s">
        <v>1497</v>
      </c>
      <c r="E1143" s="62" t="s">
        <v>2074</v>
      </c>
      <c r="F1143" s="60"/>
      <c r="G1143" s="92"/>
      <c r="H1143" s="60"/>
      <c r="I1143" s="60"/>
      <c r="J1143" s="60"/>
      <c r="K1143" s="71" t="str">
        <f>VLOOKUP(E1143,'HEAD OF THE FAMILY'!$B$6:$J1851,9,FALSE)</f>
        <v>BLK 45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</row>
    <row r="1144">
      <c r="A1144" s="60">
        <f t="shared" si="5"/>
        <v>1139</v>
      </c>
      <c r="B1144" s="62" t="s">
        <v>2781</v>
      </c>
      <c r="C1144" s="62" t="s">
        <v>841</v>
      </c>
      <c r="D1144" s="62" t="s">
        <v>2737</v>
      </c>
      <c r="E1144" s="62" t="s">
        <v>618</v>
      </c>
      <c r="F1144" s="60"/>
      <c r="G1144" s="92"/>
      <c r="H1144" s="60"/>
      <c r="I1144" s="60"/>
      <c r="J1144" s="60"/>
      <c r="K1144" s="71" t="str">
        <f>VLOOKUP(E1144,'HEAD OF THE FAMILY'!$B$6:$J1851,9,FALSE)</f>
        <v>BLK 45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</row>
    <row r="1145">
      <c r="A1145" s="60">
        <f t="shared" si="5"/>
        <v>1140</v>
      </c>
      <c r="B1145" s="62" t="s">
        <v>2782</v>
      </c>
      <c r="C1145" s="62" t="s">
        <v>2783</v>
      </c>
      <c r="D1145" s="62" t="s">
        <v>2737</v>
      </c>
      <c r="E1145" s="62" t="s">
        <v>618</v>
      </c>
      <c r="F1145" s="60"/>
      <c r="G1145" s="92"/>
      <c r="H1145" s="60"/>
      <c r="I1145" s="60"/>
      <c r="J1145" s="60"/>
      <c r="K1145" s="71" t="str">
        <f>VLOOKUP(E1145,'HEAD OF THE FAMILY'!$B$6:$J1851,9,FALSE)</f>
        <v>BLK 45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</row>
    <row r="1146">
      <c r="A1146" s="60">
        <f t="shared" si="5"/>
        <v>1141</v>
      </c>
      <c r="B1146" s="62" t="s">
        <v>2785</v>
      </c>
      <c r="C1146" s="62" t="s">
        <v>2786</v>
      </c>
      <c r="D1146" s="105"/>
      <c r="E1146" s="62" t="s">
        <v>2684</v>
      </c>
      <c r="F1146" s="60"/>
      <c r="G1146" s="92"/>
      <c r="H1146" s="60"/>
      <c r="I1146" s="60"/>
      <c r="J1146" s="60"/>
      <c r="K1146" s="71" t="str">
        <f>VLOOKUP(E1146,'HEAD OF THE FAMILY'!$B$6:$J1851,9,FALSE)</f>
        <v>BLK 45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</row>
    <row r="1147">
      <c r="A1147" s="60">
        <f t="shared" si="5"/>
        <v>1142</v>
      </c>
      <c r="B1147" s="62" t="s">
        <v>2757</v>
      </c>
      <c r="C1147" s="62" t="s">
        <v>2787</v>
      </c>
      <c r="D1147" s="105"/>
      <c r="E1147" s="62" t="s">
        <v>2684</v>
      </c>
      <c r="F1147" s="60"/>
      <c r="G1147" s="92"/>
      <c r="H1147" s="60"/>
      <c r="I1147" s="60"/>
      <c r="J1147" s="60"/>
      <c r="K1147" s="71" t="str">
        <f>VLOOKUP(E1147,'HEAD OF THE FAMILY'!$B$6:$J1851,9,FALSE)</f>
        <v>BLK 45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</row>
    <row r="1148">
      <c r="A1148" s="60">
        <f t="shared" si="5"/>
        <v>1143</v>
      </c>
      <c r="B1148" s="62" t="s">
        <v>2788</v>
      </c>
      <c r="C1148" s="62" t="s">
        <v>2789</v>
      </c>
      <c r="D1148" s="62" t="s">
        <v>1463</v>
      </c>
      <c r="E1148" s="62" t="s">
        <v>2562</v>
      </c>
      <c r="F1148" s="60"/>
      <c r="G1148" s="92"/>
      <c r="H1148" s="60"/>
      <c r="I1148" s="60"/>
      <c r="J1148" s="60"/>
      <c r="K1148" s="71" t="str">
        <f>VLOOKUP(E1148,'HEAD OF THE FAMILY'!$B$6:$J1851,9,FALSE)</f>
        <v>BLK 45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</row>
    <row r="1149">
      <c r="A1149" s="60">
        <f t="shared" si="5"/>
        <v>1144</v>
      </c>
      <c r="B1149" s="62" t="s">
        <v>2790</v>
      </c>
      <c r="C1149" s="62" t="s">
        <v>2791</v>
      </c>
      <c r="D1149" s="105"/>
      <c r="E1149" s="62" t="s">
        <v>2562</v>
      </c>
      <c r="F1149" s="60"/>
      <c r="G1149" s="92"/>
      <c r="H1149" s="60"/>
      <c r="I1149" s="60"/>
      <c r="J1149" s="60"/>
      <c r="K1149" s="71" t="str">
        <f>VLOOKUP(E1149,'HEAD OF THE FAMILY'!$B$6:$J1851,9,FALSE)</f>
        <v>BLK 45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</row>
    <row r="1150">
      <c r="A1150" s="60">
        <f t="shared" si="5"/>
        <v>1145</v>
      </c>
      <c r="B1150" s="62" t="s">
        <v>2790</v>
      </c>
      <c r="C1150" s="62" t="s">
        <v>2792</v>
      </c>
      <c r="D1150" s="105"/>
      <c r="E1150" s="62" t="s">
        <v>2562</v>
      </c>
      <c r="F1150" s="60"/>
      <c r="G1150" s="92"/>
      <c r="H1150" s="60"/>
      <c r="I1150" s="60"/>
      <c r="J1150" s="60"/>
      <c r="K1150" s="71" t="str">
        <f>VLOOKUP(E1150,'HEAD OF THE FAMILY'!$B$6:$J1851,9,FALSE)</f>
        <v>BLK 45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</row>
    <row r="1151">
      <c r="A1151" s="60">
        <f t="shared" si="5"/>
        <v>1146</v>
      </c>
      <c r="B1151" s="62" t="s">
        <v>2788</v>
      </c>
      <c r="C1151" s="62" t="s">
        <v>2794</v>
      </c>
      <c r="D1151" s="62" t="s">
        <v>1463</v>
      </c>
      <c r="E1151" s="62" t="s">
        <v>2562</v>
      </c>
      <c r="F1151" s="60"/>
      <c r="G1151" s="92"/>
      <c r="H1151" s="60"/>
      <c r="I1151" s="60"/>
      <c r="J1151" s="60"/>
      <c r="K1151" s="71" t="str">
        <f>VLOOKUP(E1151,'HEAD OF THE FAMILY'!$B$6:$J1851,9,FALSE)</f>
        <v>BLK 45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</row>
    <row r="1152">
      <c r="A1152" s="60">
        <f t="shared" si="5"/>
        <v>1147</v>
      </c>
      <c r="B1152" s="62" t="s">
        <v>2788</v>
      </c>
      <c r="C1152" s="62" t="s">
        <v>2795</v>
      </c>
      <c r="D1152" s="62" t="s">
        <v>1463</v>
      </c>
      <c r="E1152" s="62" t="s">
        <v>2562</v>
      </c>
      <c r="F1152" s="60"/>
      <c r="G1152" s="92"/>
      <c r="H1152" s="60"/>
      <c r="I1152" s="60"/>
      <c r="J1152" s="60"/>
      <c r="K1152" s="71" t="str">
        <f>VLOOKUP(E1152,'HEAD OF THE FAMILY'!$B$6:$J1851,9,FALSE)</f>
        <v>BLK 45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</row>
    <row r="1153">
      <c r="A1153" s="60">
        <f t="shared" si="5"/>
        <v>1148</v>
      </c>
      <c r="B1153" s="62" t="s">
        <v>2797</v>
      </c>
      <c r="C1153" s="62" t="s">
        <v>2798</v>
      </c>
      <c r="D1153" s="62" t="s">
        <v>2557</v>
      </c>
      <c r="E1153" s="62" t="s">
        <v>2240</v>
      </c>
      <c r="F1153" s="60"/>
      <c r="G1153" s="92"/>
      <c r="H1153" s="60"/>
      <c r="I1153" s="60"/>
      <c r="J1153" s="60"/>
      <c r="K1153" s="71" t="str">
        <f>VLOOKUP(E1153,'HEAD OF THE FAMILY'!$B$6:$J1851,9,FALSE)</f>
        <v>BLK 45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</row>
    <row r="1154">
      <c r="A1154" s="60">
        <f t="shared" si="5"/>
        <v>1149</v>
      </c>
      <c r="B1154" s="62" t="s">
        <v>2797</v>
      </c>
      <c r="C1154" s="62" t="s">
        <v>2800</v>
      </c>
      <c r="D1154" s="62" t="s">
        <v>2557</v>
      </c>
      <c r="E1154" s="62" t="s">
        <v>2240</v>
      </c>
      <c r="F1154" s="60"/>
      <c r="G1154" s="92"/>
      <c r="H1154" s="60"/>
      <c r="I1154" s="60"/>
      <c r="J1154" s="60"/>
      <c r="K1154" s="71" t="str">
        <f>VLOOKUP(E1154,'HEAD OF THE FAMILY'!$B$6:$J1851,9,FALSE)</f>
        <v>BLK 45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</row>
    <row r="1155">
      <c r="A1155" s="60">
        <f t="shared" si="5"/>
        <v>1150</v>
      </c>
      <c r="B1155" s="62" t="s">
        <v>2797</v>
      </c>
      <c r="C1155" s="62" t="s">
        <v>2802</v>
      </c>
      <c r="D1155" s="62" t="s">
        <v>2803</v>
      </c>
      <c r="E1155" s="62" t="s">
        <v>158</v>
      </c>
      <c r="F1155" s="60"/>
      <c r="G1155" s="92"/>
      <c r="H1155" s="60"/>
      <c r="I1155" s="60"/>
      <c r="J1155" s="60"/>
      <c r="K1155" s="71" t="str">
        <f>VLOOKUP(E1155,'HEAD OF THE FAMILY'!$B$6:$J1851,9,FALSE)</f>
        <v>BLK 45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</row>
    <row r="1156">
      <c r="A1156" s="60">
        <f t="shared" si="5"/>
        <v>1151</v>
      </c>
      <c r="B1156" s="62" t="s">
        <v>2797</v>
      </c>
      <c r="C1156" s="62" t="s">
        <v>2805</v>
      </c>
      <c r="D1156" s="62" t="s">
        <v>2803</v>
      </c>
      <c r="E1156" s="62" t="s">
        <v>158</v>
      </c>
      <c r="F1156" s="60"/>
      <c r="G1156" s="92"/>
      <c r="H1156" s="60"/>
      <c r="I1156" s="60"/>
      <c r="J1156" s="60"/>
      <c r="K1156" s="71" t="str">
        <f>VLOOKUP(E1156,'HEAD OF THE FAMILY'!$B$6:$J1851,9,FALSE)</f>
        <v>BLK 45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</row>
    <row r="1157">
      <c r="A1157" s="60">
        <f t="shared" si="5"/>
        <v>1152</v>
      </c>
      <c r="B1157" s="62" t="s">
        <v>2797</v>
      </c>
      <c r="C1157" s="62" t="s">
        <v>2806</v>
      </c>
      <c r="D1157" s="62" t="s">
        <v>2803</v>
      </c>
      <c r="E1157" s="62" t="s">
        <v>158</v>
      </c>
      <c r="F1157" s="60"/>
      <c r="G1157" s="92"/>
      <c r="H1157" s="60"/>
      <c r="I1157" s="60"/>
      <c r="J1157" s="60"/>
      <c r="K1157" s="71" t="str">
        <f>VLOOKUP(E1157,'HEAD OF THE FAMILY'!$B$6:$J1851,9,FALSE)</f>
        <v>BLK 45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</row>
    <row r="1158">
      <c r="A1158" s="60">
        <f t="shared" si="5"/>
        <v>1153</v>
      </c>
      <c r="B1158" s="62" t="s">
        <v>103</v>
      </c>
      <c r="C1158" s="62" t="s">
        <v>2808</v>
      </c>
      <c r="D1158" s="105"/>
      <c r="E1158" s="62" t="s">
        <v>1839</v>
      </c>
      <c r="F1158" s="60"/>
      <c r="G1158" s="92"/>
      <c r="H1158" s="60"/>
      <c r="I1158" s="60"/>
      <c r="J1158" s="60"/>
      <c r="K1158" s="71" t="str">
        <f>VLOOKUP(E1158,'HEAD OF THE FAMILY'!$B$6:$J1851,9,FALSE)</f>
        <v>BLK 45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</row>
    <row r="1159">
      <c r="A1159" s="60">
        <f t="shared" si="5"/>
        <v>1154</v>
      </c>
      <c r="B1159" s="62" t="s">
        <v>2809</v>
      </c>
      <c r="C1159" s="62" t="s">
        <v>2810</v>
      </c>
      <c r="D1159" s="62" t="s">
        <v>2557</v>
      </c>
      <c r="E1159" s="62" t="s">
        <v>471</v>
      </c>
      <c r="F1159" s="60"/>
      <c r="G1159" s="92"/>
      <c r="H1159" s="60"/>
      <c r="I1159" s="60"/>
      <c r="J1159" s="60"/>
      <c r="K1159" s="71" t="str">
        <f>VLOOKUP(E1159,'HEAD OF THE FAMILY'!$B$6:$J1851,9,FALSE)</f>
        <v>BLK 45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</row>
    <row r="1160">
      <c r="A1160" s="60">
        <f t="shared" si="5"/>
        <v>1155</v>
      </c>
      <c r="B1160" s="62" t="s">
        <v>2809</v>
      </c>
      <c r="C1160" s="62" t="s">
        <v>2812</v>
      </c>
      <c r="D1160" s="62" t="s">
        <v>2557</v>
      </c>
      <c r="E1160" s="62" t="s">
        <v>471</v>
      </c>
      <c r="F1160" s="60"/>
      <c r="G1160" s="92"/>
      <c r="H1160" s="60"/>
      <c r="I1160" s="60"/>
      <c r="J1160" s="60"/>
      <c r="K1160" s="71" t="str">
        <f>VLOOKUP(E1160,'HEAD OF THE FAMILY'!$B$6:$J1851,9,FALSE)</f>
        <v>BLK 45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</row>
    <row r="1161">
      <c r="A1161" s="60">
        <f t="shared" si="5"/>
        <v>1156</v>
      </c>
      <c r="B1161" s="62" t="s">
        <v>2814</v>
      </c>
      <c r="C1161" s="62" t="s">
        <v>2816</v>
      </c>
      <c r="D1161" s="105"/>
      <c r="E1161" s="62" t="s">
        <v>407</v>
      </c>
      <c r="F1161" s="60"/>
      <c r="G1161" s="92"/>
      <c r="H1161" s="60"/>
      <c r="I1161" s="60"/>
      <c r="J1161" s="60"/>
      <c r="K1161" s="71" t="str">
        <f>VLOOKUP(E1161,'HEAD OF THE FAMILY'!$B$6:$J1851,9,FALSE)</f>
        <v>BLK 45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</row>
    <row r="1162">
      <c r="A1162" s="60">
        <f t="shared" si="5"/>
        <v>1157</v>
      </c>
      <c r="B1162" s="62" t="s">
        <v>103</v>
      </c>
      <c r="C1162" s="62" t="s">
        <v>2547</v>
      </c>
      <c r="D1162" s="105"/>
      <c r="E1162" s="62" t="s">
        <v>407</v>
      </c>
      <c r="F1162" s="60"/>
      <c r="G1162" s="92"/>
      <c r="H1162" s="60"/>
      <c r="I1162" s="60"/>
      <c r="J1162" s="60"/>
      <c r="K1162" s="71" t="str">
        <f>VLOOKUP(E1162,'HEAD OF THE FAMILY'!$B$6:$J1851,9,FALSE)</f>
        <v>BLK 45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</row>
    <row r="1163">
      <c r="A1163" s="60">
        <f t="shared" si="5"/>
        <v>1158</v>
      </c>
      <c r="B1163" s="62" t="s">
        <v>103</v>
      </c>
      <c r="C1163" s="62" t="s">
        <v>2818</v>
      </c>
      <c r="D1163" s="105"/>
      <c r="E1163" s="62" t="s">
        <v>407</v>
      </c>
      <c r="F1163" s="60"/>
      <c r="G1163" s="92"/>
      <c r="H1163" s="60"/>
      <c r="I1163" s="60"/>
      <c r="J1163" s="60"/>
      <c r="K1163" s="71" t="str">
        <f>VLOOKUP(E1163,'HEAD OF THE FAMILY'!$B$6:$J1851,9,FALSE)</f>
        <v>BLK 45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</row>
    <row r="1164">
      <c r="A1164" s="60">
        <f t="shared" si="5"/>
        <v>1159</v>
      </c>
      <c r="B1164" s="62" t="s">
        <v>103</v>
      </c>
      <c r="C1164" s="62" t="s">
        <v>2819</v>
      </c>
      <c r="D1164" s="105"/>
      <c r="E1164" s="62" t="s">
        <v>407</v>
      </c>
      <c r="F1164" s="60"/>
      <c r="G1164" s="92"/>
      <c r="H1164" s="60"/>
      <c r="I1164" s="60"/>
      <c r="J1164" s="60"/>
      <c r="K1164" s="71" t="str">
        <f>VLOOKUP(E1164,'HEAD OF THE FAMILY'!$B$6:$J1851,9,FALSE)</f>
        <v>BLK 45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</row>
    <row r="1165">
      <c r="A1165" s="60">
        <f t="shared" si="5"/>
        <v>1160</v>
      </c>
      <c r="B1165" s="62" t="s">
        <v>103</v>
      </c>
      <c r="C1165" s="62" t="s">
        <v>2821</v>
      </c>
      <c r="D1165" s="105"/>
      <c r="E1165" s="62" t="s">
        <v>407</v>
      </c>
      <c r="F1165" s="60"/>
      <c r="G1165" s="92"/>
      <c r="H1165" s="60"/>
      <c r="I1165" s="60"/>
      <c r="J1165" s="60"/>
      <c r="K1165" s="71" t="str">
        <f>VLOOKUP(E1165,'HEAD OF THE FAMILY'!$B$6:$J1851,9,FALSE)</f>
        <v>BLK 45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</row>
    <row r="1166">
      <c r="A1166" s="60">
        <f t="shared" si="5"/>
        <v>1161</v>
      </c>
      <c r="B1166" s="62" t="s">
        <v>103</v>
      </c>
      <c r="C1166" s="62" t="s">
        <v>2124</v>
      </c>
      <c r="D1166" s="105"/>
      <c r="E1166" s="62" t="s">
        <v>407</v>
      </c>
      <c r="F1166" s="60"/>
      <c r="G1166" s="92"/>
      <c r="H1166" s="60"/>
      <c r="I1166" s="60"/>
      <c r="J1166" s="60"/>
      <c r="K1166" s="71" t="str">
        <f>VLOOKUP(E1166,'HEAD OF THE FAMILY'!$B$6:$J1851,9,FALSE)</f>
        <v>BLK 45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</row>
    <row r="1167">
      <c r="A1167" s="60">
        <f t="shared" si="5"/>
        <v>1162</v>
      </c>
      <c r="B1167" s="62" t="s">
        <v>103</v>
      </c>
      <c r="C1167" s="62" t="s">
        <v>2823</v>
      </c>
      <c r="D1167" s="105"/>
      <c r="E1167" s="62" t="s">
        <v>407</v>
      </c>
      <c r="F1167" s="60"/>
      <c r="G1167" s="92"/>
      <c r="H1167" s="60"/>
      <c r="I1167" s="60"/>
      <c r="J1167" s="60"/>
      <c r="K1167" s="71" t="str">
        <f>VLOOKUP(E1167,'HEAD OF THE FAMILY'!$B$6:$J1851,9,FALSE)</f>
        <v>BLK 45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</row>
    <row r="1168">
      <c r="A1168" s="60">
        <f t="shared" si="5"/>
        <v>1163</v>
      </c>
      <c r="B1168" s="62" t="s">
        <v>2825</v>
      </c>
      <c r="C1168" s="62" t="s">
        <v>2826</v>
      </c>
      <c r="D1168" s="105"/>
      <c r="E1168" s="62" t="s">
        <v>1777</v>
      </c>
      <c r="F1168" s="60"/>
      <c r="G1168" s="92"/>
      <c r="H1168" s="60"/>
      <c r="I1168" s="60"/>
      <c r="J1168" s="60"/>
      <c r="K1168" s="71" t="str">
        <f>VLOOKUP(E1168,'HEAD OF THE FAMILY'!$B$6:$J1851,9,FALSE)</f>
        <v>BLK 45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</row>
    <row r="1169">
      <c r="A1169" s="60">
        <f t="shared" si="5"/>
        <v>1164</v>
      </c>
      <c r="B1169" s="62" t="s">
        <v>2825</v>
      </c>
      <c r="C1169" s="62" t="s">
        <v>2827</v>
      </c>
      <c r="D1169" s="105"/>
      <c r="E1169" s="62" t="s">
        <v>1777</v>
      </c>
      <c r="F1169" s="60"/>
      <c r="G1169" s="92"/>
      <c r="H1169" s="60"/>
      <c r="I1169" s="60"/>
      <c r="J1169" s="60"/>
      <c r="K1169" s="71" t="str">
        <f>VLOOKUP(E1169,'HEAD OF THE FAMILY'!$B$6:$J1851,9,FALSE)</f>
        <v>BLK 45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</row>
    <row r="1170">
      <c r="A1170" s="60">
        <f t="shared" si="5"/>
        <v>1165</v>
      </c>
      <c r="B1170" s="62" t="s">
        <v>2829</v>
      </c>
      <c r="C1170" s="62" t="s">
        <v>2830</v>
      </c>
      <c r="D1170" s="105"/>
      <c r="E1170" s="62" t="s">
        <v>1453</v>
      </c>
      <c r="F1170" s="60"/>
      <c r="G1170" s="92"/>
      <c r="H1170" s="60"/>
      <c r="I1170" s="60"/>
      <c r="J1170" s="60"/>
      <c r="K1170" s="71" t="str">
        <f>VLOOKUP(E1170,'HEAD OF THE FAMILY'!$B$6:$J1851,9,FALSE)</f>
        <v>BLK 45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</row>
    <row r="1171">
      <c r="A1171" s="60">
        <f t="shared" si="5"/>
        <v>1166</v>
      </c>
      <c r="B1171" s="62" t="s">
        <v>2831</v>
      </c>
      <c r="C1171" s="62" t="s">
        <v>1588</v>
      </c>
      <c r="D1171" s="105"/>
      <c r="E1171" s="62" t="s">
        <v>1962</v>
      </c>
      <c r="F1171" s="60"/>
      <c r="G1171" s="92"/>
      <c r="H1171" s="60"/>
      <c r="I1171" s="60"/>
      <c r="J1171" s="60"/>
      <c r="K1171" s="71" t="str">
        <f>VLOOKUP(E1171,'HEAD OF THE FAMILY'!$B$6:$J1851,9,FALSE)</f>
        <v>BLK 45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</row>
    <row r="1172">
      <c r="A1172" s="60">
        <f t="shared" si="5"/>
        <v>1167</v>
      </c>
      <c r="B1172" s="62" t="s">
        <v>2831</v>
      </c>
      <c r="C1172" s="62" t="s">
        <v>2833</v>
      </c>
      <c r="D1172" s="105"/>
      <c r="E1172" s="62" t="s">
        <v>1962</v>
      </c>
      <c r="F1172" s="60"/>
      <c r="G1172" s="92"/>
      <c r="H1172" s="60"/>
      <c r="I1172" s="60"/>
      <c r="J1172" s="60"/>
      <c r="K1172" s="71" t="str">
        <f>VLOOKUP(E1172,'HEAD OF THE FAMILY'!$B$6:$J1851,9,FALSE)</f>
        <v>BLK 45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</row>
    <row r="1173">
      <c r="A1173" s="60">
        <f t="shared" si="5"/>
        <v>1168</v>
      </c>
      <c r="B1173" s="62" t="s">
        <v>2834</v>
      </c>
      <c r="C1173" s="62" t="s">
        <v>2835</v>
      </c>
      <c r="D1173" s="105"/>
      <c r="E1173" s="62" t="s">
        <v>1962</v>
      </c>
      <c r="F1173" s="60"/>
      <c r="G1173" s="92"/>
      <c r="H1173" s="60"/>
      <c r="I1173" s="60"/>
      <c r="J1173" s="60"/>
      <c r="K1173" s="71" t="str">
        <f>VLOOKUP(E1173,'HEAD OF THE FAMILY'!$B$6:$J1851,9,FALSE)</f>
        <v>BLK 45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</row>
    <row r="1174">
      <c r="A1174" s="60">
        <f t="shared" si="5"/>
        <v>1169</v>
      </c>
      <c r="B1174" s="62" t="s">
        <v>2834</v>
      </c>
      <c r="C1174" s="62" t="s">
        <v>2837</v>
      </c>
      <c r="D1174" s="105"/>
      <c r="E1174" s="62" t="s">
        <v>1962</v>
      </c>
      <c r="F1174" s="60"/>
      <c r="G1174" s="92"/>
      <c r="H1174" s="60"/>
      <c r="I1174" s="60"/>
      <c r="J1174" s="60"/>
      <c r="K1174" s="71" t="str">
        <f>VLOOKUP(E1174,'HEAD OF THE FAMILY'!$B$6:$J1851,9,FALSE)</f>
        <v>BLK 45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</row>
    <row r="1175">
      <c r="A1175" s="60">
        <f t="shared" si="5"/>
        <v>1170</v>
      </c>
      <c r="B1175" s="62" t="s">
        <v>2829</v>
      </c>
      <c r="C1175" s="62" t="s">
        <v>2838</v>
      </c>
      <c r="D1175" s="105"/>
      <c r="E1175" s="62" t="s">
        <v>1962</v>
      </c>
      <c r="F1175" s="60"/>
      <c r="G1175" s="92"/>
      <c r="H1175" s="60"/>
      <c r="I1175" s="60"/>
      <c r="J1175" s="60"/>
      <c r="K1175" s="71" t="str">
        <f>VLOOKUP(E1175,'HEAD OF THE FAMILY'!$B$6:$J1851,9,FALSE)</f>
        <v>BLK 45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</row>
    <row r="1176">
      <c r="A1176" s="60">
        <f t="shared" si="5"/>
        <v>1171</v>
      </c>
      <c r="B1176" s="62" t="s">
        <v>1328</v>
      </c>
      <c r="C1176" s="62" t="s">
        <v>2840</v>
      </c>
      <c r="D1176" s="105"/>
      <c r="E1176" s="62" t="s">
        <v>798</v>
      </c>
      <c r="F1176" s="60"/>
      <c r="G1176" s="92"/>
      <c r="H1176" s="60"/>
      <c r="I1176" s="60"/>
      <c r="J1176" s="60"/>
      <c r="K1176" s="71" t="str">
        <f>VLOOKUP(E1176,'HEAD OF THE FAMILY'!$B$6:$J1851,9,FALSE)</f>
        <v>BLK 45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</row>
    <row r="1177">
      <c r="A1177" s="60">
        <f t="shared" si="5"/>
        <v>1172</v>
      </c>
      <c r="B1177" s="62" t="s">
        <v>1328</v>
      </c>
      <c r="C1177" s="62" t="s">
        <v>2841</v>
      </c>
      <c r="D1177" s="105"/>
      <c r="E1177" s="62" t="s">
        <v>798</v>
      </c>
      <c r="F1177" s="60"/>
      <c r="G1177" s="92"/>
      <c r="H1177" s="60"/>
      <c r="I1177" s="60"/>
      <c r="J1177" s="60"/>
      <c r="K1177" s="71" t="str">
        <f>VLOOKUP(E1177,'HEAD OF THE FAMILY'!$B$6:$J1851,9,FALSE)</f>
        <v>BLK 45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</row>
    <row r="1178">
      <c r="A1178" s="60">
        <f t="shared" si="5"/>
        <v>1173</v>
      </c>
      <c r="B1178" s="62" t="s">
        <v>1328</v>
      </c>
      <c r="C1178" s="62" t="s">
        <v>2842</v>
      </c>
      <c r="D1178" s="105"/>
      <c r="E1178" s="62" t="s">
        <v>798</v>
      </c>
      <c r="F1178" s="60"/>
      <c r="G1178" s="92"/>
      <c r="H1178" s="60"/>
      <c r="I1178" s="60"/>
      <c r="J1178" s="60"/>
      <c r="K1178" s="71" t="str">
        <f>VLOOKUP(E1178,'HEAD OF THE FAMILY'!$B$6:$J1851,9,FALSE)</f>
        <v>BLK 45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</row>
    <row r="1179">
      <c r="A1179" s="60">
        <f t="shared" si="5"/>
        <v>1174</v>
      </c>
      <c r="B1179" s="62" t="s">
        <v>585</v>
      </c>
      <c r="C1179" s="62" t="s">
        <v>2844</v>
      </c>
      <c r="D1179" s="62" t="s">
        <v>1428</v>
      </c>
      <c r="E1179" s="62" t="s">
        <v>2712</v>
      </c>
      <c r="F1179" s="60"/>
      <c r="G1179" s="92"/>
      <c r="H1179" s="60"/>
      <c r="I1179" s="60"/>
      <c r="J1179" s="60"/>
      <c r="K1179" s="71" t="str">
        <f>VLOOKUP(E1179,'HEAD OF THE FAMILY'!$B$6:$J1851,9,FALSE)</f>
        <v>BLK 45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</row>
    <row r="1180">
      <c r="A1180" s="60">
        <f t="shared" si="5"/>
        <v>1175</v>
      </c>
      <c r="B1180" s="62" t="s">
        <v>2845</v>
      </c>
      <c r="C1180" s="62" t="s">
        <v>2846</v>
      </c>
      <c r="D1180" s="105"/>
      <c r="E1180" s="62" t="s">
        <v>2847</v>
      </c>
      <c r="F1180" s="60"/>
      <c r="G1180" s="92"/>
      <c r="H1180" s="60"/>
      <c r="I1180" s="60"/>
      <c r="J1180" s="60"/>
      <c r="K1180" s="71" t="str">
        <f>VLOOKUP(E1180,'HEAD OF THE FAMILY'!$B$6:$J1851,9,FALSE)</f>
        <v>BLK 45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</row>
    <row r="1181">
      <c r="A1181" s="60">
        <f t="shared" si="5"/>
        <v>1176</v>
      </c>
      <c r="B1181" s="62" t="s">
        <v>2848</v>
      </c>
      <c r="C1181" s="62" t="s">
        <v>2849</v>
      </c>
      <c r="D1181" s="105"/>
      <c r="E1181" s="62" t="s">
        <v>2847</v>
      </c>
      <c r="F1181" s="60"/>
      <c r="G1181" s="92"/>
      <c r="H1181" s="60"/>
      <c r="I1181" s="60"/>
      <c r="J1181" s="60"/>
      <c r="K1181" s="71" t="str">
        <f>VLOOKUP(E1181,'HEAD OF THE FAMILY'!$B$6:$J1851,9,FALSE)</f>
        <v>BLK 45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</row>
    <row r="1182">
      <c r="A1182" s="60">
        <f t="shared" si="5"/>
        <v>1177</v>
      </c>
      <c r="B1182" s="62" t="s">
        <v>2851</v>
      </c>
      <c r="C1182" s="62" t="s">
        <v>2852</v>
      </c>
      <c r="D1182" s="105"/>
      <c r="E1182" s="62" t="s">
        <v>2853</v>
      </c>
      <c r="F1182" s="60"/>
      <c r="G1182" s="92"/>
      <c r="H1182" s="60"/>
      <c r="I1182" s="60"/>
      <c r="J1182" s="60"/>
      <c r="K1182" s="71" t="str">
        <f>VLOOKUP(E1182,'HEAD OF THE FAMILY'!$B$6:$J1851,9,FALSE)</f>
        <v>BLK 45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</row>
    <row r="1183">
      <c r="A1183" s="60">
        <f t="shared" si="5"/>
        <v>1178</v>
      </c>
      <c r="B1183" s="62" t="s">
        <v>2854</v>
      </c>
      <c r="C1183" s="62" t="s">
        <v>2855</v>
      </c>
      <c r="D1183" s="105"/>
      <c r="E1183" s="62" t="s">
        <v>2853</v>
      </c>
      <c r="F1183" s="60"/>
      <c r="G1183" s="92"/>
      <c r="H1183" s="60"/>
      <c r="I1183" s="60"/>
      <c r="J1183" s="60"/>
      <c r="K1183" s="71" t="str">
        <f>VLOOKUP(E1183,'HEAD OF THE FAMILY'!$B$6:$J1851,9,FALSE)</f>
        <v>BLK 45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</row>
    <row r="1184">
      <c r="A1184" s="60">
        <f t="shared" si="5"/>
        <v>1179</v>
      </c>
      <c r="B1184" s="62" t="s">
        <v>2845</v>
      </c>
      <c r="C1184" s="62" t="s">
        <v>2857</v>
      </c>
      <c r="D1184" s="105"/>
      <c r="E1184" s="62" t="s">
        <v>1263</v>
      </c>
      <c r="F1184" s="60"/>
      <c r="G1184" s="92"/>
      <c r="H1184" s="60"/>
      <c r="I1184" s="60"/>
      <c r="J1184" s="60"/>
      <c r="K1184" s="71" t="str">
        <f>VLOOKUP(E1184,'HEAD OF THE FAMILY'!$B$6:$J1851,9,FALSE)</f>
        <v>BLK 45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</row>
    <row r="1185">
      <c r="A1185" s="60">
        <f t="shared" si="5"/>
        <v>1180</v>
      </c>
      <c r="B1185" s="62" t="s">
        <v>2845</v>
      </c>
      <c r="C1185" s="62" t="s">
        <v>2859</v>
      </c>
      <c r="D1185" s="105"/>
      <c r="E1185" s="62" t="s">
        <v>1263</v>
      </c>
      <c r="F1185" s="60"/>
      <c r="G1185" s="92"/>
      <c r="H1185" s="60"/>
      <c r="I1185" s="60"/>
      <c r="J1185" s="60"/>
      <c r="K1185" s="71" t="str">
        <f>VLOOKUP(E1185,'HEAD OF THE FAMILY'!$B$6:$J1851,9,FALSE)</f>
        <v>BLK 45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</row>
    <row r="1186">
      <c r="A1186" s="60">
        <f t="shared" si="5"/>
        <v>1181</v>
      </c>
      <c r="B1186" s="62" t="s">
        <v>2528</v>
      </c>
      <c r="C1186" s="62" t="s">
        <v>2860</v>
      </c>
      <c r="D1186" s="105"/>
      <c r="E1186" s="62" t="s">
        <v>1219</v>
      </c>
      <c r="F1186" s="60"/>
      <c r="G1186" s="92"/>
      <c r="H1186" s="60"/>
      <c r="I1186" s="60"/>
      <c r="J1186" s="60"/>
      <c r="K1186" s="71" t="str">
        <f>VLOOKUP(E1186,'HEAD OF THE FAMILY'!$B$6:$J1851,9,FALSE)</f>
        <v>BLK 45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</row>
    <row r="1187">
      <c r="A1187" s="60">
        <f t="shared" si="5"/>
        <v>1182</v>
      </c>
      <c r="B1187" s="62" t="s">
        <v>2528</v>
      </c>
      <c r="C1187" s="62" t="s">
        <v>2861</v>
      </c>
      <c r="D1187" s="105"/>
      <c r="E1187" s="62" t="s">
        <v>2862</v>
      </c>
      <c r="F1187" s="60"/>
      <c r="G1187" s="92"/>
      <c r="H1187" s="60"/>
      <c r="I1187" s="60"/>
      <c r="J1187" s="60"/>
      <c r="K1187" s="71" t="str">
        <f>VLOOKUP(E1187,'HEAD OF THE FAMILY'!$B$6:$J1851,9,FALSE)</f>
        <v>BLK 45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</row>
    <row r="1188">
      <c r="A1188" s="60">
        <f t="shared" si="5"/>
        <v>1183</v>
      </c>
      <c r="B1188" s="62" t="s">
        <v>2528</v>
      </c>
      <c r="C1188" s="62" t="s">
        <v>2864</v>
      </c>
      <c r="D1188" s="105"/>
      <c r="E1188" s="62" t="s">
        <v>2862</v>
      </c>
      <c r="F1188" s="60"/>
      <c r="G1188" s="92"/>
      <c r="H1188" s="60"/>
      <c r="I1188" s="60"/>
      <c r="J1188" s="60"/>
      <c r="K1188" s="71" t="str">
        <f>VLOOKUP(E1188,'HEAD OF THE FAMILY'!$B$6:$J1851,9,FALSE)</f>
        <v>BLK 45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</row>
    <row r="1189">
      <c r="A1189" s="60">
        <f t="shared" si="5"/>
        <v>1184</v>
      </c>
      <c r="B1189" s="62" t="s">
        <v>2866</v>
      </c>
      <c r="C1189" s="62" t="s">
        <v>2867</v>
      </c>
      <c r="D1189" s="62" t="s">
        <v>53</v>
      </c>
      <c r="E1189" s="62" t="s">
        <v>1764</v>
      </c>
      <c r="F1189" s="60"/>
      <c r="G1189" s="92"/>
      <c r="H1189" s="60"/>
      <c r="I1189" s="60"/>
      <c r="J1189" s="60"/>
      <c r="K1189" s="71" t="str">
        <f>VLOOKUP(E1189,'HEAD OF THE FAMILY'!$B$6:$J1851,9,FALSE)</f>
        <v>BLK 45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</row>
    <row r="1190">
      <c r="A1190" s="60">
        <f t="shared" si="5"/>
        <v>1185</v>
      </c>
      <c r="B1190" s="62" t="s">
        <v>2869</v>
      </c>
      <c r="C1190" s="62" t="s">
        <v>2870</v>
      </c>
      <c r="D1190" s="62" t="s">
        <v>53</v>
      </c>
      <c r="E1190" s="62" t="s">
        <v>1764</v>
      </c>
      <c r="F1190" s="60"/>
      <c r="G1190" s="92"/>
      <c r="H1190" s="60"/>
      <c r="I1190" s="60"/>
      <c r="J1190" s="60"/>
      <c r="K1190" s="71" t="str">
        <f>VLOOKUP(E1190,'HEAD OF THE FAMILY'!$B$6:$J1851,9,FALSE)</f>
        <v>BLK 45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</row>
    <row r="1191">
      <c r="A1191" s="60">
        <f t="shared" si="5"/>
        <v>1186</v>
      </c>
      <c r="B1191" s="62" t="s">
        <v>2588</v>
      </c>
      <c r="C1191" s="62" t="s">
        <v>2872</v>
      </c>
      <c r="D1191" s="105"/>
      <c r="E1191" s="62" t="s">
        <v>1214</v>
      </c>
      <c r="F1191" s="60"/>
      <c r="G1191" s="92"/>
      <c r="H1191" s="60"/>
      <c r="I1191" s="60"/>
      <c r="J1191" s="60"/>
      <c r="K1191" s="71" t="str">
        <f>VLOOKUP(E1191,'HEAD OF THE FAMILY'!$B$6:$J1851,9,FALSE)</f>
        <v>BLK 45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</row>
    <row r="1192">
      <c r="A1192" s="60">
        <f t="shared" si="5"/>
        <v>1187</v>
      </c>
      <c r="B1192" s="62" t="s">
        <v>2588</v>
      </c>
      <c r="C1192" s="62" t="s">
        <v>2665</v>
      </c>
      <c r="D1192" s="105"/>
      <c r="E1192" s="62" t="s">
        <v>1214</v>
      </c>
      <c r="F1192" s="60"/>
      <c r="G1192" s="92"/>
      <c r="H1192" s="60"/>
      <c r="I1192" s="60"/>
      <c r="J1192" s="60"/>
      <c r="K1192" s="71" t="str">
        <f>VLOOKUP(E1192,'HEAD OF THE FAMILY'!$B$6:$J1851,9,FALSE)</f>
        <v>BLK 45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</row>
    <row r="1193">
      <c r="A1193" s="60">
        <f t="shared" si="5"/>
        <v>1188</v>
      </c>
      <c r="B1193" s="62" t="s">
        <v>2588</v>
      </c>
      <c r="C1193" s="62" t="s">
        <v>2874</v>
      </c>
      <c r="D1193" s="105"/>
      <c r="E1193" s="62" t="s">
        <v>2646</v>
      </c>
      <c r="F1193" s="60"/>
      <c r="G1193" s="92"/>
      <c r="H1193" s="60"/>
      <c r="I1193" s="60"/>
      <c r="J1193" s="60"/>
      <c r="K1193" s="71" t="str">
        <f>VLOOKUP(E1193,'HEAD OF THE FAMILY'!$B$6:$J1851,9,FALSE)</f>
        <v>BLK 45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</row>
    <row r="1194">
      <c r="A1194" s="60">
        <f t="shared" si="5"/>
        <v>1189</v>
      </c>
      <c r="B1194" s="62" t="s">
        <v>2588</v>
      </c>
      <c r="C1194" s="62" t="s">
        <v>2875</v>
      </c>
      <c r="D1194" s="105"/>
      <c r="E1194" s="62" t="s">
        <v>2646</v>
      </c>
      <c r="F1194" s="60"/>
      <c r="G1194" s="92"/>
      <c r="H1194" s="60"/>
      <c r="I1194" s="60"/>
      <c r="J1194" s="60"/>
      <c r="K1194" s="71" t="str">
        <f>VLOOKUP(E1194,'HEAD OF THE FAMILY'!$B$6:$J1851,9,FALSE)</f>
        <v>BLK 45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</row>
    <row r="1195">
      <c r="A1195" s="60">
        <f t="shared" si="5"/>
        <v>1190</v>
      </c>
      <c r="B1195" s="62" t="s">
        <v>2588</v>
      </c>
      <c r="C1195" s="62" t="s">
        <v>2877</v>
      </c>
      <c r="D1195" s="105"/>
      <c r="E1195" s="62" t="s">
        <v>2646</v>
      </c>
      <c r="F1195" s="60"/>
      <c r="G1195" s="92"/>
      <c r="H1195" s="60"/>
      <c r="I1195" s="60"/>
      <c r="J1195" s="60"/>
      <c r="K1195" s="71" t="str">
        <f>VLOOKUP(E1195,'HEAD OF THE FAMILY'!$B$6:$J1851,9,FALSE)</f>
        <v>BLK 45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</row>
    <row r="1196">
      <c r="A1196" s="60">
        <f t="shared" si="5"/>
        <v>1191</v>
      </c>
      <c r="B1196" s="62" t="s">
        <v>2588</v>
      </c>
      <c r="C1196" s="62" t="s">
        <v>2880</v>
      </c>
      <c r="D1196" s="105"/>
      <c r="E1196" s="62" t="s">
        <v>2646</v>
      </c>
      <c r="F1196" s="60"/>
      <c r="G1196" s="92"/>
      <c r="H1196" s="60"/>
      <c r="I1196" s="60"/>
      <c r="J1196" s="60"/>
      <c r="K1196" s="71" t="str">
        <f>VLOOKUP(E1196,'HEAD OF THE FAMILY'!$B$6:$J1851,9,FALSE)</f>
        <v>BLK 45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</row>
    <row r="1197">
      <c r="A1197" s="60">
        <f t="shared" si="5"/>
        <v>1192</v>
      </c>
      <c r="B1197" s="62" t="s">
        <v>2881</v>
      </c>
      <c r="C1197" s="62" t="s">
        <v>2882</v>
      </c>
      <c r="D1197" s="105"/>
      <c r="E1197" s="62" t="s">
        <v>2415</v>
      </c>
      <c r="F1197" s="60"/>
      <c r="G1197" s="92"/>
      <c r="H1197" s="60"/>
      <c r="I1197" s="60"/>
      <c r="J1197" s="60"/>
      <c r="K1197" s="71" t="str">
        <f>VLOOKUP(E1197,'HEAD OF THE FAMILY'!$B$6:$J1851,9,FALSE)</f>
        <v>BLK 45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</row>
    <row r="1198">
      <c r="A1198" s="60">
        <f t="shared" si="5"/>
        <v>1193</v>
      </c>
      <c r="B1198" s="62" t="s">
        <v>2881</v>
      </c>
      <c r="C1198" s="62" t="s">
        <v>299</v>
      </c>
      <c r="D1198" s="105"/>
      <c r="E1198" s="62" t="s">
        <v>2415</v>
      </c>
      <c r="F1198" s="60"/>
      <c r="G1198" s="92"/>
      <c r="H1198" s="60"/>
      <c r="I1198" s="60"/>
      <c r="J1198" s="60"/>
      <c r="K1198" s="71" t="str">
        <f>VLOOKUP(E1198,'HEAD OF THE FAMILY'!$B$6:$J1851,9,FALSE)</f>
        <v>BLK 45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</row>
    <row r="1199">
      <c r="A1199" s="60">
        <f t="shared" si="5"/>
        <v>1194</v>
      </c>
      <c r="B1199" s="62" t="s">
        <v>2588</v>
      </c>
      <c r="C1199" s="62" t="s">
        <v>2884</v>
      </c>
      <c r="D1199" s="105"/>
      <c r="E1199" s="62" t="s">
        <v>2679</v>
      </c>
      <c r="F1199" s="60"/>
      <c r="G1199" s="92"/>
      <c r="H1199" s="60"/>
      <c r="I1199" s="60"/>
      <c r="J1199" s="60"/>
      <c r="K1199" s="71" t="str">
        <f>VLOOKUP(E1199,'HEAD OF THE FAMILY'!$B$6:$J1851,9,FALSE)</f>
        <v>BLK 45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</row>
    <row r="1200">
      <c r="A1200" s="60">
        <f t="shared" si="5"/>
        <v>1195</v>
      </c>
      <c r="B1200" s="62" t="s">
        <v>2588</v>
      </c>
      <c r="C1200" s="62" t="s">
        <v>1944</v>
      </c>
      <c r="D1200" s="105"/>
      <c r="E1200" s="62" t="s">
        <v>2679</v>
      </c>
      <c r="F1200" s="60"/>
      <c r="G1200" s="92"/>
      <c r="H1200" s="60"/>
      <c r="I1200" s="60"/>
      <c r="J1200" s="60"/>
      <c r="K1200" s="71" t="str">
        <f>VLOOKUP(E1200,'HEAD OF THE FAMILY'!$B$6:$J1851,9,FALSE)</f>
        <v>BLK 45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</row>
    <row r="1201">
      <c r="A1201" s="60">
        <f t="shared" si="5"/>
        <v>1196</v>
      </c>
      <c r="B1201" s="62" t="s">
        <v>2588</v>
      </c>
      <c r="C1201" s="62" t="s">
        <v>2887</v>
      </c>
      <c r="D1201" s="105"/>
      <c r="E1201" s="62" t="s">
        <v>2679</v>
      </c>
      <c r="F1201" s="60"/>
      <c r="G1201" s="92"/>
      <c r="H1201" s="60"/>
      <c r="I1201" s="60"/>
      <c r="J1201" s="60"/>
      <c r="K1201" s="71" t="str">
        <f>VLOOKUP(E1201,'HEAD OF THE FAMILY'!$B$6:$J1851,9,FALSE)</f>
        <v>BLK 45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</row>
    <row r="1202">
      <c r="A1202" s="60">
        <f t="shared" si="5"/>
        <v>1197</v>
      </c>
      <c r="B1202" s="62" t="s">
        <v>2588</v>
      </c>
      <c r="C1202" s="62" t="s">
        <v>2818</v>
      </c>
      <c r="D1202" s="105"/>
      <c r="E1202" s="62" t="s">
        <v>2679</v>
      </c>
      <c r="F1202" s="60"/>
      <c r="G1202" s="92"/>
      <c r="H1202" s="60"/>
      <c r="I1202" s="60"/>
      <c r="J1202" s="60"/>
      <c r="K1202" s="71" t="str">
        <f>VLOOKUP(E1202,'HEAD OF THE FAMILY'!$B$6:$J1851,9,FALSE)</f>
        <v>BLK 45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</row>
    <row r="1203">
      <c r="A1203" s="60">
        <f t="shared" si="5"/>
        <v>1198</v>
      </c>
      <c r="B1203" s="62" t="s">
        <v>2881</v>
      </c>
      <c r="C1203" s="62" t="s">
        <v>2890</v>
      </c>
      <c r="D1203" s="105"/>
      <c r="E1203" s="62" t="s">
        <v>595</v>
      </c>
      <c r="F1203" s="60"/>
      <c r="G1203" s="92"/>
      <c r="H1203" s="60"/>
      <c r="I1203" s="60"/>
      <c r="J1203" s="60"/>
      <c r="K1203" s="71" t="str">
        <f>VLOOKUP(E1203,'HEAD OF THE FAMILY'!$B$6:$J1851,9,FALSE)</f>
        <v>BLK 45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</row>
    <row r="1204">
      <c r="A1204" s="60">
        <f t="shared" si="5"/>
        <v>1199</v>
      </c>
      <c r="B1204" s="62" t="s">
        <v>2891</v>
      </c>
      <c r="C1204" s="62" t="s">
        <v>2892</v>
      </c>
      <c r="D1204" s="105"/>
      <c r="E1204" s="62" t="s">
        <v>2893</v>
      </c>
      <c r="F1204" s="60"/>
      <c r="G1204" s="92"/>
      <c r="H1204" s="60"/>
      <c r="I1204" s="60"/>
      <c r="J1204" s="60"/>
      <c r="K1204" s="71" t="str">
        <f>VLOOKUP(E1204,'HEAD OF THE FAMILY'!$B$6:$J1851,9,FALSE)</f>
        <v>BLK 45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</row>
    <row r="1205">
      <c r="A1205" s="60">
        <f t="shared" si="5"/>
        <v>1200</v>
      </c>
      <c r="B1205" s="62" t="s">
        <v>2881</v>
      </c>
      <c r="C1205" s="62" t="s">
        <v>2895</v>
      </c>
      <c r="D1205" s="105"/>
      <c r="E1205" s="62" t="s">
        <v>2409</v>
      </c>
      <c r="F1205" s="60"/>
      <c r="G1205" s="92"/>
      <c r="H1205" s="60"/>
      <c r="I1205" s="60"/>
      <c r="J1205" s="60"/>
      <c r="K1205" s="71" t="str">
        <f>VLOOKUP(E1205,'HEAD OF THE FAMILY'!$B$6:$J1851,9,FALSE)</f>
        <v>BLK 45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</row>
    <row r="1206">
      <c r="A1206" s="60">
        <f t="shared" si="5"/>
        <v>1201</v>
      </c>
      <c r="B1206" s="62" t="s">
        <v>2881</v>
      </c>
      <c r="C1206" s="62" t="s">
        <v>2897</v>
      </c>
      <c r="D1206" s="105"/>
      <c r="E1206" s="62" t="s">
        <v>2409</v>
      </c>
      <c r="F1206" s="60"/>
      <c r="G1206" s="92"/>
      <c r="H1206" s="60"/>
      <c r="I1206" s="60"/>
      <c r="J1206" s="60"/>
      <c r="K1206" s="71" t="str">
        <f>VLOOKUP(E1206,'HEAD OF THE FAMILY'!$B$6:$J1851,9,FALSE)</f>
        <v>BLK 45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</row>
    <row r="1207">
      <c r="A1207" s="60">
        <f t="shared" si="5"/>
        <v>1202</v>
      </c>
      <c r="B1207" s="62" t="s">
        <v>2588</v>
      </c>
      <c r="C1207" s="62" t="s">
        <v>2900</v>
      </c>
      <c r="D1207" s="105"/>
      <c r="E1207" s="62" t="s">
        <v>2762</v>
      </c>
      <c r="F1207" s="60"/>
      <c r="G1207" s="92"/>
      <c r="H1207" s="60"/>
      <c r="I1207" s="60"/>
      <c r="J1207" s="60"/>
      <c r="K1207" s="71" t="str">
        <f>VLOOKUP(E1207,'HEAD OF THE FAMILY'!$B$6:$J1851,9,FALSE)</f>
        <v>BLK 45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</row>
    <row r="1208">
      <c r="A1208" s="60">
        <f t="shared" si="5"/>
        <v>1203</v>
      </c>
      <c r="B1208" s="62" t="s">
        <v>2588</v>
      </c>
      <c r="C1208" s="62" t="s">
        <v>2901</v>
      </c>
      <c r="D1208" s="105"/>
      <c r="E1208" s="62" t="s">
        <v>2762</v>
      </c>
      <c r="F1208" s="60"/>
      <c r="G1208" s="92"/>
      <c r="H1208" s="60"/>
      <c r="I1208" s="60"/>
      <c r="J1208" s="60"/>
      <c r="K1208" s="71" t="str">
        <f>VLOOKUP(E1208,'HEAD OF THE FAMILY'!$B$6:$J1851,9,FALSE)</f>
        <v>BLK 45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</row>
    <row r="1209">
      <c r="A1209" s="60">
        <f t="shared" si="5"/>
        <v>1204</v>
      </c>
      <c r="B1209" s="62" t="s">
        <v>2588</v>
      </c>
      <c r="C1209" s="62" t="s">
        <v>2903</v>
      </c>
      <c r="D1209" s="105"/>
      <c r="E1209" s="62" t="s">
        <v>2762</v>
      </c>
      <c r="F1209" s="60"/>
      <c r="G1209" s="92"/>
      <c r="H1209" s="60"/>
      <c r="I1209" s="60"/>
      <c r="J1209" s="60"/>
      <c r="K1209" s="71" t="str">
        <f>VLOOKUP(E1209,'HEAD OF THE FAMILY'!$B$6:$J1851,9,FALSE)</f>
        <v>BLK 45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</row>
    <row r="1210">
      <c r="A1210" s="60">
        <f t="shared" si="5"/>
        <v>1205</v>
      </c>
      <c r="B1210" s="62" t="s">
        <v>2588</v>
      </c>
      <c r="C1210" s="62" t="s">
        <v>2904</v>
      </c>
      <c r="D1210" s="105"/>
      <c r="E1210" s="62" t="s">
        <v>2762</v>
      </c>
      <c r="F1210" s="60"/>
      <c r="G1210" s="92"/>
      <c r="H1210" s="60"/>
      <c r="I1210" s="60"/>
      <c r="J1210" s="60"/>
      <c r="K1210" s="71" t="str">
        <f>VLOOKUP(E1210,'HEAD OF THE FAMILY'!$B$6:$J1851,9,FALSE)</f>
        <v>BLK 45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</row>
    <row r="1211">
      <c r="A1211" s="60">
        <f t="shared" si="5"/>
        <v>1206</v>
      </c>
      <c r="B1211" s="62" t="s">
        <v>2588</v>
      </c>
      <c r="C1211" s="62" t="s">
        <v>2906</v>
      </c>
      <c r="D1211" s="105"/>
      <c r="E1211" s="62" t="s">
        <v>2762</v>
      </c>
      <c r="F1211" s="60"/>
      <c r="G1211" s="92"/>
      <c r="H1211" s="60"/>
      <c r="I1211" s="60"/>
      <c r="J1211" s="60"/>
      <c r="K1211" s="71" t="str">
        <f>VLOOKUP(E1211,'HEAD OF THE FAMILY'!$B$6:$J1851,9,FALSE)</f>
        <v>BLK 45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</row>
    <row r="1212">
      <c r="A1212" s="60">
        <f t="shared" si="5"/>
        <v>1207</v>
      </c>
      <c r="B1212" s="62" t="s">
        <v>2588</v>
      </c>
      <c r="C1212" s="62" t="s">
        <v>2907</v>
      </c>
      <c r="D1212" s="105"/>
      <c r="E1212" s="62" t="s">
        <v>2762</v>
      </c>
      <c r="F1212" s="60"/>
      <c r="G1212" s="92"/>
      <c r="H1212" s="60"/>
      <c r="I1212" s="60"/>
      <c r="J1212" s="60"/>
      <c r="K1212" s="71" t="str">
        <f>VLOOKUP(E1212,'HEAD OF THE FAMILY'!$B$6:$J1851,9,FALSE)</f>
        <v>BLK 45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</row>
    <row r="1213">
      <c r="A1213" s="60">
        <f t="shared" si="5"/>
        <v>1208</v>
      </c>
      <c r="B1213" s="62" t="s">
        <v>2588</v>
      </c>
      <c r="C1213" s="62" t="s">
        <v>2909</v>
      </c>
      <c r="D1213" s="105"/>
      <c r="E1213" s="62" t="s">
        <v>2762</v>
      </c>
      <c r="F1213" s="60"/>
      <c r="G1213" s="92"/>
      <c r="H1213" s="60"/>
      <c r="I1213" s="60"/>
      <c r="J1213" s="60"/>
      <c r="K1213" s="71" t="str">
        <f>VLOOKUP(E1213,'HEAD OF THE FAMILY'!$B$6:$J1851,9,FALSE)</f>
        <v>BLK 45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</row>
    <row r="1214">
      <c r="A1214" s="60">
        <f t="shared" si="5"/>
        <v>1209</v>
      </c>
      <c r="B1214" s="62" t="s">
        <v>2588</v>
      </c>
      <c r="C1214" s="62" t="s">
        <v>2912</v>
      </c>
      <c r="D1214" s="105"/>
      <c r="E1214" s="62" t="s">
        <v>2762</v>
      </c>
      <c r="F1214" s="60"/>
      <c r="G1214" s="92"/>
      <c r="H1214" s="60"/>
      <c r="I1214" s="60"/>
      <c r="J1214" s="60"/>
      <c r="K1214" s="71" t="str">
        <f>VLOOKUP(E1214,'HEAD OF THE FAMILY'!$B$6:$J1851,9,FALSE)</f>
        <v>BLK 45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</row>
    <row r="1215">
      <c r="A1215" s="60">
        <f t="shared" si="5"/>
        <v>1210</v>
      </c>
      <c r="B1215" s="62" t="s">
        <v>2588</v>
      </c>
      <c r="C1215" s="62" t="s">
        <v>2914</v>
      </c>
      <c r="D1215" s="105"/>
      <c r="E1215" s="62" t="s">
        <v>2762</v>
      </c>
      <c r="F1215" s="60"/>
      <c r="G1215" s="92"/>
      <c r="H1215" s="60"/>
      <c r="I1215" s="60"/>
      <c r="J1215" s="60"/>
      <c r="K1215" s="71" t="str">
        <f>VLOOKUP(E1215,'HEAD OF THE FAMILY'!$B$6:$J1851,9,FALSE)</f>
        <v>BLK 45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</row>
    <row r="1216">
      <c r="A1216" s="60">
        <f t="shared" si="5"/>
        <v>1211</v>
      </c>
      <c r="B1216" s="62" t="s">
        <v>2916</v>
      </c>
      <c r="C1216" s="62" t="s">
        <v>2566</v>
      </c>
      <c r="D1216" s="105"/>
      <c r="E1216" s="62" t="s">
        <v>2878</v>
      </c>
      <c r="F1216" s="60"/>
      <c r="G1216" s="92"/>
      <c r="H1216" s="60"/>
      <c r="I1216" s="60"/>
      <c r="J1216" s="60"/>
      <c r="K1216" s="71" t="str">
        <f>VLOOKUP(E1216,'HEAD OF THE FAMILY'!$B$6:$J1851,9,FALSE)</f>
        <v>BLK 45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</row>
    <row r="1217">
      <c r="A1217" s="60">
        <f t="shared" si="5"/>
        <v>1212</v>
      </c>
      <c r="B1217" s="62" t="s">
        <v>408</v>
      </c>
      <c r="C1217" s="62" t="s">
        <v>2918</v>
      </c>
      <c r="D1217" s="105"/>
      <c r="E1217" s="62" t="s">
        <v>154</v>
      </c>
      <c r="F1217" s="60"/>
      <c r="G1217" s="92"/>
      <c r="H1217" s="60"/>
      <c r="I1217" s="60"/>
      <c r="J1217" s="60"/>
      <c r="K1217" s="71" t="str">
        <f>VLOOKUP(E1217,'HEAD OF THE FAMILY'!$B$6:$J1851,9,FALSE)</f>
        <v>BLK 45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</row>
    <row r="1218">
      <c r="A1218" s="60">
        <f t="shared" si="5"/>
        <v>1213</v>
      </c>
      <c r="B1218" s="62" t="s">
        <v>408</v>
      </c>
      <c r="C1218" s="62" t="s">
        <v>2920</v>
      </c>
      <c r="D1218" s="105"/>
      <c r="E1218" s="62" t="s">
        <v>154</v>
      </c>
      <c r="F1218" s="60"/>
      <c r="G1218" s="92"/>
      <c r="H1218" s="60"/>
      <c r="I1218" s="60"/>
      <c r="J1218" s="60"/>
      <c r="K1218" s="71" t="str">
        <f>VLOOKUP(E1218,'HEAD OF THE FAMILY'!$B$6:$J1851,9,FALSE)</f>
        <v>BLK 45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</row>
    <row r="1219">
      <c r="A1219" s="60">
        <f t="shared" si="5"/>
        <v>1214</v>
      </c>
      <c r="B1219" s="62" t="s">
        <v>2921</v>
      </c>
      <c r="C1219" s="62" t="s">
        <v>2922</v>
      </c>
      <c r="D1219" s="62" t="s">
        <v>1472</v>
      </c>
      <c r="E1219" s="62" t="s">
        <v>1660</v>
      </c>
      <c r="F1219" s="60"/>
      <c r="G1219" s="92"/>
      <c r="H1219" s="60"/>
      <c r="I1219" s="60"/>
      <c r="J1219" s="60"/>
      <c r="K1219" s="71" t="str">
        <f>VLOOKUP(E1219,'HEAD OF THE FAMILY'!$B$6:$J1851,9,FALSE)</f>
        <v>BLK 45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</row>
    <row r="1220">
      <c r="A1220" s="60">
        <f t="shared" si="5"/>
        <v>1215</v>
      </c>
      <c r="B1220" s="62" t="s">
        <v>2921</v>
      </c>
      <c r="C1220" s="62" t="s">
        <v>2923</v>
      </c>
      <c r="D1220" s="62" t="s">
        <v>1472</v>
      </c>
      <c r="E1220" s="62" t="s">
        <v>1660</v>
      </c>
      <c r="F1220" s="60"/>
      <c r="G1220" s="92"/>
      <c r="H1220" s="60"/>
      <c r="I1220" s="60"/>
      <c r="J1220" s="60"/>
      <c r="K1220" s="71" t="str">
        <f>VLOOKUP(E1220,'HEAD OF THE FAMILY'!$B$6:$J1851,9,FALSE)</f>
        <v>BLK 45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</row>
    <row r="1221">
      <c r="A1221" s="60">
        <f t="shared" si="5"/>
        <v>1216</v>
      </c>
      <c r="B1221" s="62" t="s">
        <v>2924</v>
      </c>
      <c r="C1221" s="62" t="s">
        <v>2925</v>
      </c>
      <c r="D1221" s="62" t="s">
        <v>2926</v>
      </c>
      <c r="E1221" s="62" t="s">
        <v>2927</v>
      </c>
      <c r="F1221" s="60"/>
      <c r="G1221" s="92"/>
      <c r="H1221" s="60"/>
      <c r="I1221" s="60"/>
      <c r="J1221" s="60"/>
      <c r="K1221" s="71" t="str">
        <f>VLOOKUP(E1221,'HEAD OF THE FAMILY'!$B$6:$J1851,9,FALSE)</f>
        <v>BLK 45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</row>
    <row r="1222">
      <c r="A1222" s="60">
        <f t="shared" si="5"/>
        <v>1217</v>
      </c>
      <c r="B1222" s="62" t="s">
        <v>2929</v>
      </c>
      <c r="C1222" s="62" t="s">
        <v>2930</v>
      </c>
      <c r="D1222" s="105"/>
      <c r="E1222" s="62" t="s">
        <v>2931</v>
      </c>
      <c r="F1222" s="60"/>
      <c r="G1222" s="92"/>
      <c r="H1222" s="60"/>
      <c r="I1222" s="60"/>
      <c r="J1222" s="60"/>
      <c r="K1222" s="71" t="str">
        <f>VLOOKUP(E1222,'HEAD OF THE FAMILY'!$B$6:$J1851,9,FALSE)</f>
        <v>BLK 3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</row>
    <row r="1223">
      <c r="A1223" s="60">
        <f t="shared" si="5"/>
        <v>1218</v>
      </c>
      <c r="B1223" s="62" t="s">
        <v>2929</v>
      </c>
      <c r="C1223" s="62" t="s">
        <v>2932</v>
      </c>
      <c r="D1223" s="105"/>
      <c r="E1223" s="62" t="s">
        <v>2931</v>
      </c>
      <c r="F1223" s="60"/>
      <c r="G1223" s="92"/>
      <c r="H1223" s="60"/>
      <c r="I1223" s="60"/>
      <c r="J1223" s="60"/>
      <c r="K1223" s="71" t="str">
        <f>VLOOKUP(E1223,'HEAD OF THE FAMILY'!$B$6:$J1851,9,FALSE)</f>
        <v>BLK 3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</row>
    <row r="1224">
      <c r="A1224" s="60">
        <f t="shared" si="5"/>
        <v>1219</v>
      </c>
      <c r="B1224" s="62" t="s">
        <v>2929</v>
      </c>
      <c r="C1224" s="62" t="s">
        <v>2934</v>
      </c>
      <c r="D1224" s="105"/>
      <c r="E1224" s="62" t="s">
        <v>2931</v>
      </c>
      <c r="F1224" s="60"/>
      <c r="G1224" s="92"/>
      <c r="H1224" s="60"/>
      <c r="I1224" s="60"/>
      <c r="J1224" s="60"/>
      <c r="K1224" s="71" t="str">
        <f>VLOOKUP(E1224,'HEAD OF THE FAMILY'!$B$6:$J1851,9,FALSE)</f>
        <v>BLK 3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</row>
    <row r="1225">
      <c r="A1225" s="60">
        <f t="shared" si="5"/>
        <v>1220</v>
      </c>
      <c r="B1225" s="62" t="s">
        <v>2929</v>
      </c>
      <c r="C1225" s="62" t="s">
        <v>2936</v>
      </c>
      <c r="D1225" s="105"/>
      <c r="E1225" s="62" t="s">
        <v>2931</v>
      </c>
      <c r="F1225" s="60"/>
      <c r="G1225" s="92"/>
      <c r="H1225" s="60"/>
      <c r="I1225" s="60"/>
      <c r="J1225" s="60"/>
      <c r="K1225" s="71" t="str">
        <f>VLOOKUP(E1225,'HEAD OF THE FAMILY'!$B$6:$J1851,9,FALSE)</f>
        <v>BLK 3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</row>
    <row r="1226">
      <c r="A1226" s="60">
        <f t="shared" si="5"/>
        <v>1221</v>
      </c>
      <c r="B1226" s="62" t="s">
        <v>2937</v>
      </c>
      <c r="C1226" s="62" t="s">
        <v>2938</v>
      </c>
      <c r="D1226" s="105"/>
      <c r="E1226" s="62" t="s">
        <v>461</v>
      </c>
      <c r="F1226" s="60"/>
      <c r="G1226" s="92"/>
      <c r="H1226" s="60"/>
      <c r="I1226" s="60"/>
      <c r="J1226" s="60"/>
      <c r="K1226" s="71" t="str">
        <f>VLOOKUP(E1226,'HEAD OF THE FAMILY'!$B$6:$J1851,9,FALSE)</f>
        <v>BLK 3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</row>
    <row r="1227">
      <c r="A1227" s="60">
        <f t="shared" si="5"/>
        <v>1222</v>
      </c>
      <c r="B1227" s="62" t="s">
        <v>2937</v>
      </c>
      <c r="C1227" s="62" t="s">
        <v>2940</v>
      </c>
      <c r="D1227" s="105"/>
      <c r="E1227" s="62" t="s">
        <v>461</v>
      </c>
      <c r="F1227" s="60"/>
      <c r="G1227" s="92"/>
      <c r="H1227" s="60"/>
      <c r="I1227" s="60"/>
      <c r="J1227" s="60"/>
      <c r="K1227" s="71" t="str">
        <f>VLOOKUP(E1227,'HEAD OF THE FAMILY'!$B$6:$J1851,9,FALSE)</f>
        <v>BLK 3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</row>
    <row r="1228">
      <c r="A1228" s="60">
        <f t="shared" si="5"/>
        <v>1223</v>
      </c>
      <c r="B1228" s="62" t="s">
        <v>2942</v>
      </c>
      <c r="C1228" s="62" t="s">
        <v>2943</v>
      </c>
      <c r="D1228" s="62" t="s">
        <v>2803</v>
      </c>
      <c r="E1228" s="62" t="s">
        <v>891</v>
      </c>
      <c r="F1228" s="60"/>
      <c r="G1228" s="92"/>
      <c r="H1228" s="60"/>
      <c r="I1228" s="60"/>
      <c r="J1228" s="60"/>
      <c r="K1228" s="71" t="str">
        <f>VLOOKUP(E1228,'HEAD OF THE FAMILY'!$B$6:$J1851,9,FALSE)</f>
        <v>BLK 5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</row>
    <row r="1229">
      <c r="A1229" s="60">
        <f t="shared" si="5"/>
        <v>1224</v>
      </c>
      <c r="B1229" s="62" t="s">
        <v>2942</v>
      </c>
      <c r="C1229" s="62" t="s">
        <v>2944</v>
      </c>
      <c r="D1229" s="62" t="s">
        <v>2803</v>
      </c>
      <c r="E1229" s="62" t="s">
        <v>891</v>
      </c>
      <c r="F1229" s="60"/>
      <c r="G1229" s="92"/>
      <c r="H1229" s="60"/>
      <c r="I1229" s="60"/>
      <c r="J1229" s="60"/>
      <c r="K1229" s="71" t="str">
        <f>VLOOKUP(E1229,'HEAD OF THE FAMILY'!$B$6:$J1851,9,FALSE)</f>
        <v>BLK 5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</row>
    <row r="1230">
      <c r="A1230" s="60">
        <f t="shared" si="5"/>
        <v>1225</v>
      </c>
      <c r="B1230" s="62" t="s">
        <v>2942</v>
      </c>
      <c r="C1230" s="62" t="s">
        <v>2945</v>
      </c>
      <c r="D1230" s="62" t="s">
        <v>2803</v>
      </c>
      <c r="E1230" s="62" t="s">
        <v>891</v>
      </c>
      <c r="F1230" s="60"/>
      <c r="G1230" s="92"/>
      <c r="H1230" s="60"/>
      <c r="I1230" s="60"/>
      <c r="J1230" s="60"/>
      <c r="K1230" s="71" t="str">
        <f>VLOOKUP(E1230,'HEAD OF THE FAMILY'!$B$6:$J1851,9,FALSE)</f>
        <v>BLK 5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</row>
    <row r="1231">
      <c r="A1231" s="60">
        <f t="shared" si="5"/>
        <v>1226</v>
      </c>
      <c r="B1231" s="62" t="s">
        <v>2947</v>
      </c>
      <c r="C1231" s="62" t="s">
        <v>2948</v>
      </c>
      <c r="D1231" s="62" t="s">
        <v>1508</v>
      </c>
      <c r="E1231" s="62" t="s">
        <v>546</v>
      </c>
      <c r="F1231" s="60"/>
      <c r="G1231" s="92"/>
      <c r="H1231" s="60"/>
      <c r="I1231" s="60"/>
      <c r="J1231" s="60"/>
      <c r="K1231" s="71" t="str">
        <f>VLOOKUP(E1231,'HEAD OF THE FAMILY'!$B$6:$J1851,9,FALSE)</f>
        <v>BLK 5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</row>
    <row r="1232">
      <c r="A1232" s="60">
        <f t="shared" si="5"/>
        <v>1227</v>
      </c>
      <c r="B1232" s="62" t="s">
        <v>598</v>
      </c>
      <c r="C1232" s="62" t="s">
        <v>2949</v>
      </c>
      <c r="D1232" s="62" t="s">
        <v>2926</v>
      </c>
      <c r="E1232" s="62" t="s">
        <v>1546</v>
      </c>
      <c r="F1232" s="60"/>
      <c r="G1232" s="92"/>
      <c r="H1232" s="60"/>
      <c r="I1232" s="60"/>
      <c r="J1232" s="60"/>
      <c r="K1232" s="71" t="str">
        <f>VLOOKUP(E1232,'HEAD OF THE FAMILY'!$B$6:$J1851,9,FALSE)</f>
        <v>BLK 5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</row>
    <row r="1233">
      <c r="A1233" s="60">
        <f t="shared" si="5"/>
        <v>1228</v>
      </c>
      <c r="B1233" s="62" t="s">
        <v>598</v>
      </c>
      <c r="C1233" s="62" t="s">
        <v>2951</v>
      </c>
      <c r="D1233" s="62" t="s">
        <v>2926</v>
      </c>
      <c r="E1233" s="62" t="s">
        <v>1546</v>
      </c>
      <c r="F1233" s="60"/>
      <c r="G1233" s="92"/>
      <c r="H1233" s="60"/>
      <c r="I1233" s="60"/>
      <c r="J1233" s="60"/>
      <c r="K1233" s="71" t="str">
        <f>VLOOKUP(E1233,'HEAD OF THE FAMILY'!$B$6:$J1851,9,FALSE)</f>
        <v>BLK 5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</row>
    <row r="1234">
      <c r="A1234" s="60">
        <f t="shared" si="5"/>
        <v>1229</v>
      </c>
      <c r="B1234" s="62" t="s">
        <v>2952</v>
      </c>
      <c r="C1234" s="62" t="s">
        <v>2953</v>
      </c>
      <c r="D1234" s="62" t="s">
        <v>1497</v>
      </c>
      <c r="E1234" s="62" t="s">
        <v>1168</v>
      </c>
      <c r="F1234" s="60"/>
      <c r="G1234" s="92"/>
      <c r="H1234" s="60"/>
      <c r="I1234" s="60"/>
      <c r="J1234" s="60"/>
      <c r="K1234" s="71" t="str">
        <f>VLOOKUP(E1234,'HEAD OF THE FAMILY'!$B$6:$J1851,9,FALSE)</f>
        <v>BLK 5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</row>
    <row r="1235">
      <c r="A1235" s="60">
        <f t="shared" si="5"/>
        <v>1230</v>
      </c>
      <c r="B1235" s="62" t="s">
        <v>2952</v>
      </c>
      <c r="C1235" s="62" t="s">
        <v>2955</v>
      </c>
      <c r="D1235" s="62" t="s">
        <v>1497</v>
      </c>
      <c r="E1235" s="62" t="s">
        <v>1168</v>
      </c>
      <c r="F1235" s="60"/>
      <c r="G1235" s="92"/>
      <c r="H1235" s="60"/>
      <c r="I1235" s="60"/>
      <c r="J1235" s="60"/>
      <c r="K1235" s="71" t="str">
        <f>VLOOKUP(E1235,'HEAD OF THE FAMILY'!$B$6:$J1851,9,FALSE)</f>
        <v>BLK 5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</row>
    <row r="1236">
      <c r="A1236" s="60">
        <f t="shared" si="5"/>
        <v>1231</v>
      </c>
      <c r="B1236" s="62" t="s">
        <v>1328</v>
      </c>
      <c r="C1236" s="62" t="s">
        <v>2958</v>
      </c>
      <c r="D1236" s="105"/>
      <c r="E1236" s="62" t="s">
        <v>1762</v>
      </c>
      <c r="F1236" s="60"/>
      <c r="G1236" s="92"/>
      <c r="H1236" s="60"/>
      <c r="I1236" s="60"/>
      <c r="J1236" s="60"/>
      <c r="K1236" s="71" t="str">
        <f>VLOOKUP(E1236,'HEAD OF THE FAMILY'!$B$6:$J1851,9,FALSE)</f>
        <v>BLK 1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</row>
    <row r="1237">
      <c r="A1237" s="60">
        <f t="shared" si="5"/>
        <v>1232</v>
      </c>
      <c r="B1237" s="62" t="s">
        <v>1068</v>
      </c>
      <c r="C1237" s="62" t="s">
        <v>2959</v>
      </c>
      <c r="D1237" s="105"/>
      <c r="E1237" s="62" t="s">
        <v>1910</v>
      </c>
      <c r="F1237" s="60"/>
      <c r="G1237" s="92"/>
      <c r="H1237" s="60"/>
      <c r="I1237" s="60"/>
      <c r="J1237" s="60"/>
      <c r="K1237" s="71" t="str">
        <f>VLOOKUP(E1237,'HEAD OF THE FAMILY'!$B$6:$J1851,9,FALSE)</f>
        <v>BLOCK 4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</row>
    <row r="1238">
      <c r="A1238" s="60">
        <f t="shared" si="5"/>
        <v>1233</v>
      </c>
      <c r="B1238" s="62" t="s">
        <v>1068</v>
      </c>
      <c r="C1238" s="62" t="s">
        <v>2961</v>
      </c>
      <c r="D1238" s="105"/>
      <c r="E1238" s="62" t="s">
        <v>1910</v>
      </c>
      <c r="F1238" s="60"/>
      <c r="G1238" s="92"/>
      <c r="H1238" s="60"/>
      <c r="I1238" s="60"/>
      <c r="J1238" s="60"/>
      <c r="K1238" s="71" t="str">
        <f>VLOOKUP(E1238,'HEAD OF THE FAMILY'!$B$6:$J1851,9,FALSE)</f>
        <v>BLOCK 4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</row>
    <row r="1239">
      <c r="A1239" s="60">
        <f t="shared" si="5"/>
        <v>1234</v>
      </c>
      <c r="B1239" s="62" t="s">
        <v>1068</v>
      </c>
      <c r="C1239" s="62" t="s">
        <v>923</v>
      </c>
      <c r="D1239" s="105"/>
      <c r="E1239" s="62" t="s">
        <v>1910</v>
      </c>
      <c r="F1239" s="60"/>
      <c r="G1239" s="92"/>
      <c r="H1239" s="60"/>
      <c r="I1239" s="60"/>
      <c r="J1239" s="60"/>
      <c r="K1239" s="71" t="str">
        <f>VLOOKUP(E1239,'HEAD OF THE FAMILY'!$B$6:$J1851,9,FALSE)</f>
        <v>BLOCK 4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</row>
    <row r="1240">
      <c r="A1240" s="60">
        <f t="shared" si="5"/>
        <v>1235</v>
      </c>
      <c r="B1240" s="62" t="s">
        <v>2964</v>
      </c>
      <c r="C1240" s="62" t="s">
        <v>2965</v>
      </c>
      <c r="D1240" s="105"/>
      <c r="E1240" s="62" t="s">
        <v>1571</v>
      </c>
      <c r="F1240" s="60"/>
      <c r="G1240" s="92"/>
      <c r="H1240" s="60"/>
      <c r="I1240" s="60"/>
      <c r="J1240" s="60"/>
      <c r="K1240" s="71" t="str">
        <f>VLOOKUP(E1240,'HEAD OF THE FAMILY'!$B$6:$J1851,9,FALSE)</f>
        <v>BLOCK 4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</row>
    <row r="1241">
      <c r="A1241" s="60">
        <f t="shared" si="5"/>
        <v>1236</v>
      </c>
      <c r="B1241" s="62" t="s">
        <v>2964</v>
      </c>
      <c r="C1241" s="62" t="s">
        <v>2967</v>
      </c>
      <c r="D1241" s="105"/>
      <c r="E1241" s="62" t="s">
        <v>1571</v>
      </c>
      <c r="F1241" s="60"/>
      <c r="G1241" s="92"/>
      <c r="H1241" s="60"/>
      <c r="I1241" s="60"/>
      <c r="J1241" s="60"/>
      <c r="K1241" s="71" t="str">
        <f>VLOOKUP(E1241,'HEAD OF THE FAMILY'!$B$6:$J1851,9,FALSE)</f>
        <v>BLOCK 4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</row>
    <row r="1242">
      <c r="A1242" s="60">
        <f t="shared" si="5"/>
        <v>1237</v>
      </c>
      <c r="B1242" s="62" t="s">
        <v>1734</v>
      </c>
      <c r="C1242" s="62" t="s">
        <v>2968</v>
      </c>
      <c r="D1242" s="105"/>
      <c r="E1242" s="62" t="s">
        <v>1571</v>
      </c>
      <c r="F1242" s="60"/>
      <c r="G1242" s="92"/>
      <c r="H1242" s="60"/>
      <c r="I1242" s="60"/>
      <c r="J1242" s="60"/>
      <c r="K1242" s="71" t="str">
        <f>VLOOKUP(E1242,'HEAD OF THE FAMILY'!$B$6:$J1851,9,FALSE)</f>
        <v>BLOCK 4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</row>
    <row r="1243">
      <c r="A1243" s="60">
        <f t="shared" si="5"/>
        <v>1238</v>
      </c>
      <c r="B1243" s="62" t="s">
        <v>2964</v>
      </c>
      <c r="C1243" s="62" t="s">
        <v>2970</v>
      </c>
      <c r="D1243" s="105"/>
      <c r="E1243" s="62" t="s">
        <v>1571</v>
      </c>
      <c r="F1243" s="60"/>
      <c r="G1243" s="92"/>
      <c r="H1243" s="60"/>
      <c r="I1243" s="60"/>
      <c r="J1243" s="60"/>
      <c r="K1243" s="71" t="str">
        <f>VLOOKUP(E1243,'HEAD OF THE FAMILY'!$B$6:$J1851,9,FALSE)</f>
        <v>BLOCK 4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</row>
    <row r="1244">
      <c r="A1244" s="60">
        <f t="shared" si="5"/>
        <v>1239</v>
      </c>
      <c r="B1244" s="62" t="s">
        <v>2964</v>
      </c>
      <c r="C1244" s="62" t="s">
        <v>2973</v>
      </c>
      <c r="D1244" s="105"/>
      <c r="E1244" s="62" t="s">
        <v>1571</v>
      </c>
      <c r="F1244" s="60"/>
      <c r="G1244" s="92"/>
      <c r="H1244" s="60"/>
      <c r="I1244" s="60"/>
      <c r="J1244" s="60"/>
      <c r="K1244" s="71" t="str">
        <f>VLOOKUP(E1244,'HEAD OF THE FAMILY'!$B$6:$J1851,9,FALSE)</f>
        <v>BLOCK 4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</row>
    <row r="1245">
      <c r="A1245" s="60">
        <f t="shared" si="5"/>
        <v>1240</v>
      </c>
      <c r="B1245" s="62" t="s">
        <v>2964</v>
      </c>
      <c r="C1245" s="62" t="s">
        <v>2975</v>
      </c>
      <c r="D1245" s="105"/>
      <c r="E1245" s="62" t="s">
        <v>1571</v>
      </c>
      <c r="F1245" s="60"/>
      <c r="G1245" s="92"/>
      <c r="H1245" s="60"/>
      <c r="I1245" s="60"/>
      <c r="J1245" s="60"/>
      <c r="K1245" s="71" t="str">
        <f>VLOOKUP(E1245,'HEAD OF THE FAMILY'!$B$6:$J1851,9,FALSE)</f>
        <v>BLOCK 4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</row>
    <row r="1246">
      <c r="A1246" s="60">
        <f t="shared" si="5"/>
        <v>1241</v>
      </c>
      <c r="B1246" s="62" t="s">
        <v>2964</v>
      </c>
      <c r="C1246" s="62" t="s">
        <v>2977</v>
      </c>
      <c r="D1246" s="105"/>
      <c r="E1246" s="62" t="s">
        <v>1571</v>
      </c>
      <c r="F1246" s="60"/>
      <c r="G1246" s="92"/>
      <c r="H1246" s="60"/>
      <c r="I1246" s="60"/>
      <c r="J1246" s="60"/>
      <c r="K1246" s="71" t="str">
        <f>VLOOKUP(E1246,'HEAD OF THE FAMILY'!$B$6:$J1851,9,FALSE)</f>
        <v>BLOCK 4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</row>
    <row r="1247">
      <c r="A1247" s="60">
        <f t="shared" si="5"/>
        <v>1242</v>
      </c>
      <c r="B1247" s="62" t="s">
        <v>2964</v>
      </c>
      <c r="C1247" s="62" t="s">
        <v>2979</v>
      </c>
      <c r="D1247" s="105"/>
      <c r="E1247" s="62" t="s">
        <v>1571</v>
      </c>
      <c r="F1247" s="60"/>
      <c r="G1247" s="92"/>
      <c r="H1247" s="60"/>
      <c r="I1247" s="60"/>
      <c r="J1247" s="75" t="s">
        <v>19</v>
      </c>
      <c r="K1247" s="71" t="str">
        <f>VLOOKUP(E1247,'HEAD OF THE FAMILY'!$B$6:$J1851,9,FALSE)</f>
        <v>BLOCK 4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</row>
    <row r="1248">
      <c r="A1248" s="60">
        <f t="shared" si="5"/>
        <v>1243</v>
      </c>
      <c r="B1248" s="62" t="s">
        <v>1997</v>
      </c>
      <c r="C1248" s="62" t="s">
        <v>2980</v>
      </c>
      <c r="D1248" s="105"/>
      <c r="E1248" s="62" t="s">
        <v>1406</v>
      </c>
      <c r="F1248" s="60"/>
      <c r="G1248" s="92"/>
      <c r="H1248" s="60"/>
      <c r="I1248" s="60"/>
      <c r="J1248" s="60"/>
      <c r="K1248" s="71" t="str">
        <f>VLOOKUP(E1248,'HEAD OF THE FAMILY'!$B$6:$J1851,9,FALSE)</f>
        <v>BLOCK 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</row>
    <row r="1249">
      <c r="A1249" s="60">
        <f t="shared" si="5"/>
        <v>1244</v>
      </c>
      <c r="B1249" s="62" t="s">
        <v>2226</v>
      </c>
      <c r="C1249" s="62" t="s">
        <v>2982</v>
      </c>
      <c r="D1249" s="62" t="s">
        <v>85</v>
      </c>
      <c r="E1249" s="62" t="s">
        <v>1082</v>
      </c>
      <c r="F1249" s="60"/>
      <c r="G1249" s="92"/>
      <c r="H1249" s="60"/>
      <c r="I1249" s="60"/>
      <c r="J1249" s="60"/>
      <c r="K1249" s="71" t="str">
        <f>VLOOKUP(E1249,'HEAD OF THE FAMILY'!$B$6:$J1851,9,FALSE)</f>
        <v>BLOCK 4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</row>
    <row r="1250">
      <c r="A1250" s="60">
        <f t="shared" si="5"/>
        <v>1245</v>
      </c>
      <c r="B1250" s="62" t="s">
        <v>2226</v>
      </c>
      <c r="C1250" s="62" t="s">
        <v>2983</v>
      </c>
      <c r="D1250" s="62" t="s">
        <v>85</v>
      </c>
      <c r="E1250" s="62" t="s">
        <v>1082</v>
      </c>
      <c r="F1250" s="60"/>
      <c r="G1250" s="92"/>
      <c r="H1250" s="60"/>
      <c r="I1250" s="60"/>
      <c r="J1250" s="60"/>
      <c r="K1250" s="71" t="str">
        <f>VLOOKUP(E1250,'HEAD OF THE FAMILY'!$B$6:$J1851,9,FALSE)</f>
        <v>BLOCK 4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</row>
    <row r="1251">
      <c r="A1251" s="60">
        <f t="shared" si="5"/>
        <v>1246</v>
      </c>
      <c r="B1251" s="62" t="s">
        <v>2226</v>
      </c>
      <c r="C1251" s="62" t="s">
        <v>2985</v>
      </c>
      <c r="D1251" s="105"/>
      <c r="E1251" s="62" t="s">
        <v>1313</v>
      </c>
      <c r="F1251" s="60"/>
      <c r="G1251" s="92"/>
      <c r="H1251" s="60"/>
      <c r="I1251" s="60"/>
      <c r="J1251" s="60"/>
      <c r="K1251" s="71" t="str">
        <f>VLOOKUP(E1251,'HEAD OF THE FAMILY'!$B$6:$J1851,9,FALSE)</f>
        <v>BLOCK 4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</row>
    <row r="1252">
      <c r="A1252" s="60">
        <f t="shared" si="5"/>
        <v>1247</v>
      </c>
      <c r="B1252" s="62" t="s">
        <v>690</v>
      </c>
      <c r="C1252" s="62" t="s">
        <v>2987</v>
      </c>
      <c r="D1252" s="62" t="s">
        <v>95</v>
      </c>
      <c r="E1252" s="62" t="s">
        <v>2988</v>
      </c>
      <c r="F1252" s="60"/>
      <c r="G1252" s="92"/>
      <c r="H1252" s="60"/>
      <c r="I1252" s="60"/>
      <c r="J1252" s="60"/>
      <c r="K1252" s="71" t="str">
        <f>VLOOKUP(E1252,'HEAD OF THE FAMILY'!$B$6:$J1851,9,FALSE)</f>
        <v>#N/A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</row>
    <row r="1253">
      <c r="A1253" s="60">
        <f t="shared" si="5"/>
        <v>1248</v>
      </c>
      <c r="B1253" s="62" t="s">
        <v>690</v>
      </c>
      <c r="C1253" s="62" t="s">
        <v>2989</v>
      </c>
      <c r="D1253" s="62" t="s">
        <v>95</v>
      </c>
      <c r="E1253" s="62" t="s">
        <v>2988</v>
      </c>
      <c r="F1253" s="60"/>
      <c r="G1253" s="92"/>
      <c r="H1253" s="60"/>
      <c r="I1253" s="60"/>
      <c r="J1253" s="60"/>
      <c r="K1253" s="71" t="str">
        <f>VLOOKUP(E1253,'HEAD OF THE FAMILY'!$B$6:$J1851,9,FALSE)</f>
        <v>#N/A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</row>
    <row r="1254">
      <c r="A1254" s="60">
        <f t="shared" si="5"/>
        <v>1249</v>
      </c>
      <c r="B1254" s="62" t="s">
        <v>2990</v>
      </c>
      <c r="C1254" s="62" t="s">
        <v>2991</v>
      </c>
      <c r="D1254" s="105"/>
      <c r="E1254" s="62" t="s">
        <v>2992</v>
      </c>
      <c r="F1254" s="60"/>
      <c r="G1254" s="92"/>
      <c r="H1254" s="60"/>
      <c r="I1254" s="60"/>
      <c r="J1254" s="60"/>
      <c r="K1254" s="71" t="str">
        <f>VLOOKUP(E1254,'HEAD OF THE FAMILY'!$B$6:$J1851,9,FALSE)</f>
        <v>#N/A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</row>
    <row r="1255">
      <c r="A1255" s="60">
        <f t="shared" si="5"/>
        <v>1250</v>
      </c>
      <c r="B1255" s="62" t="s">
        <v>2994</v>
      </c>
      <c r="C1255" s="62" t="s">
        <v>2995</v>
      </c>
      <c r="D1255" s="105"/>
      <c r="E1255" s="62" t="s">
        <v>2996</v>
      </c>
      <c r="F1255" s="60"/>
      <c r="G1255" s="92"/>
      <c r="H1255" s="60"/>
      <c r="I1255" s="60"/>
      <c r="J1255" s="60"/>
      <c r="K1255" s="71" t="str">
        <f>VLOOKUP(E1255,'HEAD OF THE FAMILY'!$B$6:$J1851,9,FALSE)</f>
        <v>BLOCK 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</row>
    <row r="1256">
      <c r="A1256" s="60">
        <f t="shared" si="5"/>
        <v>1251</v>
      </c>
      <c r="B1256" s="62" t="s">
        <v>2994</v>
      </c>
      <c r="C1256" s="62" t="s">
        <v>1032</v>
      </c>
      <c r="D1256" s="105"/>
      <c r="E1256" s="62" t="s">
        <v>2996</v>
      </c>
      <c r="F1256" s="60"/>
      <c r="G1256" s="92"/>
      <c r="H1256" s="60"/>
      <c r="I1256" s="60"/>
      <c r="J1256" s="60"/>
      <c r="K1256" s="71" t="str">
        <f>VLOOKUP(E1256,'HEAD OF THE FAMILY'!$B$6:$J1851,9,FALSE)</f>
        <v>BLOCK 4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</row>
    <row r="1257">
      <c r="A1257" s="60">
        <f t="shared" si="5"/>
        <v>1252</v>
      </c>
      <c r="B1257" s="62" t="s">
        <v>2994</v>
      </c>
      <c r="C1257" s="62" t="s">
        <v>2999</v>
      </c>
      <c r="D1257" s="105"/>
      <c r="E1257" s="62" t="s">
        <v>2996</v>
      </c>
      <c r="F1257" s="60"/>
      <c r="G1257" s="92"/>
      <c r="H1257" s="60"/>
      <c r="I1257" s="60"/>
      <c r="J1257" s="60"/>
      <c r="K1257" s="71" t="str">
        <f>VLOOKUP(E1257,'HEAD OF THE FAMILY'!$B$6:$J1851,9,FALSE)</f>
        <v>BLOCK 4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</row>
    <row r="1258">
      <c r="A1258" s="60">
        <f t="shared" si="5"/>
        <v>1253</v>
      </c>
      <c r="B1258" s="62" t="s">
        <v>3000</v>
      </c>
      <c r="C1258" s="62" t="s">
        <v>3001</v>
      </c>
      <c r="D1258" s="105"/>
      <c r="E1258" s="62" t="s">
        <v>1076</v>
      </c>
      <c r="F1258" s="60"/>
      <c r="G1258" s="92"/>
      <c r="H1258" s="60"/>
      <c r="I1258" s="60"/>
      <c r="J1258" s="60"/>
      <c r="K1258" s="71" t="str">
        <f>VLOOKUP(E1258,'HEAD OF THE FAMILY'!$B$6:$J1851,9,FALSE)</f>
        <v>BLOCK 4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</row>
    <row r="1259">
      <c r="A1259" s="60">
        <f t="shared" si="5"/>
        <v>1254</v>
      </c>
      <c r="B1259" s="62" t="s">
        <v>2226</v>
      </c>
      <c r="C1259" s="62" t="s">
        <v>3003</v>
      </c>
      <c r="D1259" s="105"/>
      <c r="E1259" s="62" t="s">
        <v>1076</v>
      </c>
      <c r="F1259" s="60"/>
      <c r="G1259" s="92"/>
      <c r="H1259" s="60"/>
      <c r="I1259" s="60"/>
      <c r="J1259" s="60"/>
      <c r="K1259" s="71" t="str">
        <f>VLOOKUP(E1259,'HEAD OF THE FAMILY'!$B$6:$J1851,9,FALSE)</f>
        <v>BLOCK 4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</row>
    <row r="1260">
      <c r="A1260" s="60">
        <f t="shared" si="5"/>
        <v>1255</v>
      </c>
      <c r="B1260" s="62" t="s">
        <v>1771</v>
      </c>
      <c r="C1260" s="62" t="s">
        <v>3004</v>
      </c>
      <c r="D1260" s="62" t="s">
        <v>212</v>
      </c>
      <c r="E1260" s="62" t="s">
        <v>2591</v>
      </c>
      <c r="F1260" s="60"/>
      <c r="G1260" s="92"/>
      <c r="H1260" s="60"/>
      <c r="I1260" s="60"/>
      <c r="J1260" s="60"/>
      <c r="K1260" s="71" t="str">
        <f>VLOOKUP(E1260,'HEAD OF THE FAMILY'!$B$6:$J1851,9,FALSE)</f>
        <v>BLOCK 4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</row>
    <row r="1261">
      <c r="A1261" s="60">
        <f t="shared" si="5"/>
        <v>1256</v>
      </c>
      <c r="B1261" s="62" t="s">
        <v>1771</v>
      </c>
      <c r="C1261" s="62" t="s">
        <v>3006</v>
      </c>
      <c r="D1261" s="62" t="s">
        <v>894</v>
      </c>
      <c r="E1261" s="62" t="s">
        <v>2559</v>
      </c>
      <c r="F1261" s="60"/>
      <c r="G1261" s="92"/>
      <c r="H1261" s="60"/>
      <c r="I1261" s="60"/>
      <c r="J1261" s="60"/>
      <c r="K1261" s="71" t="str">
        <f>VLOOKUP(E1261,'HEAD OF THE FAMILY'!$B$6:$J1851,9,FALSE)</f>
        <v>BLOCK 4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</row>
    <row r="1262">
      <c r="A1262" s="60">
        <f t="shared" si="5"/>
        <v>1257</v>
      </c>
      <c r="B1262" s="62" t="s">
        <v>1771</v>
      </c>
      <c r="C1262" s="62" t="s">
        <v>3007</v>
      </c>
      <c r="D1262" s="62" t="s">
        <v>894</v>
      </c>
      <c r="E1262" s="62" t="s">
        <v>2559</v>
      </c>
      <c r="F1262" s="60"/>
      <c r="G1262" s="92"/>
      <c r="H1262" s="60"/>
      <c r="I1262" s="60"/>
      <c r="J1262" s="60"/>
      <c r="K1262" s="71" t="str">
        <f>VLOOKUP(E1262,'HEAD OF THE FAMILY'!$B$6:$J1851,9,FALSE)</f>
        <v>BLOCK 4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</row>
    <row r="1263">
      <c r="A1263" s="60">
        <f t="shared" si="5"/>
        <v>1258</v>
      </c>
      <c r="B1263" s="62" t="s">
        <v>1771</v>
      </c>
      <c r="C1263" s="62" t="s">
        <v>3008</v>
      </c>
      <c r="D1263" s="62" t="s">
        <v>894</v>
      </c>
      <c r="E1263" s="62" t="s">
        <v>2559</v>
      </c>
      <c r="F1263" s="60"/>
      <c r="G1263" s="92"/>
      <c r="H1263" s="60"/>
      <c r="I1263" s="60"/>
      <c r="J1263" s="60"/>
      <c r="K1263" s="71" t="str">
        <f>VLOOKUP(E1263,'HEAD OF THE FAMILY'!$B$6:$J1851,9,FALSE)</f>
        <v>BLOCK 4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</row>
    <row r="1264">
      <c r="A1264" s="60">
        <f t="shared" si="5"/>
        <v>1259</v>
      </c>
      <c r="B1264" s="62" t="s">
        <v>1771</v>
      </c>
      <c r="C1264" s="62" t="s">
        <v>3010</v>
      </c>
      <c r="D1264" s="62" t="s">
        <v>894</v>
      </c>
      <c r="E1264" s="62" t="s">
        <v>2559</v>
      </c>
      <c r="F1264" s="60"/>
      <c r="G1264" s="92"/>
      <c r="H1264" s="60"/>
      <c r="I1264" s="60"/>
      <c r="J1264" s="60"/>
      <c r="K1264" s="71" t="str">
        <f>VLOOKUP(E1264,'HEAD OF THE FAMILY'!$B$6:$J1851,9,FALSE)</f>
        <v>BLOCK 4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</row>
    <row r="1265">
      <c r="A1265" s="60">
        <f t="shared" si="5"/>
        <v>1260</v>
      </c>
      <c r="B1265" s="62" t="s">
        <v>3011</v>
      </c>
      <c r="C1265" s="62" t="s">
        <v>3012</v>
      </c>
      <c r="D1265" s="62" t="s">
        <v>212</v>
      </c>
      <c r="E1265" s="62" t="s">
        <v>1004</v>
      </c>
      <c r="F1265" s="60"/>
      <c r="G1265" s="92"/>
      <c r="H1265" s="60"/>
      <c r="I1265" s="60"/>
      <c r="J1265" s="60"/>
      <c r="K1265" s="71" t="str">
        <f>VLOOKUP(E1265,'HEAD OF THE FAMILY'!$B$6:$J1851,9,FALSE)</f>
        <v>BLOCK 4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</row>
    <row r="1266">
      <c r="A1266" s="60">
        <f t="shared" si="5"/>
        <v>1261</v>
      </c>
      <c r="B1266" s="62" t="s">
        <v>197</v>
      </c>
      <c r="C1266" s="62" t="s">
        <v>3013</v>
      </c>
      <c r="D1266" s="62" t="s">
        <v>95</v>
      </c>
      <c r="E1266" s="62" t="s">
        <v>1867</v>
      </c>
      <c r="F1266" s="60"/>
      <c r="G1266" s="92"/>
      <c r="H1266" s="60"/>
      <c r="I1266" s="60"/>
      <c r="J1266" s="60"/>
      <c r="K1266" s="71" t="str">
        <f>VLOOKUP(E1266,'HEAD OF THE FAMILY'!$B$6:$J1851,9,FALSE)</f>
        <v>BLOCK 4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</row>
    <row r="1267">
      <c r="A1267" s="60">
        <f t="shared" si="5"/>
        <v>1262</v>
      </c>
      <c r="B1267" s="62" t="s">
        <v>197</v>
      </c>
      <c r="C1267" s="62" t="s">
        <v>3015</v>
      </c>
      <c r="D1267" s="62" t="s">
        <v>95</v>
      </c>
      <c r="E1267" s="62" t="s">
        <v>1867</v>
      </c>
      <c r="F1267" s="60"/>
      <c r="G1267" s="92"/>
      <c r="H1267" s="60"/>
      <c r="I1267" s="60"/>
      <c r="J1267" s="60"/>
      <c r="K1267" s="71" t="str">
        <f>VLOOKUP(E1267,'HEAD OF THE FAMILY'!$B$6:$J1851,9,FALSE)</f>
        <v>BLOCK 4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</row>
    <row r="1268">
      <c r="A1268" s="60">
        <f t="shared" si="5"/>
        <v>1263</v>
      </c>
      <c r="B1268" s="62" t="s">
        <v>1878</v>
      </c>
      <c r="C1268" s="62" t="s">
        <v>3016</v>
      </c>
      <c r="D1268" s="105"/>
      <c r="E1268" s="62" t="s">
        <v>1444</v>
      </c>
      <c r="F1268" s="60"/>
      <c r="G1268" s="92"/>
      <c r="H1268" s="60"/>
      <c r="I1268" s="60"/>
      <c r="J1268" s="60"/>
      <c r="K1268" s="71" t="str">
        <f>VLOOKUP(E1268,'HEAD OF THE FAMILY'!$B$6:$J1851,9,FALSE)</f>
        <v>BLOCK 4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</row>
    <row r="1269">
      <c r="A1269" s="60">
        <f t="shared" si="5"/>
        <v>1264</v>
      </c>
      <c r="B1269" s="62" t="s">
        <v>1878</v>
      </c>
      <c r="C1269" s="62" t="s">
        <v>3018</v>
      </c>
      <c r="D1269" s="105"/>
      <c r="E1269" s="62" t="s">
        <v>1444</v>
      </c>
      <c r="F1269" s="60"/>
      <c r="G1269" s="92"/>
      <c r="H1269" s="60"/>
      <c r="I1269" s="60"/>
      <c r="J1269" s="75" t="s">
        <v>19</v>
      </c>
      <c r="K1269" s="71" t="str">
        <f>VLOOKUP(E1269,'HEAD OF THE FAMILY'!$B$6:$J1851,9,FALSE)</f>
        <v>BLOCK 4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</row>
    <row r="1270">
      <c r="A1270" s="60">
        <f t="shared" si="5"/>
        <v>1265</v>
      </c>
      <c r="B1270" s="62" t="s">
        <v>1878</v>
      </c>
      <c r="C1270" s="62" t="s">
        <v>3019</v>
      </c>
      <c r="D1270" s="105"/>
      <c r="E1270" s="62" t="s">
        <v>1444</v>
      </c>
      <c r="F1270" s="60"/>
      <c r="G1270" s="92"/>
      <c r="H1270" s="60"/>
      <c r="I1270" s="60"/>
      <c r="J1270" s="75" t="s">
        <v>3020</v>
      </c>
      <c r="K1270" s="71" t="str">
        <f>VLOOKUP(E1270,'HEAD OF THE FAMILY'!$B$6:$J1851,9,FALSE)</f>
        <v>BLOCK 4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</row>
    <row r="1271">
      <c r="A1271" s="60">
        <f t="shared" si="5"/>
        <v>1266</v>
      </c>
      <c r="B1271" s="62" t="s">
        <v>3021</v>
      </c>
      <c r="C1271" s="62" t="s">
        <v>3022</v>
      </c>
      <c r="D1271" s="105"/>
      <c r="E1271" s="62" t="s">
        <v>1976</v>
      </c>
      <c r="F1271" s="60"/>
      <c r="G1271" s="92"/>
      <c r="H1271" s="60"/>
      <c r="I1271" s="60"/>
      <c r="J1271" s="75" t="s">
        <v>19</v>
      </c>
      <c r="K1271" s="71" t="str">
        <f>VLOOKUP(E1271,'HEAD OF THE FAMILY'!$B$6:$J1851,9,FALSE)</f>
        <v>BLOCK 4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</row>
    <row r="1272">
      <c r="A1272" s="60">
        <f t="shared" si="5"/>
        <v>1267</v>
      </c>
      <c r="B1272" s="62" t="s">
        <v>3021</v>
      </c>
      <c r="C1272" s="62" t="s">
        <v>3023</v>
      </c>
      <c r="D1272" s="105"/>
      <c r="E1272" s="62" t="s">
        <v>1976</v>
      </c>
      <c r="F1272" s="60"/>
      <c r="G1272" s="92"/>
      <c r="H1272" s="60"/>
      <c r="I1272" s="60"/>
      <c r="J1272" s="60"/>
      <c r="K1272" s="71" t="str">
        <f>VLOOKUP(E1272,'HEAD OF THE FAMILY'!$B$6:$J1851,9,FALSE)</f>
        <v>BLOCK 4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</row>
    <row r="1273">
      <c r="A1273" s="60">
        <f t="shared" si="5"/>
        <v>1268</v>
      </c>
      <c r="B1273" s="62" t="s">
        <v>3021</v>
      </c>
      <c r="C1273" s="62" t="s">
        <v>3024</v>
      </c>
      <c r="D1273" s="105"/>
      <c r="E1273" s="62" t="s">
        <v>1976</v>
      </c>
      <c r="F1273" s="60"/>
      <c r="G1273" s="92"/>
      <c r="H1273" s="60"/>
      <c r="I1273" s="60"/>
      <c r="J1273" s="60"/>
      <c r="K1273" s="71" t="str">
        <f>VLOOKUP(E1273,'HEAD OF THE FAMILY'!$B$6:$J1851,9,FALSE)</f>
        <v>BLOCK 4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</row>
    <row r="1274">
      <c r="A1274" s="60">
        <f t="shared" si="5"/>
        <v>1269</v>
      </c>
      <c r="B1274" s="62" t="s">
        <v>3021</v>
      </c>
      <c r="C1274" s="62" t="s">
        <v>3026</v>
      </c>
      <c r="D1274" s="105"/>
      <c r="E1274" s="62" t="s">
        <v>1976</v>
      </c>
      <c r="F1274" s="60"/>
      <c r="G1274" s="92"/>
      <c r="H1274" s="60"/>
      <c r="I1274" s="60"/>
      <c r="J1274" s="60"/>
      <c r="K1274" s="71" t="str">
        <f>VLOOKUP(E1274,'HEAD OF THE FAMILY'!$B$6:$J1851,9,FALSE)</f>
        <v>BLOCK 4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</row>
    <row r="1275">
      <c r="A1275" s="60">
        <f t="shared" si="5"/>
        <v>1270</v>
      </c>
      <c r="B1275" s="62" t="s">
        <v>3028</v>
      </c>
      <c r="C1275" s="62" t="s">
        <v>1125</v>
      </c>
      <c r="D1275" s="105"/>
      <c r="E1275" s="62" t="s">
        <v>2017</v>
      </c>
      <c r="F1275" s="60"/>
      <c r="G1275" s="92"/>
      <c r="H1275" s="60"/>
      <c r="I1275" s="60"/>
      <c r="J1275" s="60"/>
      <c r="K1275" s="71" t="str">
        <f>VLOOKUP(E1275,'HEAD OF THE FAMILY'!$B$6:$J1851,9,FALSE)</f>
        <v>BLOCK 4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</row>
    <row r="1276">
      <c r="A1276" s="60">
        <f t="shared" si="5"/>
        <v>1271</v>
      </c>
      <c r="B1276" s="62" t="s">
        <v>3031</v>
      </c>
      <c r="C1276" s="62" t="s">
        <v>3032</v>
      </c>
      <c r="D1276" s="105"/>
      <c r="E1276" s="62" t="s">
        <v>2493</v>
      </c>
      <c r="F1276" s="60"/>
      <c r="G1276" s="92"/>
      <c r="H1276" s="60"/>
      <c r="I1276" s="60"/>
      <c r="J1276" s="60"/>
      <c r="K1276" s="71" t="str">
        <f>VLOOKUP(E1276,'HEAD OF THE FAMILY'!$B$6:$J1851,9,FALSE)</f>
        <v>BLOCK 4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</row>
    <row r="1277">
      <c r="A1277" s="60">
        <f t="shared" si="5"/>
        <v>1272</v>
      </c>
      <c r="B1277" s="62" t="s">
        <v>3031</v>
      </c>
      <c r="C1277" s="62" t="s">
        <v>3034</v>
      </c>
      <c r="D1277" s="105"/>
      <c r="E1277" s="62" t="s">
        <v>2493</v>
      </c>
      <c r="F1277" s="60"/>
      <c r="G1277" s="92"/>
      <c r="H1277" s="60"/>
      <c r="I1277" s="60"/>
      <c r="J1277" s="60"/>
      <c r="K1277" s="71" t="str">
        <f>VLOOKUP(E1277,'HEAD OF THE FAMILY'!$B$6:$J1851,9,FALSE)</f>
        <v>BLOCK 4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</row>
    <row r="1278">
      <c r="A1278" s="60">
        <f t="shared" si="5"/>
        <v>1273</v>
      </c>
      <c r="B1278" s="62" t="s">
        <v>3031</v>
      </c>
      <c r="C1278" s="62" t="s">
        <v>3035</v>
      </c>
      <c r="D1278" s="105"/>
      <c r="E1278" s="62" t="s">
        <v>2493</v>
      </c>
      <c r="F1278" s="60"/>
      <c r="G1278" s="92"/>
      <c r="H1278" s="60"/>
      <c r="I1278" s="60"/>
      <c r="J1278" s="60"/>
      <c r="K1278" s="71" t="str">
        <f>VLOOKUP(E1278,'HEAD OF THE FAMILY'!$B$6:$J1851,9,FALSE)</f>
        <v>BLOCK 4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</row>
    <row r="1279">
      <c r="A1279" s="60">
        <f t="shared" si="5"/>
        <v>1274</v>
      </c>
      <c r="B1279" s="62" t="s">
        <v>3037</v>
      </c>
      <c r="C1279" s="62" t="s">
        <v>3038</v>
      </c>
      <c r="D1279" s="105"/>
      <c r="E1279" s="62" t="s">
        <v>2134</v>
      </c>
      <c r="F1279" s="60"/>
      <c r="G1279" s="92"/>
      <c r="H1279" s="60"/>
      <c r="I1279" s="60"/>
      <c r="J1279" s="60"/>
      <c r="K1279" s="71" t="str">
        <f>VLOOKUP(E1279,'HEAD OF THE FAMILY'!$B$6:$J1851,9,FALSE)</f>
        <v>BLOCK 4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</row>
    <row r="1280">
      <c r="A1280" s="60">
        <f t="shared" si="5"/>
        <v>1275</v>
      </c>
      <c r="B1280" s="62" t="s">
        <v>3037</v>
      </c>
      <c r="C1280" s="62" t="s">
        <v>3040</v>
      </c>
      <c r="D1280" s="105"/>
      <c r="E1280" s="62" t="s">
        <v>2134</v>
      </c>
      <c r="F1280" s="60"/>
      <c r="G1280" s="92"/>
      <c r="H1280" s="60"/>
      <c r="I1280" s="60"/>
      <c r="J1280" s="60"/>
      <c r="K1280" s="71" t="str">
        <f>VLOOKUP(E1280,'HEAD OF THE FAMILY'!$B$6:$J1851,9,FALSE)</f>
        <v>BLOCK 4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</row>
    <row r="1281">
      <c r="A1281" s="60">
        <f t="shared" si="5"/>
        <v>1276</v>
      </c>
      <c r="B1281" s="62" t="s">
        <v>3042</v>
      </c>
      <c r="C1281" s="62" t="s">
        <v>3043</v>
      </c>
      <c r="D1281" s="105"/>
      <c r="E1281" s="62" t="s">
        <v>2207</v>
      </c>
      <c r="F1281" s="60"/>
      <c r="G1281" s="92"/>
      <c r="H1281" s="60"/>
      <c r="I1281" s="60"/>
      <c r="J1281" s="60"/>
      <c r="K1281" s="71" t="str">
        <f>VLOOKUP(E1281,'HEAD OF THE FAMILY'!$B$6:$J1851,9,FALSE)</f>
        <v>BLOCK 4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</row>
    <row r="1282">
      <c r="A1282" s="60">
        <f t="shared" si="5"/>
        <v>1277</v>
      </c>
      <c r="B1282" s="62" t="s">
        <v>3042</v>
      </c>
      <c r="C1282" s="62" t="s">
        <v>3045</v>
      </c>
      <c r="D1282" s="105"/>
      <c r="E1282" s="62" t="s">
        <v>2207</v>
      </c>
      <c r="F1282" s="60"/>
      <c r="G1282" s="92"/>
      <c r="H1282" s="60"/>
      <c r="I1282" s="60"/>
      <c r="J1282" s="60"/>
      <c r="K1282" s="71" t="str">
        <f>VLOOKUP(E1282,'HEAD OF THE FAMILY'!$B$6:$J1851,9,FALSE)</f>
        <v>BLOCK 4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</row>
    <row r="1283">
      <c r="A1283" s="60">
        <f t="shared" si="5"/>
        <v>1278</v>
      </c>
      <c r="B1283" s="62" t="s">
        <v>3042</v>
      </c>
      <c r="C1283" s="62" t="s">
        <v>3046</v>
      </c>
      <c r="D1283" s="105"/>
      <c r="E1283" s="62" t="s">
        <v>2207</v>
      </c>
      <c r="F1283" s="60"/>
      <c r="G1283" s="92"/>
      <c r="H1283" s="60"/>
      <c r="I1283" s="60"/>
      <c r="J1283" s="60"/>
      <c r="K1283" s="71" t="str">
        <f>VLOOKUP(E1283,'HEAD OF THE FAMILY'!$B$6:$J1851,9,FALSE)</f>
        <v>BLOCK 4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</row>
    <row r="1284">
      <c r="A1284" s="60">
        <f t="shared" si="5"/>
        <v>1279</v>
      </c>
      <c r="B1284" s="62" t="s">
        <v>3042</v>
      </c>
      <c r="C1284" s="62" t="s">
        <v>3048</v>
      </c>
      <c r="D1284" s="105"/>
      <c r="E1284" s="62" t="s">
        <v>2207</v>
      </c>
      <c r="F1284" s="60"/>
      <c r="G1284" s="92"/>
      <c r="H1284" s="60"/>
      <c r="I1284" s="60"/>
      <c r="J1284" s="60"/>
      <c r="K1284" s="71" t="str">
        <f>VLOOKUP(E1284,'HEAD OF THE FAMILY'!$B$6:$J1851,9,FALSE)</f>
        <v>BLOCK 4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</row>
    <row r="1285">
      <c r="A1285" s="60">
        <f t="shared" si="5"/>
        <v>1280</v>
      </c>
      <c r="B1285" s="62" t="s">
        <v>3042</v>
      </c>
      <c r="C1285" s="62" t="s">
        <v>1840</v>
      </c>
      <c r="D1285" s="105"/>
      <c r="E1285" s="62" t="s">
        <v>2207</v>
      </c>
      <c r="F1285" s="60"/>
      <c r="G1285" s="92"/>
      <c r="H1285" s="60"/>
      <c r="I1285" s="60"/>
      <c r="J1285" s="60"/>
      <c r="K1285" s="71" t="str">
        <f>VLOOKUP(E1285,'HEAD OF THE FAMILY'!$B$6:$J1851,9,FALSE)</f>
        <v>BLOCK 4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</row>
    <row r="1286">
      <c r="A1286" s="60">
        <f t="shared" si="5"/>
        <v>1281</v>
      </c>
      <c r="B1286" s="62" t="s">
        <v>3042</v>
      </c>
      <c r="C1286" s="62" t="s">
        <v>3050</v>
      </c>
      <c r="D1286" s="105"/>
      <c r="E1286" s="62" t="s">
        <v>2207</v>
      </c>
      <c r="F1286" s="60"/>
      <c r="G1286" s="92"/>
      <c r="H1286" s="60"/>
      <c r="I1286" s="60"/>
      <c r="J1286" s="60"/>
      <c r="K1286" s="71" t="str">
        <f>VLOOKUP(E1286,'HEAD OF THE FAMILY'!$B$6:$J1851,9,FALSE)</f>
        <v>BLOCK 4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</row>
    <row r="1287">
      <c r="A1287" s="60">
        <f t="shared" si="5"/>
        <v>1282</v>
      </c>
      <c r="B1287" s="62" t="s">
        <v>3042</v>
      </c>
      <c r="C1287" s="62" t="s">
        <v>1793</v>
      </c>
      <c r="D1287" s="105"/>
      <c r="E1287" s="62" t="s">
        <v>714</v>
      </c>
      <c r="F1287" s="60"/>
      <c r="G1287" s="92"/>
      <c r="H1287" s="60"/>
      <c r="I1287" s="60"/>
      <c r="J1287" s="60"/>
      <c r="K1287" s="71" t="str">
        <f>VLOOKUP(E1287,'HEAD OF THE FAMILY'!$B$6:$J1851,9,FALSE)</f>
        <v>BLOCK 4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</row>
    <row r="1288">
      <c r="A1288" s="60">
        <f t="shared" si="5"/>
        <v>1283</v>
      </c>
      <c r="B1288" s="62" t="s">
        <v>3042</v>
      </c>
      <c r="C1288" s="62" t="s">
        <v>3053</v>
      </c>
      <c r="D1288" s="105"/>
      <c r="E1288" s="62" t="s">
        <v>714</v>
      </c>
      <c r="F1288" s="60"/>
      <c r="G1288" s="92"/>
      <c r="H1288" s="60"/>
      <c r="I1288" s="60"/>
      <c r="J1288" s="60"/>
      <c r="K1288" s="71" t="str">
        <f>VLOOKUP(E1288,'HEAD OF THE FAMILY'!$B$6:$J1851,9,FALSE)</f>
        <v>BLOCK 4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</row>
    <row r="1289">
      <c r="A1289" s="60">
        <f t="shared" si="5"/>
        <v>1284</v>
      </c>
      <c r="B1289" s="62" t="s">
        <v>3042</v>
      </c>
      <c r="C1289" s="62" t="s">
        <v>3055</v>
      </c>
      <c r="D1289" s="105"/>
      <c r="E1289" s="62" t="s">
        <v>714</v>
      </c>
      <c r="F1289" s="60"/>
      <c r="G1289" s="92"/>
      <c r="H1289" s="60"/>
      <c r="I1289" s="60"/>
      <c r="J1289" s="60"/>
      <c r="K1289" s="71" t="str">
        <f>VLOOKUP(E1289,'HEAD OF THE FAMILY'!$B$6:$J1851,9,FALSE)</f>
        <v>BLOCK 4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</row>
    <row r="1290">
      <c r="A1290" s="60">
        <f t="shared" si="5"/>
        <v>1285</v>
      </c>
      <c r="B1290" s="62" t="s">
        <v>3042</v>
      </c>
      <c r="C1290" s="62" t="s">
        <v>3056</v>
      </c>
      <c r="D1290" s="105"/>
      <c r="E1290" s="62" t="s">
        <v>714</v>
      </c>
      <c r="F1290" s="60"/>
      <c r="G1290" s="92"/>
      <c r="H1290" s="60"/>
      <c r="I1290" s="60"/>
      <c r="J1290" s="60"/>
      <c r="K1290" s="71" t="str">
        <f>VLOOKUP(E1290,'HEAD OF THE FAMILY'!$B$6:$J1851,9,FALSE)</f>
        <v>BLOCK 4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</row>
    <row r="1291">
      <c r="A1291" s="60">
        <f t="shared" si="5"/>
        <v>1286</v>
      </c>
      <c r="B1291" s="62" t="s">
        <v>3042</v>
      </c>
      <c r="C1291" s="62" t="s">
        <v>3058</v>
      </c>
      <c r="D1291" s="105"/>
      <c r="E1291" s="62" t="s">
        <v>714</v>
      </c>
      <c r="F1291" s="60"/>
      <c r="G1291" s="92"/>
      <c r="H1291" s="60"/>
      <c r="I1291" s="60"/>
      <c r="J1291" s="60"/>
      <c r="K1291" s="71" t="str">
        <f>VLOOKUP(E1291,'HEAD OF THE FAMILY'!$B$6:$J1851,9,FALSE)</f>
        <v>BLOCK 4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</row>
    <row r="1292">
      <c r="A1292" s="60">
        <f t="shared" si="5"/>
        <v>1287</v>
      </c>
      <c r="B1292" s="62" t="s">
        <v>3042</v>
      </c>
      <c r="C1292" s="62" t="s">
        <v>3059</v>
      </c>
      <c r="D1292" s="105"/>
      <c r="E1292" s="62" t="s">
        <v>714</v>
      </c>
      <c r="F1292" s="60"/>
      <c r="G1292" s="92"/>
      <c r="H1292" s="60"/>
      <c r="I1292" s="60"/>
      <c r="J1292" s="60"/>
      <c r="K1292" s="71" t="str">
        <f>VLOOKUP(E1292,'HEAD OF THE FAMILY'!$B$6:$J1851,9,FALSE)</f>
        <v>BLOCK 4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</row>
    <row r="1293">
      <c r="A1293" s="60">
        <f t="shared" si="5"/>
        <v>1288</v>
      </c>
      <c r="B1293" s="62" t="s">
        <v>3042</v>
      </c>
      <c r="C1293" s="62" t="s">
        <v>3061</v>
      </c>
      <c r="D1293" s="105"/>
      <c r="E1293" s="62" t="s">
        <v>714</v>
      </c>
      <c r="F1293" s="60"/>
      <c r="G1293" s="92"/>
      <c r="H1293" s="60"/>
      <c r="I1293" s="60"/>
      <c r="J1293" s="60"/>
      <c r="K1293" s="71" t="str">
        <f>VLOOKUP(E1293,'HEAD OF THE FAMILY'!$B$6:$J1851,9,FALSE)</f>
        <v>BLOCK 4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</row>
    <row r="1294">
      <c r="A1294" s="60">
        <f t="shared" si="5"/>
        <v>1289</v>
      </c>
      <c r="B1294" s="62" t="s">
        <v>3042</v>
      </c>
      <c r="C1294" s="62" t="s">
        <v>3063</v>
      </c>
      <c r="D1294" s="105"/>
      <c r="E1294" s="62" t="s">
        <v>714</v>
      </c>
      <c r="F1294" s="60"/>
      <c r="G1294" s="92"/>
      <c r="H1294" s="60"/>
      <c r="I1294" s="60"/>
      <c r="J1294" s="60"/>
      <c r="K1294" s="71" t="str">
        <f>VLOOKUP(E1294,'HEAD OF THE FAMILY'!$B$6:$J1851,9,FALSE)</f>
        <v>BLOCK 4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</row>
    <row r="1295">
      <c r="A1295" s="60">
        <f t="shared" si="5"/>
        <v>1290</v>
      </c>
      <c r="B1295" s="62" t="s">
        <v>3042</v>
      </c>
      <c r="C1295" s="62" t="s">
        <v>3064</v>
      </c>
      <c r="D1295" s="105"/>
      <c r="E1295" s="62" t="s">
        <v>714</v>
      </c>
      <c r="F1295" s="60"/>
      <c r="G1295" s="92"/>
      <c r="H1295" s="60"/>
      <c r="I1295" s="60"/>
      <c r="J1295" s="60"/>
      <c r="K1295" s="71" t="str">
        <f>VLOOKUP(E1295,'HEAD OF THE FAMILY'!$B$6:$J1851,9,FALSE)</f>
        <v>BLOCK 4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</row>
    <row r="1296">
      <c r="A1296" s="60">
        <f t="shared" si="5"/>
        <v>1291</v>
      </c>
      <c r="B1296" s="62" t="s">
        <v>3066</v>
      </c>
      <c r="C1296" s="62" t="s">
        <v>3067</v>
      </c>
      <c r="D1296" s="105"/>
      <c r="E1296" s="62" t="s">
        <v>2705</v>
      </c>
      <c r="F1296" s="60"/>
      <c r="G1296" s="92"/>
      <c r="H1296" s="60"/>
      <c r="I1296" s="60"/>
      <c r="J1296" s="60"/>
      <c r="K1296" s="71" t="str">
        <f>VLOOKUP(E1296,'HEAD OF THE FAMILY'!$B$6:$J1851,9,FALSE)</f>
        <v>BLOCK 4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</row>
    <row r="1297">
      <c r="A1297" s="60">
        <f t="shared" si="5"/>
        <v>1292</v>
      </c>
      <c r="B1297" s="62" t="s">
        <v>3068</v>
      </c>
      <c r="C1297" s="62" t="s">
        <v>3069</v>
      </c>
      <c r="D1297" s="105"/>
      <c r="E1297" s="62" t="s">
        <v>1875</v>
      </c>
      <c r="F1297" s="60"/>
      <c r="G1297" s="92"/>
      <c r="H1297" s="60"/>
      <c r="I1297" s="60"/>
      <c r="J1297" s="60"/>
      <c r="K1297" s="71" t="str">
        <f>VLOOKUP(E1297,'HEAD OF THE FAMILY'!$B$6:$J1851,9,FALSE)</f>
        <v>BLOCK 4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</row>
    <row r="1298">
      <c r="A1298" s="60">
        <f t="shared" si="5"/>
        <v>1293</v>
      </c>
      <c r="B1298" s="62" t="s">
        <v>3070</v>
      </c>
      <c r="C1298" s="62" t="s">
        <v>3071</v>
      </c>
      <c r="D1298" s="105"/>
      <c r="E1298" s="62" t="s">
        <v>1875</v>
      </c>
      <c r="F1298" s="60"/>
      <c r="G1298" s="92"/>
      <c r="H1298" s="60"/>
      <c r="I1298" s="60"/>
      <c r="J1298" s="60"/>
      <c r="K1298" s="71" t="str">
        <f>VLOOKUP(E1298,'HEAD OF THE FAMILY'!$B$6:$J1851,9,FALSE)</f>
        <v>BLOCK 4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</row>
    <row r="1299">
      <c r="A1299" s="60">
        <f t="shared" si="5"/>
        <v>1294</v>
      </c>
      <c r="B1299" s="62" t="s">
        <v>1734</v>
      </c>
      <c r="C1299" s="62" t="s">
        <v>3072</v>
      </c>
      <c r="D1299" s="105"/>
      <c r="E1299" s="62" t="s">
        <v>3039</v>
      </c>
      <c r="F1299" s="60"/>
      <c r="G1299" s="92"/>
      <c r="H1299" s="60"/>
      <c r="I1299" s="60"/>
      <c r="J1299" s="60"/>
      <c r="K1299" s="71" t="str">
        <f>VLOOKUP(E1299,'HEAD OF THE FAMILY'!$B$6:$J1851,9,FALSE)</f>
        <v>BLOCK 4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</row>
    <row r="1300">
      <c r="A1300" s="60">
        <f t="shared" si="5"/>
        <v>1295</v>
      </c>
      <c r="B1300" s="62" t="s">
        <v>1734</v>
      </c>
      <c r="C1300" s="62" t="s">
        <v>3073</v>
      </c>
      <c r="D1300" s="105"/>
      <c r="E1300" s="62" t="s">
        <v>3039</v>
      </c>
      <c r="F1300" s="60"/>
      <c r="G1300" s="92"/>
      <c r="H1300" s="60"/>
      <c r="I1300" s="60"/>
      <c r="J1300" s="60"/>
      <c r="K1300" s="71" t="str">
        <f>VLOOKUP(E1300,'HEAD OF THE FAMILY'!$B$6:$J1851,9,FALSE)</f>
        <v>BLOCK 4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</row>
    <row r="1301">
      <c r="A1301" s="60">
        <f t="shared" si="5"/>
        <v>1296</v>
      </c>
      <c r="B1301" s="62" t="s">
        <v>109</v>
      </c>
      <c r="C1301" s="62" t="s">
        <v>3074</v>
      </c>
      <c r="D1301" s="105"/>
      <c r="E1301" s="62" t="s">
        <v>2653</v>
      </c>
      <c r="F1301" s="60"/>
      <c r="G1301" s="92"/>
      <c r="H1301" s="60"/>
      <c r="I1301" s="60"/>
      <c r="J1301" s="60"/>
      <c r="K1301" s="71" t="str">
        <f>VLOOKUP(E1301,'HEAD OF THE FAMILY'!$B$6:$J1851,9,FALSE)</f>
        <v>BLK 46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</row>
    <row r="1302">
      <c r="A1302" s="60">
        <f t="shared" si="5"/>
        <v>1297</v>
      </c>
      <c r="B1302" s="62" t="s">
        <v>109</v>
      </c>
      <c r="C1302" s="62" t="s">
        <v>3075</v>
      </c>
      <c r="D1302" s="105"/>
      <c r="E1302" s="62" t="s">
        <v>2653</v>
      </c>
      <c r="F1302" s="60"/>
      <c r="G1302" s="92"/>
      <c r="H1302" s="60"/>
      <c r="I1302" s="60"/>
      <c r="J1302" s="60"/>
      <c r="K1302" s="71" t="str">
        <f>VLOOKUP(E1302,'HEAD OF THE FAMILY'!$B$6:$J1851,9,FALSE)</f>
        <v>BLK 46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</row>
    <row r="1303">
      <c r="A1303" s="60">
        <f t="shared" si="5"/>
        <v>1298</v>
      </c>
      <c r="B1303" s="62" t="s">
        <v>109</v>
      </c>
      <c r="C1303" s="62" t="s">
        <v>3076</v>
      </c>
      <c r="D1303" s="105"/>
      <c r="E1303" s="62" t="s">
        <v>2653</v>
      </c>
      <c r="F1303" s="60"/>
      <c r="G1303" s="92"/>
      <c r="H1303" s="60"/>
      <c r="I1303" s="60"/>
      <c r="J1303" s="60"/>
      <c r="K1303" s="71" t="str">
        <f>VLOOKUP(E1303,'HEAD OF THE FAMILY'!$B$6:$J1851,9,FALSE)</f>
        <v>BLK 46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</row>
    <row r="1304">
      <c r="A1304" s="60">
        <f t="shared" si="5"/>
        <v>1299</v>
      </c>
      <c r="B1304" s="62" t="s">
        <v>109</v>
      </c>
      <c r="C1304" s="62" t="s">
        <v>3078</v>
      </c>
      <c r="D1304" s="105"/>
      <c r="E1304" s="62" t="s">
        <v>2653</v>
      </c>
      <c r="F1304" s="60"/>
      <c r="G1304" s="92"/>
      <c r="H1304" s="60"/>
      <c r="I1304" s="60"/>
      <c r="J1304" s="60"/>
      <c r="K1304" s="71" t="str">
        <f>VLOOKUP(E1304,'HEAD OF THE FAMILY'!$B$6:$J1851,9,FALSE)</f>
        <v>BLK 46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</row>
    <row r="1305">
      <c r="A1305" s="60">
        <f t="shared" si="5"/>
        <v>1300</v>
      </c>
      <c r="B1305" s="62" t="s">
        <v>3079</v>
      </c>
      <c r="C1305" s="62" t="s">
        <v>3080</v>
      </c>
      <c r="D1305" s="105"/>
      <c r="E1305" s="62" t="s">
        <v>2658</v>
      </c>
      <c r="F1305" s="60"/>
      <c r="G1305" s="92"/>
      <c r="H1305" s="60"/>
      <c r="I1305" s="60"/>
      <c r="J1305" s="60"/>
      <c r="K1305" s="71" t="str">
        <f>VLOOKUP(E1305,'HEAD OF THE FAMILY'!$B$6:$J1851,9,FALSE)</f>
        <v>BLOCK 4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</row>
    <row r="1306">
      <c r="A1306" s="60">
        <f t="shared" si="5"/>
        <v>1301</v>
      </c>
      <c r="B1306" s="62" t="s">
        <v>3079</v>
      </c>
      <c r="C1306" s="62" t="s">
        <v>3081</v>
      </c>
      <c r="D1306" s="105"/>
      <c r="E1306" s="62" t="s">
        <v>2658</v>
      </c>
      <c r="F1306" s="60"/>
      <c r="G1306" s="92"/>
      <c r="H1306" s="60"/>
      <c r="I1306" s="60"/>
      <c r="J1306" s="60"/>
      <c r="K1306" s="71" t="str">
        <f>VLOOKUP(E1306,'HEAD OF THE FAMILY'!$B$6:$J1851,9,FALSE)</f>
        <v>BLOCK 4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</row>
    <row r="1307">
      <c r="A1307" s="60">
        <f t="shared" si="5"/>
        <v>1302</v>
      </c>
      <c r="B1307" s="62" t="s">
        <v>3079</v>
      </c>
      <c r="C1307" s="62" t="s">
        <v>3082</v>
      </c>
      <c r="D1307" s="105"/>
      <c r="E1307" s="62" t="s">
        <v>2658</v>
      </c>
      <c r="F1307" s="60"/>
      <c r="G1307" s="92"/>
      <c r="H1307" s="60"/>
      <c r="I1307" s="60"/>
      <c r="J1307" s="60"/>
      <c r="K1307" s="71" t="str">
        <f>VLOOKUP(E1307,'HEAD OF THE FAMILY'!$B$6:$J1851,9,FALSE)</f>
        <v>BLOCK 4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</row>
    <row r="1308">
      <c r="A1308" s="60">
        <f t="shared" si="5"/>
        <v>1303</v>
      </c>
      <c r="B1308" s="62" t="s">
        <v>248</v>
      </c>
      <c r="C1308" s="62" t="s">
        <v>3084</v>
      </c>
      <c r="D1308" s="62" t="s">
        <v>1883</v>
      </c>
      <c r="E1308" s="62" t="s">
        <v>288</v>
      </c>
      <c r="F1308" s="60"/>
      <c r="G1308" s="92"/>
      <c r="H1308" s="60"/>
      <c r="I1308" s="60"/>
      <c r="J1308" s="60"/>
      <c r="K1308" s="71" t="str">
        <f>VLOOKUP(E1308,'HEAD OF THE FAMILY'!$B$6:$J1851,9,FALSE)</f>
        <v>BLOCK 4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</row>
    <row r="1309">
      <c r="A1309" s="60">
        <f t="shared" si="5"/>
        <v>1304</v>
      </c>
      <c r="B1309" s="62" t="s">
        <v>3086</v>
      </c>
      <c r="C1309" s="62" t="s">
        <v>3087</v>
      </c>
      <c r="D1309" s="62" t="s">
        <v>1088</v>
      </c>
      <c r="E1309" s="62" t="s">
        <v>1062</v>
      </c>
      <c r="F1309" s="60"/>
      <c r="G1309" s="92"/>
      <c r="H1309" s="60"/>
      <c r="I1309" s="60"/>
      <c r="J1309" s="60"/>
      <c r="K1309" s="71" t="str">
        <f>VLOOKUP(E1309,'HEAD OF THE FAMILY'!$B$6:$J1851,9,FALSE)</f>
        <v>BLK 3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</row>
    <row r="1310">
      <c r="A1310" s="60">
        <f t="shared" si="5"/>
        <v>1305</v>
      </c>
      <c r="B1310" s="62" t="s">
        <v>3088</v>
      </c>
      <c r="C1310" s="62" t="s">
        <v>3089</v>
      </c>
      <c r="D1310" s="62" t="s">
        <v>58</v>
      </c>
      <c r="E1310" s="62" t="s">
        <v>839</v>
      </c>
      <c r="F1310" s="60"/>
      <c r="G1310" s="92"/>
      <c r="H1310" s="60"/>
      <c r="I1310" s="60"/>
      <c r="J1310" s="60"/>
      <c r="K1310" s="71" t="str">
        <f>VLOOKUP(E1310,'HEAD OF THE FAMILY'!$B$6:$J1851,9,FALSE)</f>
        <v>BLOCK 4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</row>
    <row r="1311">
      <c r="A1311" s="60">
        <f t="shared" si="5"/>
        <v>1306</v>
      </c>
      <c r="B1311" s="62" t="s">
        <v>3088</v>
      </c>
      <c r="C1311" s="62" t="s">
        <v>3090</v>
      </c>
      <c r="D1311" s="62" t="s">
        <v>58</v>
      </c>
      <c r="E1311" s="62" t="s">
        <v>839</v>
      </c>
      <c r="F1311" s="60"/>
      <c r="G1311" s="92"/>
      <c r="H1311" s="60"/>
      <c r="I1311" s="60"/>
      <c r="J1311" s="60"/>
      <c r="K1311" s="71" t="str">
        <f>VLOOKUP(E1311,'HEAD OF THE FAMILY'!$B$6:$J1851,9,FALSE)</f>
        <v>BLOCK 4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</row>
    <row r="1312">
      <c r="A1312" s="60">
        <f t="shared" si="5"/>
        <v>1307</v>
      </c>
      <c r="B1312" s="62" t="s">
        <v>3088</v>
      </c>
      <c r="C1312" s="62" t="s">
        <v>3091</v>
      </c>
      <c r="D1312" s="62" t="s">
        <v>58</v>
      </c>
      <c r="E1312" s="62" t="s">
        <v>839</v>
      </c>
      <c r="F1312" s="60"/>
      <c r="G1312" s="92"/>
      <c r="H1312" s="60"/>
      <c r="I1312" s="60"/>
      <c r="J1312" s="60"/>
      <c r="K1312" s="71" t="str">
        <f>VLOOKUP(E1312,'HEAD OF THE FAMILY'!$B$6:$J1851,9,FALSE)</f>
        <v>BLOCK 4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</row>
    <row r="1313">
      <c r="A1313" s="60">
        <f t="shared" si="5"/>
        <v>1308</v>
      </c>
      <c r="B1313" s="62" t="s">
        <v>3088</v>
      </c>
      <c r="C1313" s="62" t="s">
        <v>3092</v>
      </c>
      <c r="D1313" s="62" t="s">
        <v>58</v>
      </c>
      <c r="E1313" s="62" t="s">
        <v>839</v>
      </c>
      <c r="F1313" s="60"/>
      <c r="G1313" s="92"/>
      <c r="H1313" s="60"/>
      <c r="I1313" s="60"/>
      <c r="J1313" s="60"/>
      <c r="K1313" s="71" t="str">
        <f>VLOOKUP(E1313,'HEAD OF THE FAMILY'!$B$6:$J1851,9,FALSE)</f>
        <v>BLOCK 4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</row>
    <row r="1314">
      <c r="A1314" s="60">
        <f t="shared" si="5"/>
        <v>1309</v>
      </c>
      <c r="B1314" s="62" t="s">
        <v>3088</v>
      </c>
      <c r="C1314" s="62" t="s">
        <v>3093</v>
      </c>
      <c r="D1314" s="62" t="s">
        <v>58</v>
      </c>
      <c r="E1314" s="62" t="s">
        <v>839</v>
      </c>
      <c r="F1314" s="60"/>
      <c r="G1314" s="92"/>
      <c r="H1314" s="60"/>
      <c r="I1314" s="60"/>
      <c r="J1314" s="60"/>
      <c r="K1314" s="71" t="str">
        <f>VLOOKUP(E1314,'HEAD OF THE FAMILY'!$B$6:$J1851,9,FALSE)</f>
        <v>BLOCK 4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</row>
    <row r="1315">
      <c r="A1315" s="60">
        <f t="shared" si="5"/>
        <v>1310</v>
      </c>
      <c r="B1315" s="62" t="s">
        <v>3095</v>
      </c>
      <c r="C1315" s="62" t="s">
        <v>1874</v>
      </c>
      <c r="D1315" s="62" t="s">
        <v>657</v>
      </c>
      <c r="E1315" s="62" t="s">
        <v>82</v>
      </c>
      <c r="F1315" s="60"/>
      <c r="G1315" s="92"/>
      <c r="H1315" s="60"/>
      <c r="I1315" s="60"/>
      <c r="J1315" s="60"/>
      <c r="K1315" s="71" t="str">
        <f>VLOOKUP(E1315,'HEAD OF THE FAMILY'!$B$6:$J1851,9,FALSE)</f>
        <v>BLOCK 4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</row>
    <row r="1316">
      <c r="A1316" s="60">
        <f t="shared" si="5"/>
        <v>1311</v>
      </c>
      <c r="B1316" s="62" t="s">
        <v>3097</v>
      </c>
      <c r="C1316" s="62" t="s">
        <v>3098</v>
      </c>
      <c r="D1316" s="105"/>
      <c r="E1316" s="62" t="s">
        <v>199</v>
      </c>
      <c r="F1316" s="60"/>
      <c r="G1316" s="92"/>
      <c r="H1316" s="60"/>
      <c r="I1316" s="60"/>
      <c r="J1316" s="60"/>
      <c r="K1316" s="71" t="str">
        <f>VLOOKUP(E1316,'HEAD OF THE FAMILY'!$B$6:$J1851,9,FALSE)</f>
        <v>BLOCK 4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</row>
    <row r="1317">
      <c r="A1317" s="60">
        <f t="shared" si="5"/>
        <v>1312</v>
      </c>
      <c r="B1317" s="62" t="s">
        <v>3097</v>
      </c>
      <c r="C1317" s="62" t="s">
        <v>3099</v>
      </c>
      <c r="D1317" s="105"/>
      <c r="E1317" s="62" t="s">
        <v>199</v>
      </c>
      <c r="F1317" s="60"/>
      <c r="G1317" s="92"/>
      <c r="H1317" s="60"/>
      <c r="I1317" s="60"/>
      <c r="J1317" s="60"/>
      <c r="K1317" s="71" t="str">
        <f>VLOOKUP(E1317,'HEAD OF THE FAMILY'!$B$6:$J1851,9,FALSE)</f>
        <v>BLOCK 4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</row>
    <row r="1318">
      <c r="A1318" s="60">
        <f t="shared" si="5"/>
        <v>1313</v>
      </c>
      <c r="B1318" s="62" t="s">
        <v>3097</v>
      </c>
      <c r="C1318" s="62" t="s">
        <v>1666</v>
      </c>
      <c r="D1318" s="105"/>
      <c r="E1318" s="62" t="s">
        <v>268</v>
      </c>
      <c r="F1318" s="71" t="s">
        <v>9</v>
      </c>
      <c r="G1318" s="92"/>
      <c r="H1318" s="60"/>
      <c r="I1318" s="60"/>
      <c r="J1318" s="60"/>
      <c r="K1318" s="71" t="str">
        <f>VLOOKUP(E1318,'HEAD OF THE FAMILY'!$B$6:$J1851,9,FALSE)</f>
        <v>BLOCK 4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</row>
    <row r="1319">
      <c r="A1319" s="60">
        <f t="shared" si="5"/>
        <v>1314</v>
      </c>
      <c r="B1319" s="62" t="s">
        <v>3097</v>
      </c>
      <c r="C1319" s="62" t="s">
        <v>3102</v>
      </c>
      <c r="D1319" s="105"/>
      <c r="E1319" s="62" t="s">
        <v>2351</v>
      </c>
      <c r="F1319" s="60"/>
      <c r="G1319" s="92"/>
      <c r="H1319" s="60"/>
      <c r="I1319" s="60"/>
      <c r="J1319" s="60"/>
      <c r="K1319" s="71" t="str">
        <f>VLOOKUP(E1319,'HEAD OF THE FAMILY'!$B$6:$J1851,9,FALSE)</f>
        <v>BLOCK 4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</row>
    <row r="1320">
      <c r="A1320" s="60">
        <f t="shared" si="5"/>
        <v>1315</v>
      </c>
      <c r="B1320" s="62" t="s">
        <v>2694</v>
      </c>
      <c r="C1320" s="62" t="s">
        <v>3104</v>
      </c>
      <c r="D1320" s="105"/>
      <c r="E1320" s="62" t="s">
        <v>1932</v>
      </c>
      <c r="F1320" s="60"/>
      <c r="G1320" s="92"/>
      <c r="H1320" s="60"/>
      <c r="I1320" s="60"/>
      <c r="J1320" s="60"/>
      <c r="K1320" s="71" t="str">
        <f>VLOOKUP(E1320,'HEAD OF THE FAMILY'!$B$6:$J1851,9,FALSE)</f>
        <v>BLOCK 4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</row>
    <row r="1321">
      <c r="A1321" s="60">
        <f t="shared" si="5"/>
        <v>1316</v>
      </c>
      <c r="B1321" s="62" t="s">
        <v>2694</v>
      </c>
      <c r="C1321" s="62" t="s">
        <v>3106</v>
      </c>
      <c r="D1321" s="105"/>
      <c r="E1321" s="62" t="s">
        <v>1932</v>
      </c>
      <c r="F1321" s="60"/>
      <c r="G1321" s="92"/>
      <c r="H1321" s="60"/>
      <c r="I1321" s="60"/>
      <c r="J1321" s="60"/>
      <c r="K1321" s="71" t="str">
        <f>VLOOKUP(E1321,'HEAD OF THE FAMILY'!$B$6:$J1851,9,FALSE)</f>
        <v>BLOCK 4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</row>
    <row r="1322">
      <c r="A1322" s="60">
        <f t="shared" si="5"/>
        <v>1317</v>
      </c>
      <c r="B1322" s="62" t="s">
        <v>3095</v>
      </c>
      <c r="C1322" s="62" t="s">
        <v>140</v>
      </c>
      <c r="D1322" s="105"/>
      <c r="E1322" s="62" t="s">
        <v>1932</v>
      </c>
      <c r="F1322" s="60"/>
      <c r="G1322" s="92"/>
      <c r="H1322" s="60"/>
      <c r="I1322" s="60"/>
      <c r="J1322" s="60"/>
      <c r="K1322" s="71" t="str">
        <f>VLOOKUP(E1322,'HEAD OF THE FAMILY'!$B$6:$J1851,9,FALSE)</f>
        <v>BLOCK 4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</row>
    <row r="1323">
      <c r="A1323" s="60">
        <f t="shared" si="5"/>
        <v>1318</v>
      </c>
      <c r="B1323" s="62" t="s">
        <v>955</v>
      </c>
      <c r="C1323" s="62" t="s">
        <v>3095</v>
      </c>
      <c r="D1323" s="105"/>
      <c r="E1323" s="62" t="s">
        <v>1932</v>
      </c>
      <c r="F1323" s="60"/>
      <c r="G1323" s="92"/>
      <c r="H1323" s="60"/>
      <c r="I1323" s="60"/>
      <c r="J1323" s="60"/>
      <c r="K1323" s="71" t="str">
        <f>VLOOKUP(E1323,'HEAD OF THE FAMILY'!$B$6:$J1851,9,FALSE)</f>
        <v>BLOCK 4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</row>
    <row r="1324">
      <c r="A1324" s="60">
        <f t="shared" si="5"/>
        <v>1319</v>
      </c>
      <c r="B1324" s="62" t="s">
        <v>3108</v>
      </c>
      <c r="C1324" s="62" t="s">
        <v>3095</v>
      </c>
      <c r="D1324" s="105"/>
      <c r="E1324" s="62" t="s">
        <v>1932</v>
      </c>
      <c r="F1324" s="60"/>
      <c r="G1324" s="92"/>
      <c r="H1324" s="60"/>
      <c r="I1324" s="60"/>
      <c r="J1324" s="60"/>
      <c r="K1324" s="71" t="str">
        <f>VLOOKUP(E1324,'HEAD OF THE FAMILY'!$B$6:$J1851,9,FALSE)</f>
        <v>BLOCK 4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</row>
    <row r="1325">
      <c r="A1325" s="60">
        <f t="shared" si="5"/>
        <v>1320</v>
      </c>
      <c r="B1325" s="62" t="s">
        <v>3095</v>
      </c>
      <c r="C1325" s="62" t="s">
        <v>2265</v>
      </c>
      <c r="D1325" s="105"/>
      <c r="E1325" s="62" t="s">
        <v>1932</v>
      </c>
      <c r="F1325" s="60"/>
      <c r="G1325" s="92"/>
      <c r="H1325" s="60"/>
      <c r="I1325" s="60"/>
      <c r="J1325" s="60"/>
      <c r="K1325" s="71" t="str">
        <f>VLOOKUP(E1325,'HEAD OF THE FAMILY'!$B$6:$J1851,9,FALSE)</f>
        <v>BLOCK 4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</row>
    <row r="1326">
      <c r="A1326" s="60">
        <f t="shared" si="5"/>
        <v>1321</v>
      </c>
      <c r="B1326" s="62" t="s">
        <v>3110</v>
      </c>
      <c r="C1326" s="62" t="s">
        <v>3111</v>
      </c>
      <c r="D1326" s="105"/>
      <c r="E1326" s="62" t="s">
        <v>1000</v>
      </c>
      <c r="F1326" s="60"/>
      <c r="G1326" s="92"/>
      <c r="H1326" s="60"/>
      <c r="I1326" s="60"/>
      <c r="J1326" s="60"/>
      <c r="K1326" s="71" t="str">
        <f>VLOOKUP(E1326,'HEAD OF THE FAMILY'!$B$6:$J1851,9,FALSE)</f>
        <v>BLOCK 4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</row>
    <row r="1327">
      <c r="A1327" s="60">
        <f t="shared" si="5"/>
        <v>1322</v>
      </c>
      <c r="B1327" s="62" t="s">
        <v>3110</v>
      </c>
      <c r="C1327" s="62" t="s">
        <v>3113</v>
      </c>
      <c r="D1327" s="105"/>
      <c r="E1327" s="62" t="s">
        <v>1000</v>
      </c>
      <c r="F1327" s="60"/>
      <c r="G1327" s="92"/>
      <c r="H1327" s="60"/>
      <c r="I1327" s="60"/>
      <c r="J1327" s="60"/>
      <c r="K1327" s="71" t="str">
        <f>VLOOKUP(E1327,'HEAD OF THE FAMILY'!$B$6:$J1851,9,FALSE)</f>
        <v>BLOCK 4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</row>
    <row r="1328">
      <c r="A1328" s="60">
        <f t="shared" si="5"/>
        <v>1323</v>
      </c>
      <c r="B1328" s="62" t="s">
        <v>3115</v>
      </c>
      <c r="C1328" s="62" t="s">
        <v>3116</v>
      </c>
      <c r="D1328" s="105"/>
      <c r="E1328" s="62" t="s">
        <v>1000</v>
      </c>
      <c r="F1328" s="60"/>
      <c r="G1328" s="92"/>
      <c r="H1328" s="60"/>
      <c r="I1328" s="60"/>
      <c r="J1328" s="60"/>
      <c r="K1328" s="71" t="str">
        <f>VLOOKUP(E1328,'HEAD OF THE FAMILY'!$B$6:$J1851,9,FALSE)</f>
        <v>BLOCK 4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</row>
    <row r="1329">
      <c r="A1329" s="60">
        <f t="shared" si="5"/>
        <v>1324</v>
      </c>
      <c r="B1329" s="62" t="s">
        <v>3110</v>
      </c>
      <c r="C1329" s="62" t="s">
        <v>3117</v>
      </c>
      <c r="D1329" s="62" t="s">
        <v>1346</v>
      </c>
      <c r="E1329" s="62" t="s">
        <v>1019</v>
      </c>
      <c r="F1329" s="60"/>
      <c r="G1329" s="92"/>
      <c r="H1329" s="60"/>
      <c r="I1329" s="60"/>
      <c r="J1329" s="60"/>
      <c r="K1329" s="71" t="str">
        <f>VLOOKUP(E1329,'HEAD OF THE FAMILY'!$B$6:$J1851,9,FALSE)</f>
        <v>BLOCK 4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</row>
    <row r="1330">
      <c r="A1330" s="60">
        <f t="shared" si="5"/>
        <v>1325</v>
      </c>
      <c r="B1330" s="62" t="s">
        <v>3110</v>
      </c>
      <c r="C1330" s="62" t="s">
        <v>3118</v>
      </c>
      <c r="D1330" s="62" t="s">
        <v>1346</v>
      </c>
      <c r="E1330" s="62" t="s">
        <v>1019</v>
      </c>
      <c r="F1330" s="60"/>
      <c r="G1330" s="92"/>
      <c r="H1330" s="60"/>
      <c r="I1330" s="60"/>
      <c r="J1330" s="60"/>
      <c r="K1330" s="71" t="str">
        <f>VLOOKUP(E1330,'HEAD OF THE FAMILY'!$B$6:$J1851,9,FALSE)</f>
        <v>BLOCK 4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</row>
    <row r="1331">
      <c r="A1331" s="60">
        <f t="shared" si="5"/>
        <v>1326</v>
      </c>
      <c r="B1331" s="62" t="s">
        <v>3110</v>
      </c>
      <c r="C1331" s="62" t="s">
        <v>3119</v>
      </c>
      <c r="D1331" s="62" t="s">
        <v>1346</v>
      </c>
      <c r="E1331" s="62" t="s">
        <v>1019</v>
      </c>
      <c r="F1331" s="60"/>
      <c r="G1331" s="92"/>
      <c r="H1331" s="60"/>
      <c r="I1331" s="60"/>
      <c r="J1331" s="60"/>
      <c r="K1331" s="71" t="str">
        <f>VLOOKUP(E1331,'HEAD OF THE FAMILY'!$B$6:$J1851,9,FALSE)</f>
        <v>BLOCK 4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</row>
    <row r="1332">
      <c r="A1332" s="60">
        <f t="shared" si="5"/>
        <v>1327</v>
      </c>
      <c r="B1332" s="62" t="s">
        <v>3120</v>
      </c>
      <c r="C1332" s="62" t="s">
        <v>3121</v>
      </c>
      <c r="D1332" s="62" t="s">
        <v>95</v>
      </c>
      <c r="E1332" s="62" t="s">
        <v>2503</v>
      </c>
      <c r="F1332" s="60"/>
      <c r="G1332" s="92"/>
      <c r="H1332" s="60"/>
      <c r="I1332" s="60"/>
      <c r="J1332" s="60"/>
      <c r="K1332" s="71" t="str">
        <f>VLOOKUP(E1332,'HEAD OF THE FAMILY'!$B$6:$J1851,9,FALSE)</f>
        <v>BLOCK 4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</row>
    <row r="1333">
      <c r="A1333" s="60">
        <f t="shared" si="5"/>
        <v>1328</v>
      </c>
      <c r="B1333" s="62" t="s">
        <v>3120</v>
      </c>
      <c r="C1333" s="62" t="s">
        <v>3122</v>
      </c>
      <c r="D1333" s="62" t="s">
        <v>95</v>
      </c>
      <c r="E1333" s="62" t="s">
        <v>2503</v>
      </c>
      <c r="F1333" s="60"/>
      <c r="G1333" s="92"/>
      <c r="H1333" s="60"/>
      <c r="I1333" s="60"/>
      <c r="J1333" s="60"/>
      <c r="K1333" s="71" t="str">
        <f>VLOOKUP(E1333,'HEAD OF THE FAMILY'!$B$6:$J1851,9,FALSE)</f>
        <v>BLOCK 4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</row>
    <row r="1334">
      <c r="A1334" s="60">
        <f t="shared" si="5"/>
        <v>1329</v>
      </c>
      <c r="B1334" s="62" t="s">
        <v>3120</v>
      </c>
      <c r="C1334" s="62" t="s">
        <v>3123</v>
      </c>
      <c r="D1334" s="62" t="s">
        <v>95</v>
      </c>
      <c r="E1334" s="62" t="s">
        <v>2503</v>
      </c>
      <c r="F1334" s="60"/>
      <c r="G1334" s="92"/>
      <c r="H1334" s="60"/>
      <c r="I1334" s="60"/>
      <c r="J1334" s="60"/>
      <c r="K1334" s="71" t="str">
        <f>VLOOKUP(E1334,'HEAD OF THE FAMILY'!$B$6:$J1851,9,FALSE)</f>
        <v>BLOCK 4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</row>
    <row r="1335">
      <c r="A1335" s="60">
        <f t="shared" si="5"/>
        <v>1330</v>
      </c>
      <c r="B1335" s="62" t="s">
        <v>3120</v>
      </c>
      <c r="C1335" s="62" t="s">
        <v>3124</v>
      </c>
      <c r="D1335" s="62" t="s">
        <v>95</v>
      </c>
      <c r="E1335" s="62" t="s">
        <v>2503</v>
      </c>
      <c r="F1335" s="60"/>
      <c r="G1335" s="92"/>
      <c r="H1335" s="60"/>
      <c r="I1335" s="60"/>
      <c r="J1335" s="60"/>
      <c r="K1335" s="71" t="str">
        <f>VLOOKUP(E1335,'HEAD OF THE FAMILY'!$B$6:$J1851,9,FALSE)</f>
        <v>BLOCK 4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</row>
    <row r="1336">
      <c r="A1336" s="60">
        <f t="shared" si="5"/>
        <v>1331</v>
      </c>
      <c r="B1336" s="62" t="s">
        <v>3120</v>
      </c>
      <c r="C1336" s="62" t="s">
        <v>3125</v>
      </c>
      <c r="D1336" s="62" t="s">
        <v>71</v>
      </c>
      <c r="E1336" s="62" t="s">
        <v>2506</v>
      </c>
      <c r="F1336" s="60"/>
      <c r="G1336" s="92"/>
      <c r="H1336" s="60"/>
      <c r="I1336" s="60"/>
      <c r="J1336" s="60"/>
      <c r="K1336" s="71" t="str">
        <f>VLOOKUP(E1336,'HEAD OF THE FAMILY'!$B$6:$J1851,9,FALSE)</f>
        <v>BLOCK 4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</row>
    <row r="1337">
      <c r="A1337" s="60">
        <f t="shared" si="5"/>
        <v>1332</v>
      </c>
      <c r="B1337" s="62" t="s">
        <v>3120</v>
      </c>
      <c r="C1337" s="62" t="s">
        <v>3126</v>
      </c>
      <c r="D1337" s="62" t="s">
        <v>71</v>
      </c>
      <c r="E1337" s="62" t="s">
        <v>2506</v>
      </c>
      <c r="F1337" s="60"/>
      <c r="G1337" s="92"/>
      <c r="H1337" s="60"/>
      <c r="I1337" s="60"/>
      <c r="J1337" s="60"/>
      <c r="K1337" s="71" t="str">
        <f>VLOOKUP(E1337,'HEAD OF THE FAMILY'!$B$6:$J1851,9,FALSE)</f>
        <v>BLOCK 4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</row>
    <row r="1338">
      <c r="A1338" s="60">
        <f t="shared" si="5"/>
        <v>1333</v>
      </c>
      <c r="B1338" s="62" t="s">
        <v>3120</v>
      </c>
      <c r="C1338" s="62" t="s">
        <v>3127</v>
      </c>
      <c r="D1338" s="62" t="s">
        <v>71</v>
      </c>
      <c r="E1338" s="62" t="s">
        <v>2506</v>
      </c>
      <c r="F1338" s="60"/>
      <c r="G1338" s="92"/>
      <c r="H1338" s="60"/>
      <c r="I1338" s="60"/>
      <c r="J1338" s="60"/>
      <c r="K1338" s="71" t="str">
        <f>VLOOKUP(E1338,'HEAD OF THE FAMILY'!$B$6:$J1851,9,FALSE)</f>
        <v>BLOCK 4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</row>
    <row r="1339">
      <c r="A1339" s="60">
        <f t="shared" si="5"/>
        <v>1334</v>
      </c>
      <c r="B1339" s="62" t="s">
        <v>3120</v>
      </c>
      <c r="C1339" s="62" t="s">
        <v>3129</v>
      </c>
      <c r="D1339" s="62" t="s">
        <v>71</v>
      </c>
      <c r="E1339" s="62" t="s">
        <v>2506</v>
      </c>
      <c r="F1339" s="60"/>
      <c r="G1339" s="92"/>
      <c r="H1339" s="60"/>
      <c r="I1339" s="60"/>
      <c r="J1339" s="60"/>
      <c r="K1339" s="71" t="str">
        <f>VLOOKUP(E1339,'HEAD OF THE FAMILY'!$B$6:$J1851,9,FALSE)</f>
        <v>BLOCK 4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</row>
    <row r="1340">
      <c r="A1340" s="60">
        <f t="shared" si="5"/>
        <v>1335</v>
      </c>
      <c r="B1340" s="62" t="s">
        <v>3120</v>
      </c>
      <c r="C1340" s="62" t="s">
        <v>3131</v>
      </c>
      <c r="D1340" s="62" t="s">
        <v>71</v>
      </c>
      <c r="E1340" s="62" t="s">
        <v>2506</v>
      </c>
      <c r="F1340" s="60"/>
      <c r="G1340" s="92"/>
      <c r="H1340" s="60"/>
      <c r="I1340" s="60"/>
      <c r="J1340" s="60"/>
      <c r="K1340" s="71" t="str">
        <f>VLOOKUP(E1340,'HEAD OF THE FAMILY'!$B$6:$J1851,9,FALSE)</f>
        <v>BLOCK 4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</row>
    <row r="1341">
      <c r="A1341" s="60">
        <f t="shared" si="5"/>
        <v>1336</v>
      </c>
      <c r="B1341" s="62" t="s">
        <v>3132</v>
      </c>
      <c r="C1341" s="62" t="s">
        <v>3133</v>
      </c>
      <c r="D1341" s="105"/>
      <c r="E1341" s="62" t="s">
        <v>1190</v>
      </c>
      <c r="F1341" s="60"/>
      <c r="G1341" s="92"/>
      <c r="H1341" s="60"/>
      <c r="I1341" s="60"/>
      <c r="J1341" s="60"/>
      <c r="K1341" s="71" t="str">
        <f>VLOOKUP(E1341,'HEAD OF THE FAMILY'!$B$6:$J1851,9,FALSE)</f>
        <v>BLOCK 4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</row>
    <row r="1342">
      <c r="A1342" s="60">
        <f t="shared" si="5"/>
        <v>1337</v>
      </c>
      <c r="B1342" s="62" t="s">
        <v>3132</v>
      </c>
      <c r="C1342" s="62" t="s">
        <v>3134</v>
      </c>
      <c r="D1342" s="105"/>
      <c r="E1342" s="62" t="s">
        <v>1190</v>
      </c>
      <c r="F1342" s="60"/>
      <c r="G1342" s="92"/>
      <c r="H1342" s="60"/>
      <c r="I1342" s="60"/>
      <c r="J1342" s="60"/>
      <c r="K1342" s="71" t="str">
        <f>VLOOKUP(E1342,'HEAD OF THE FAMILY'!$B$6:$J1851,9,FALSE)</f>
        <v>BLOCK 4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</row>
    <row r="1343">
      <c r="A1343" s="60">
        <f t="shared" si="5"/>
        <v>1338</v>
      </c>
      <c r="B1343" s="62" t="s">
        <v>3132</v>
      </c>
      <c r="C1343" s="62" t="s">
        <v>795</v>
      </c>
      <c r="D1343" s="105"/>
      <c r="E1343" s="62" t="s">
        <v>1190</v>
      </c>
      <c r="F1343" s="60"/>
      <c r="G1343" s="92"/>
      <c r="H1343" s="60"/>
      <c r="I1343" s="60"/>
      <c r="J1343" s="60"/>
      <c r="K1343" s="71" t="str">
        <f>VLOOKUP(E1343,'HEAD OF THE FAMILY'!$B$6:$J1851,9,FALSE)</f>
        <v>BLOCK 4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</row>
    <row r="1344">
      <c r="A1344" s="60">
        <f t="shared" si="5"/>
        <v>1339</v>
      </c>
      <c r="B1344" s="62" t="s">
        <v>1311</v>
      </c>
      <c r="C1344" s="62" t="s">
        <v>3073</v>
      </c>
      <c r="D1344" s="62" t="s">
        <v>85</v>
      </c>
      <c r="E1344" s="62" t="s">
        <v>1486</v>
      </c>
      <c r="F1344" s="60"/>
      <c r="G1344" s="92"/>
      <c r="H1344" s="60"/>
      <c r="I1344" s="60"/>
      <c r="J1344" s="60"/>
      <c r="K1344" s="71" t="str">
        <f>VLOOKUP(E1344,'HEAD OF THE FAMILY'!$B$6:$J1851,9,FALSE)</f>
        <v>BLK 45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</row>
    <row r="1345">
      <c r="A1345" s="60">
        <f t="shared" si="5"/>
        <v>1340</v>
      </c>
      <c r="B1345" s="62" t="s">
        <v>1311</v>
      </c>
      <c r="C1345" s="62" t="s">
        <v>3139</v>
      </c>
      <c r="D1345" s="62" t="s">
        <v>1508</v>
      </c>
      <c r="E1345" s="62" t="s">
        <v>1486</v>
      </c>
      <c r="F1345" s="60"/>
      <c r="G1345" s="92"/>
      <c r="H1345" s="60"/>
      <c r="I1345" s="60"/>
      <c r="J1345" s="60"/>
      <c r="K1345" s="71" t="str">
        <f>VLOOKUP(E1345,'HEAD OF THE FAMILY'!$B$6:$J1851,9,FALSE)</f>
        <v>BLK 45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</row>
    <row r="1346">
      <c r="A1346" s="60">
        <f t="shared" si="5"/>
        <v>1341</v>
      </c>
      <c r="B1346" s="62" t="s">
        <v>3141</v>
      </c>
      <c r="C1346" s="62" t="s">
        <v>3142</v>
      </c>
      <c r="D1346" s="62" t="s">
        <v>85</v>
      </c>
      <c r="E1346" s="62" t="s">
        <v>697</v>
      </c>
      <c r="F1346" s="71" t="s">
        <v>9</v>
      </c>
      <c r="G1346" s="92"/>
      <c r="H1346" s="60"/>
      <c r="I1346" s="60"/>
      <c r="J1346" s="60"/>
      <c r="K1346" s="71" t="str">
        <f>VLOOKUP(E1346,'HEAD OF THE FAMILY'!$B$6:$J1851,9,FALSE)</f>
        <v>BLK 45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</row>
    <row r="1347">
      <c r="A1347" s="60">
        <f t="shared" si="5"/>
        <v>1342</v>
      </c>
      <c r="B1347" s="62" t="s">
        <v>3141</v>
      </c>
      <c r="C1347" s="62" t="s">
        <v>3143</v>
      </c>
      <c r="D1347" s="62" t="s">
        <v>85</v>
      </c>
      <c r="E1347" s="62" t="s">
        <v>697</v>
      </c>
      <c r="F1347" s="60"/>
      <c r="G1347" s="92"/>
      <c r="H1347" s="60"/>
      <c r="I1347" s="60"/>
      <c r="J1347" s="60"/>
      <c r="K1347" s="71" t="str">
        <f>VLOOKUP(E1347,'HEAD OF THE FAMILY'!$B$6:$J1851,9,FALSE)</f>
        <v>BLK 45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</row>
    <row r="1348">
      <c r="A1348" s="60">
        <f t="shared" si="5"/>
        <v>1343</v>
      </c>
      <c r="B1348" s="62" t="s">
        <v>3141</v>
      </c>
      <c r="C1348" s="62" t="s">
        <v>3144</v>
      </c>
      <c r="D1348" s="62" t="s">
        <v>85</v>
      </c>
      <c r="E1348" s="62" t="s">
        <v>697</v>
      </c>
      <c r="F1348" s="60"/>
      <c r="G1348" s="92"/>
      <c r="H1348" s="60"/>
      <c r="I1348" s="60"/>
      <c r="J1348" s="60"/>
      <c r="K1348" s="71" t="str">
        <f>VLOOKUP(E1348,'HEAD OF THE FAMILY'!$B$6:$J1851,9,FALSE)</f>
        <v>BLK 45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</row>
    <row r="1349">
      <c r="A1349" s="60">
        <f t="shared" si="5"/>
        <v>1344</v>
      </c>
      <c r="B1349" s="62" t="s">
        <v>3141</v>
      </c>
      <c r="C1349" s="62" t="s">
        <v>3145</v>
      </c>
      <c r="D1349" s="62" t="s">
        <v>85</v>
      </c>
      <c r="E1349" s="62" t="s">
        <v>697</v>
      </c>
      <c r="F1349" s="60"/>
      <c r="G1349" s="92"/>
      <c r="H1349" s="60"/>
      <c r="I1349" s="60"/>
      <c r="J1349" s="60"/>
      <c r="K1349" s="71" t="str">
        <f>VLOOKUP(E1349,'HEAD OF THE FAMILY'!$B$6:$J1851,9,FALSE)</f>
        <v>BLK 45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</row>
    <row r="1350">
      <c r="A1350" s="60">
        <f t="shared" si="5"/>
        <v>1345</v>
      </c>
      <c r="B1350" s="62" t="s">
        <v>1519</v>
      </c>
      <c r="C1350" s="62" t="s">
        <v>3147</v>
      </c>
      <c r="D1350" s="62" t="s">
        <v>119</v>
      </c>
      <c r="E1350" s="62" t="s">
        <v>621</v>
      </c>
      <c r="F1350" s="60"/>
      <c r="G1350" s="92"/>
      <c r="H1350" s="60"/>
      <c r="I1350" s="60"/>
      <c r="J1350" s="60"/>
      <c r="K1350" s="71" t="str">
        <f>VLOOKUP(E1350,'HEAD OF THE FAMILY'!$B$6:$J1851,9,FALSE)</f>
        <v>BLK 45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</row>
    <row r="1351">
      <c r="A1351" s="60">
        <f t="shared" si="5"/>
        <v>1346</v>
      </c>
      <c r="B1351" s="62" t="s">
        <v>1519</v>
      </c>
      <c r="C1351" s="62" t="s">
        <v>3148</v>
      </c>
      <c r="D1351" s="62" t="s">
        <v>119</v>
      </c>
      <c r="E1351" s="62" t="s">
        <v>621</v>
      </c>
      <c r="F1351" s="60"/>
      <c r="G1351" s="92"/>
      <c r="H1351" s="60"/>
      <c r="I1351" s="60"/>
      <c r="J1351" s="60"/>
      <c r="K1351" s="71" t="str">
        <f>VLOOKUP(E1351,'HEAD OF THE FAMILY'!$B$6:$J1851,9,FALSE)</f>
        <v>BLK 45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</row>
    <row r="1352">
      <c r="A1352" s="60">
        <f t="shared" si="5"/>
        <v>1347</v>
      </c>
      <c r="B1352" s="62" t="s">
        <v>1519</v>
      </c>
      <c r="C1352" s="62" t="s">
        <v>1840</v>
      </c>
      <c r="D1352" s="62" t="s">
        <v>119</v>
      </c>
      <c r="E1352" s="62" t="s">
        <v>671</v>
      </c>
      <c r="F1352" s="60"/>
      <c r="G1352" s="92"/>
      <c r="H1352" s="60"/>
      <c r="I1352" s="60"/>
      <c r="J1352" s="60"/>
      <c r="K1352" s="71" t="str">
        <f>VLOOKUP(E1352,'HEAD OF THE FAMILY'!$B$6:$J1851,9,FALSE)</f>
        <v>BLK 45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</row>
    <row r="1353">
      <c r="A1353" s="60">
        <f t="shared" si="5"/>
        <v>1348</v>
      </c>
      <c r="B1353" s="62" t="s">
        <v>1519</v>
      </c>
      <c r="C1353" s="62" t="s">
        <v>159</v>
      </c>
      <c r="D1353" s="62" t="s">
        <v>119</v>
      </c>
      <c r="E1353" s="62" t="s">
        <v>671</v>
      </c>
      <c r="F1353" s="60"/>
      <c r="G1353" s="92"/>
      <c r="H1353" s="60"/>
      <c r="I1353" s="60"/>
      <c r="J1353" s="60"/>
      <c r="K1353" s="71" t="str">
        <f>VLOOKUP(E1353,'HEAD OF THE FAMILY'!$B$6:$J1851,9,FALSE)</f>
        <v>BLK 45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</row>
    <row r="1354">
      <c r="A1354" s="60">
        <f t="shared" si="5"/>
        <v>1349</v>
      </c>
      <c r="B1354" s="62" t="s">
        <v>1519</v>
      </c>
      <c r="C1354" s="62" t="s">
        <v>3149</v>
      </c>
      <c r="D1354" s="105"/>
      <c r="E1354" s="62" t="s">
        <v>1429</v>
      </c>
      <c r="F1354" s="60"/>
      <c r="G1354" s="92"/>
      <c r="H1354" s="60"/>
      <c r="I1354" s="60"/>
      <c r="J1354" s="60"/>
      <c r="K1354" s="71" t="str">
        <f>VLOOKUP(E1354,'HEAD OF THE FAMILY'!$B$6:$J1851,9,FALSE)</f>
        <v>BLK 45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</row>
    <row r="1355">
      <c r="A1355" s="60">
        <f t="shared" si="5"/>
        <v>1350</v>
      </c>
      <c r="B1355" s="62" t="s">
        <v>1519</v>
      </c>
      <c r="C1355" s="62" t="s">
        <v>3150</v>
      </c>
      <c r="D1355" s="105"/>
      <c r="E1355" s="62" t="s">
        <v>1688</v>
      </c>
      <c r="F1355" s="60"/>
      <c r="G1355" s="92"/>
      <c r="H1355" s="60"/>
      <c r="I1355" s="60"/>
      <c r="J1355" s="60"/>
      <c r="K1355" s="71" t="str">
        <f>VLOOKUP(E1355,'HEAD OF THE FAMILY'!$B$6:$J1851,9,FALSE)</f>
        <v>BLK 45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</row>
    <row r="1356">
      <c r="A1356" s="60">
        <f t="shared" si="5"/>
        <v>1351</v>
      </c>
      <c r="B1356" s="62" t="s">
        <v>1789</v>
      </c>
      <c r="C1356" s="62" t="s">
        <v>178</v>
      </c>
      <c r="D1356" s="105"/>
      <c r="E1356" s="62" t="s">
        <v>1022</v>
      </c>
      <c r="F1356" s="71" t="s">
        <v>69</v>
      </c>
      <c r="G1356" s="92"/>
      <c r="H1356" s="60"/>
      <c r="I1356" s="60"/>
      <c r="J1356" s="60"/>
      <c r="K1356" s="71" t="str">
        <f>VLOOKUP(E1356,'HEAD OF THE FAMILY'!$B$6:$J1851,9,FALSE)</f>
        <v>BLK 41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</row>
    <row r="1357">
      <c r="A1357" s="60">
        <f t="shared" si="5"/>
        <v>1352</v>
      </c>
      <c r="B1357" s="62" t="s">
        <v>1789</v>
      </c>
      <c r="C1357" s="62" t="s">
        <v>3152</v>
      </c>
      <c r="D1357" s="105"/>
      <c r="E1357" s="62" t="s">
        <v>1022</v>
      </c>
      <c r="F1357" s="60"/>
      <c r="G1357" s="92"/>
      <c r="H1357" s="60"/>
      <c r="I1357" s="60"/>
      <c r="J1357" s="60"/>
      <c r="K1357" s="71" t="str">
        <f>VLOOKUP(E1357,'HEAD OF THE FAMILY'!$B$6:$J1851,9,FALSE)</f>
        <v>BLK 41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</row>
    <row r="1358">
      <c r="A1358" s="60">
        <f t="shared" si="5"/>
        <v>1353</v>
      </c>
      <c r="B1358" s="62" t="s">
        <v>3153</v>
      </c>
      <c r="C1358" s="62" t="s">
        <v>3154</v>
      </c>
      <c r="D1358" s="105"/>
      <c r="E1358" s="62" t="s">
        <v>1022</v>
      </c>
      <c r="F1358" s="60"/>
      <c r="G1358" s="92"/>
      <c r="H1358" s="60"/>
      <c r="I1358" s="60"/>
      <c r="J1358" s="60"/>
      <c r="K1358" s="71" t="str">
        <f>VLOOKUP(E1358,'HEAD OF THE FAMILY'!$B$6:$J1851,9,FALSE)</f>
        <v>BLK 41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</row>
    <row r="1359">
      <c r="A1359" s="60">
        <f t="shared" si="5"/>
        <v>1354</v>
      </c>
      <c r="B1359" s="62" t="s">
        <v>3156</v>
      </c>
      <c r="C1359" s="62" t="s">
        <v>3157</v>
      </c>
      <c r="D1359" s="105"/>
      <c r="E1359" s="62" t="s">
        <v>1022</v>
      </c>
      <c r="F1359" s="60"/>
      <c r="G1359" s="92"/>
      <c r="H1359" s="60"/>
      <c r="I1359" s="60"/>
      <c r="J1359" s="60"/>
      <c r="K1359" s="71" t="str">
        <f>VLOOKUP(E1359,'HEAD OF THE FAMILY'!$B$6:$J1851,9,FALSE)</f>
        <v>BLK 41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</row>
    <row r="1360">
      <c r="A1360" s="60">
        <f t="shared" si="5"/>
        <v>1355</v>
      </c>
      <c r="B1360" s="62" t="s">
        <v>1789</v>
      </c>
      <c r="C1360" s="62" t="s">
        <v>3158</v>
      </c>
      <c r="D1360" s="105"/>
      <c r="E1360" s="62" t="s">
        <v>1022</v>
      </c>
      <c r="F1360" s="60"/>
      <c r="G1360" s="92"/>
      <c r="H1360" s="60"/>
      <c r="I1360" s="60"/>
      <c r="J1360" s="60"/>
      <c r="K1360" s="71" t="str">
        <f>VLOOKUP(E1360,'HEAD OF THE FAMILY'!$B$6:$J1851,9,FALSE)</f>
        <v>BLK 41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</row>
    <row r="1361">
      <c r="A1361" s="60">
        <f t="shared" si="5"/>
        <v>1356</v>
      </c>
      <c r="B1361" s="62" t="s">
        <v>2585</v>
      </c>
      <c r="C1361" s="62" t="s">
        <v>3160</v>
      </c>
      <c r="D1361" s="105"/>
      <c r="E1361" s="62" t="s">
        <v>2374</v>
      </c>
      <c r="F1361" s="60"/>
      <c r="G1361" s="92"/>
      <c r="H1361" s="60"/>
      <c r="I1361" s="60"/>
      <c r="J1361" s="60"/>
      <c r="K1361" s="71" t="str">
        <f>VLOOKUP(E1361,'HEAD OF THE FAMILY'!$B$6:$J1851,9,FALSE)</f>
        <v>BLK 45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</row>
    <row r="1362">
      <c r="A1362" s="60">
        <f t="shared" si="5"/>
        <v>1357</v>
      </c>
      <c r="B1362" s="62" t="s">
        <v>2585</v>
      </c>
      <c r="C1362" s="62" t="s">
        <v>3162</v>
      </c>
      <c r="D1362" s="105"/>
      <c r="E1362" s="62" t="s">
        <v>2374</v>
      </c>
      <c r="F1362" s="60"/>
      <c r="G1362" s="92"/>
      <c r="H1362" s="60"/>
      <c r="I1362" s="60"/>
      <c r="J1362" s="60"/>
      <c r="K1362" s="71" t="str">
        <f>VLOOKUP(E1362,'HEAD OF THE FAMILY'!$B$6:$J1851,9,FALSE)</f>
        <v>BLK 45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</row>
    <row r="1363">
      <c r="A1363" s="60">
        <f t="shared" si="5"/>
        <v>1358</v>
      </c>
      <c r="B1363" s="62" t="s">
        <v>3163</v>
      </c>
      <c r="C1363" s="62" t="s">
        <v>3164</v>
      </c>
      <c r="D1363" s="62"/>
      <c r="E1363" s="62" t="s">
        <v>2813</v>
      </c>
      <c r="F1363" s="60"/>
      <c r="G1363" s="92"/>
      <c r="H1363" s="60"/>
      <c r="I1363" s="60"/>
      <c r="J1363" s="60"/>
      <c r="K1363" s="71" t="str">
        <f>VLOOKUP(E1363,'HEAD OF THE FAMILY'!$B$6:$J1851,9,FALSE)</f>
        <v>BLK 45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</row>
    <row r="1364">
      <c r="A1364" s="60">
        <f t="shared" si="5"/>
        <v>1359</v>
      </c>
      <c r="B1364" s="62" t="s">
        <v>3163</v>
      </c>
      <c r="C1364" s="62" t="s">
        <v>3166</v>
      </c>
      <c r="D1364" s="105"/>
      <c r="E1364" s="62" t="s">
        <v>2813</v>
      </c>
      <c r="F1364" s="60"/>
      <c r="G1364" s="92"/>
      <c r="H1364" s="60"/>
      <c r="I1364" s="60"/>
      <c r="J1364" s="60"/>
      <c r="K1364" s="71" t="str">
        <f>VLOOKUP(E1364,'HEAD OF THE FAMILY'!$B$6:$J1851,9,FALSE)</f>
        <v>BLK 45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</row>
    <row r="1365">
      <c r="A1365" s="60">
        <f t="shared" si="5"/>
        <v>1360</v>
      </c>
      <c r="B1365" s="62" t="s">
        <v>3163</v>
      </c>
      <c r="C1365" s="62" t="s">
        <v>385</v>
      </c>
      <c r="D1365" s="105"/>
      <c r="E1365" s="62" t="s">
        <v>261</v>
      </c>
      <c r="F1365" s="60"/>
      <c r="G1365" s="92"/>
      <c r="H1365" s="60"/>
      <c r="I1365" s="60"/>
      <c r="J1365" s="60"/>
      <c r="K1365" s="71" t="str">
        <f>VLOOKUP(E1365,'HEAD OF THE FAMILY'!$B$6:$J1851,9,FALSE)</f>
        <v>BLK 45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</row>
    <row r="1366">
      <c r="A1366" s="60">
        <f t="shared" si="5"/>
        <v>1361</v>
      </c>
      <c r="B1366" s="62" t="s">
        <v>3163</v>
      </c>
      <c r="C1366" s="62" t="s">
        <v>3168</v>
      </c>
      <c r="D1366" s="105"/>
      <c r="E1366" s="62" t="s">
        <v>261</v>
      </c>
      <c r="F1366" s="60"/>
      <c r="G1366" s="92"/>
      <c r="H1366" s="60"/>
      <c r="I1366" s="60"/>
      <c r="J1366" s="60"/>
      <c r="K1366" s="71" t="str">
        <f>VLOOKUP(E1366,'HEAD OF THE FAMILY'!$B$6:$J1851,9,FALSE)</f>
        <v>BLK 45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</row>
    <row r="1367">
      <c r="A1367" s="60">
        <f t="shared" si="5"/>
        <v>1362</v>
      </c>
      <c r="B1367" s="62" t="s">
        <v>2356</v>
      </c>
      <c r="C1367" s="62" t="s">
        <v>3170</v>
      </c>
      <c r="D1367" s="62" t="s">
        <v>58</v>
      </c>
      <c r="E1367" s="62" t="s">
        <v>2971</v>
      </c>
      <c r="F1367" s="60"/>
      <c r="G1367" s="92"/>
      <c r="H1367" s="60"/>
      <c r="I1367" s="60"/>
      <c r="J1367" s="60"/>
      <c r="K1367" s="71" t="str">
        <f>VLOOKUP(E1367,'HEAD OF THE FAMILY'!$B$6:$J1851,9,FALSE)</f>
        <v>BLK 45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</row>
    <row r="1368">
      <c r="A1368" s="60">
        <f t="shared" si="5"/>
        <v>1363</v>
      </c>
      <c r="B1368" s="62" t="s">
        <v>2356</v>
      </c>
      <c r="C1368" s="62" t="s">
        <v>3171</v>
      </c>
      <c r="D1368" s="105"/>
      <c r="E1368" s="62" t="s">
        <v>1923</v>
      </c>
      <c r="F1368" s="60"/>
      <c r="G1368" s="92"/>
      <c r="H1368" s="60"/>
      <c r="I1368" s="60"/>
      <c r="J1368" s="60"/>
      <c r="K1368" s="71" t="str">
        <f>VLOOKUP(E1368,'HEAD OF THE FAMILY'!$B$6:$J1851,9,FALSE)</f>
        <v>BLK 45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</row>
    <row r="1369">
      <c r="A1369" s="60">
        <f t="shared" si="5"/>
        <v>1364</v>
      </c>
      <c r="B1369" s="62" t="s">
        <v>2356</v>
      </c>
      <c r="C1369" s="62" t="s">
        <v>3172</v>
      </c>
      <c r="D1369" s="105"/>
      <c r="E1369" s="62" t="s">
        <v>1923</v>
      </c>
      <c r="F1369" s="60"/>
      <c r="G1369" s="92"/>
      <c r="H1369" s="60"/>
      <c r="I1369" s="60"/>
      <c r="J1369" s="60"/>
      <c r="K1369" s="71" t="str">
        <f>VLOOKUP(E1369,'HEAD OF THE FAMILY'!$B$6:$J1851,9,FALSE)</f>
        <v>BLK 45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</row>
    <row r="1370">
      <c r="A1370" s="60">
        <f t="shared" si="5"/>
        <v>1365</v>
      </c>
      <c r="B1370" s="62" t="s">
        <v>2356</v>
      </c>
      <c r="C1370" s="62" t="s">
        <v>3174</v>
      </c>
      <c r="D1370" s="105"/>
      <c r="E1370" s="62" t="s">
        <v>1923</v>
      </c>
      <c r="F1370" s="60"/>
      <c r="G1370" s="92"/>
      <c r="H1370" s="60"/>
      <c r="I1370" s="60"/>
      <c r="J1370" s="60"/>
      <c r="K1370" s="71" t="str">
        <f>VLOOKUP(E1370,'HEAD OF THE FAMILY'!$B$6:$J1851,9,FALSE)</f>
        <v>BLK 45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</row>
    <row r="1371">
      <c r="A1371" s="60">
        <f t="shared" si="5"/>
        <v>1366</v>
      </c>
      <c r="B1371" s="62" t="s">
        <v>2356</v>
      </c>
      <c r="C1371" s="62" t="s">
        <v>3175</v>
      </c>
      <c r="D1371" s="105"/>
      <c r="E1371" s="62" t="s">
        <v>1923</v>
      </c>
      <c r="F1371" s="60"/>
      <c r="G1371" s="92"/>
      <c r="H1371" s="60"/>
      <c r="I1371" s="60"/>
      <c r="J1371" s="60"/>
      <c r="K1371" s="71" t="str">
        <f>VLOOKUP(E1371,'HEAD OF THE FAMILY'!$B$6:$J1851,9,FALSE)</f>
        <v>BLK 45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</row>
    <row r="1372">
      <c r="A1372" s="60">
        <f t="shared" si="5"/>
        <v>1367</v>
      </c>
      <c r="B1372" s="62" t="s">
        <v>2356</v>
      </c>
      <c r="C1372" s="62" t="s">
        <v>3176</v>
      </c>
      <c r="D1372" s="105"/>
      <c r="E1372" s="62" t="s">
        <v>1923</v>
      </c>
      <c r="F1372" s="60"/>
      <c r="G1372" s="92"/>
      <c r="H1372" s="60"/>
      <c r="I1372" s="60"/>
      <c r="J1372" s="60"/>
      <c r="K1372" s="71" t="str">
        <f>VLOOKUP(E1372,'HEAD OF THE FAMILY'!$B$6:$J1851,9,FALSE)</f>
        <v>BLK 45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</row>
    <row r="1373">
      <c r="A1373" s="60">
        <f t="shared" si="5"/>
        <v>1368</v>
      </c>
      <c r="B1373" s="62" t="s">
        <v>3177</v>
      </c>
      <c r="C1373" s="62" t="s">
        <v>3134</v>
      </c>
      <c r="D1373" s="105"/>
      <c r="E1373" s="62" t="s">
        <v>1923</v>
      </c>
      <c r="F1373" s="60"/>
      <c r="G1373" s="92"/>
      <c r="H1373" s="60"/>
      <c r="I1373" s="60"/>
      <c r="J1373" s="60"/>
      <c r="K1373" s="71" t="str">
        <f>VLOOKUP(E1373,'HEAD OF THE FAMILY'!$B$6:$J1851,9,FALSE)</f>
        <v>BLK 45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</row>
    <row r="1374">
      <c r="A1374" s="60">
        <f t="shared" si="5"/>
        <v>1369</v>
      </c>
      <c r="B1374" s="62" t="s">
        <v>2356</v>
      </c>
      <c r="C1374" s="62" t="s">
        <v>3180</v>
      </c>
      <c r="D1374" s="105"/>
      <c r="E1374" s="62" t="s">
        <v>1923</v>
      </c>
      <c r="F1374" s="60"/>
      <c r="G1374" s="92"/>
      <c r="H1374" s="60"/>
      <c r="I1374" s="60"/>
      <c r="J1374" s="60"/>
      <c r="K1374" s="71" t="str">
        <f>VLOOKUP(E1374,'HEAD OF THE FAMILY'!$B$6:$J1851,9,FALSE)</f>
        <v>BLK 45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</row>
    <row r="1375">
      <c r="A1375" s="60">
        <f t="shared" si="5"/>
        <v>1370</v>
      </c>
      <c r="B1375" s="62" t="s">
        <v>2339</v>
      </c>
      <c r="C1375" s="62" t="s">
        <v>3181</v>
      </c>
      <c r="D1375" s="105"/>
      <c r="E1375" s="62" t="s">
        <v>1923</v>
      </c>
      <c r="F1375" s="60"/>
      <c r="G1375" s="92"/>
      <c r="H1375" s="60"/>
      <c r="I1375" s="60"/>
      <c r="J1375" s="60"/>
      <c r="K1375" s="71" t="str">
        <f>VLOOKUP(E1375,'HEAD OF THE FAMILY'!$B$6:$J1851,9,FALSE)</f>
        <v>BLK 45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</row>
    <row r="1376">
      <c r="A1376" s="60">
        <f t="shared" si="5"/>
        <v>1371</v>
      </c>
      <c r="B1376" s="62" t="s">
        <v>2356</v>
      </c>
      <c r="C1376" s="62" t="s">
        <v>3182</v>
      </c>
      <c r="D1376" s="105"/>
      <c r="E1376" s="62" t="s">
        <v>2469</v>
      </c>
      <c r="F1376" s="60"/>
      <c r="G1376" s="92"/>
      <c r="H1376" s="60"/>
      <c r="I1376" s="60"/>
      <c r="J1376" s="60"/>
      <c r="K1376" s="71" t="str">
        <f>VLOOKUP(E1376,'HEAD OF THE FAMILY'!$B$6:$J1851,9,FALSE)</f>
        <v>BLK 45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</row>
    <row r="1377">
      <c r="A1377" s="60">
        <f t="shared" si="5"/>
        <v>1372</v>
      </c>
      <c r="B1377" s="62" t="s">
        <v>3184</v>
      </c>
      <c r="C1377" s="62" t="s">
        <v>3185</v>
      </c>
      <c r="D1377" s="62" t="s">
        <v>681</v>
      </c>
      <c r="E1377" s="62" t="s">
        <v>3027</v>
      </c>
      <c r="F1377" s="60"/>
      <c r="G1377" s="92"/>
      <c r="H1377" s="60"/>
      <c r="I1377" s="60"/>
      <c r="J1377" s="60"/>
      <c r="K1377" s="71" t="str">
        <f>VLOOKUP(E1377,'HEAD OF THE FAMILY'!$B$6:$J1851,9,FALSE)</f>
        <v>BLK 45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</row>
    <row r="1378">
      <c r="A1378" s="60">
        <f t="shared" si="5"/>
        <v>1373</v>
      </c>
      <c r="B1378" s="62" t="s">
        <v>3184</v>
      </c>
      <c r="C1378" s="62" t="s">
        <v>3187</v>
      </c>
      <c r="D1378" s="62" t="s">
        <v>681</v>
      </c>
      <c r="E1378" s="62" t="s">
        <v>3027</v>
      </c>
      <c r="F1378" s="60"/>
      <c r="G1378" s="92"/>
      <c r="H1378" s="60"/>
      <c r="I1378" s="60"/>
      <c r="J1378" s="60"/>
      <c r="K1378" s="71" t="str">
        <f>VLOOKUP(E1378,'HEAD OF THE FAMILY'!$B$6:$J1851,9,FALSE)</f>
        <v>BLK 45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</row>
    <row r="1379">
      <c r="A1379" s="60">
        <f t="shared" si="5"/>
        <v>1374</v>
      </c>
      <c r="B1379" s="62" t="s">
        <v>3184</v>
      </c>
      <c r="C1379" s="62" t="s">
        <v>3189</v>
      </c>
      <c r="D1379" s="62" t="s">
        <v>681</v>
      </c>
      <c r="E1379" s="62" t="s">
        <v>3027</v>
      </c>
      <c r="F1379" s="60"/>
      <c r="G1379" s="92"/>
      <c r="H1379" s="60"/>
      <c r="I1379" s="60"/>
      <c r="J1379" s="60"/>
      <c r="K1379" s="71" t="str">
        <f>VLOOKUP(E1379,'HEAD OF THE FAMILY'!$B$6:$J1851,9,FALSE)</f>
        <v>BLK 45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</row>
    <row r="1380">
      <c r="A1380" s="60">
        <f t="shared" si="5"/>
        <v>1375</v>
      </c>
      <c r="B1380" s="62" t="s">
        <v>3184</v>
      </c>
      <c r="C1380" s="62" t="s">
        <v>3190</v>
      </c>
      <c r="D1380" s="62" t="s">
        <v>681</v>
      </c>
      <c r="E1380" s="62" t="s">
        <v>3027</v>
      </c>
      <c r="F1380" s="60"/>
      <c r="G1380" s="92"/>
      <c r="H1380" s="60"/>
      <c r="I1380" s="60"/>
      <c r="J1380" s="60"/>
      <c r="K1380" s="71" t="str">
        <f>VLOOKUP(E1380,'HEAD OF THE FAMILY'!$B$6:$J1851,9,FALSE)</f>
        <v>BLK 45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</row>
    <row r="1381">
      <c r="A1381" s="60">
        <f t="shared" si="5"/>
        <v>1376</v>
      </c>
      <c r="B1381" s="62" t="s">
        <v>3184</v>
      </c>
      <c r="C1381" s="62" t="s">
        <v>3193</v>
      </c>
      <c r="D1381" s="62" t="s">
        <v>681</v>
      </c>
      <c r="E1381" s="62" t="s">
        <v>3027</v>
      </c>
      <c r="F1381" s="71" t="s">
        <v>69</v>
      </c>
      <c r="G1381" s="92"/>
      <c r="H1381" s="60"/>
      <c r="I1381" s="60"/>
      <c r="J1381" s="60"/>
      <c r="K1381" s="71" t="str">
        <f>VLOOKUP(E1381,'HEAD OF THE FAMILY'!$B$6:$J1851,9,FALSE)</f>
        <v>BLK 45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</row>
    <row r="1382">
      <c r="A1382" s="60">
        <f t="shared" si="5"/>
        <v>1377</v>
      </c>
      <c r="B1382" s="62" t="s">
        <v>3195</v>
      </c>
      <c r="C1382" s="62" t="s">
        <v>3196</v>
      </c>
      <c r="D1382" s="62" t="s">
        <v>329</v>
      </c>
      <c r="E1382" s="62" t="s">
        <v>3178</v>
      </c>
      <c r="F1382" s="71"/>
      <c r="G1382" s="92"/>
      <c r="H1382" s="60"/>
      <c r="I1382" s="60"/>
      <c r="J1382" s="60"/>
      <c r="K1382" s="71" t="str">
        <f>VLOOKUP(E1382,'HEAD OF THE FAMILY'!$B$6:$J1851,9,FALSE)</f>
        <v>BLK 45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</row>
    <row r="1383">
      <c r="A1383" s="60">
        <f t="shared" si="5"/>
        <v>1378</v>
      </c>
      <c r="B1383" s="62" t="s">
        <v>3195</v>
      </c>
      <c r="C1383" s="62" t="s">
        <v>3197</v>
      </c>
      <c r="D1383" s="62" t="s">
        <v>329</v>
      </c>
      <c r="E1383" s="62" t="s">
        <v>3178</v>
      </c>
      <c r="F1383" s="60"/>
      <c r="G1383" s="92"/>
      <c r="H1383" s="60"/>
      <c r="I1383" s="60"/>
      <c r="J1383" s="60"/>
      <c r="K1383" s="71" t="str">
        <f>VLOOKUP(E1383,'HEAD OF THE FAMILY'!$B$6:$J1851,9,FALSE)</f>
        <v>BLK 45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</row>
    <row r="1384">
      <c r="A1384" s="60">
        <f t="shared" si="5"/>
        <v>1379</v>
      </c>
      <c r="B1384" s="62" t="s">
        <v>3195</v>
      </c>
      <c r="C1384" s="62" t="s">
        <v>3199</v>
      </c>
      <c r="D1384" s="62" t="s">
        <v>329</v>
      </c>
      <c r="E1384" s="62" t="s">
        <v>3178</v>
      </c>
      <c r="F1384" s="60"/>
      <c r="G1384" s="92"/>
      <c r="H1384" s="60"/>
      <c r="I1384" s="60"/>
      <c r="J1384" s="60"/>
      <c r="K1384" s="71" t="str">
        <f>VLOOKUP(E1384,'HEAD OF THE FAMILY'!$B$6:$J1851,9,FALSE)</f>
        <v>BLK 45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</row>
    <row r="1385">
      <c r="A1385" s="60">
        <f t="shared" si="5"/>
        <v>1380</v>
      </c>
      <c r="B1385" s="62" t="s">
        <v>3200</v>
      </c>
      <c r="C1385" s="62" t="s">
        <v>3201</v>
      </c>
      <c r="D1385" s="62" t="s">
        <v>681</v>
      </c>
      <c r="E1385" s="62" t="s">
        <v>1342</v>
      </c>
      <c r="F1385" s="60"/>
      <c r="G1385" s="92"/>
      <c r="H1385" s="60"/>
      <c r="I1385" s="60"/>
      <c r="J1385" s="60"/>
      <c r="K1385" s="71" t="str">
        <f>VLOOKUP(E1385,'HEAD OF THE FAMILY'!$B$6:$J1851,9,FALSE)</f>
        <v>BLK 45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</row>
    <row r="1386">
      <c r="A1386" s="60">
        <f t="shared" si="5"/>
        <v>1381</v>
      </c>
      <c r="B1386" s="62" t="s">
        <v>2356</v>
      </c>
      <c r="C1386" s="62" t="s">
        <v>3202</v>
      </c>
      <c r="D1386" s="105"/>
      <c r="E1386" s="62" t="s">
        <v>246</v>
      </c>
      <c r="F1386" s="60"/>
      <c r="G1386" s="92"/>
      <c r="H1386" s="60"/>
      <c r="I1386" s="60"/>
      <c r="J1386" s="60"/>
      <c r="K1386" s="71" t="str">
        <f>VLOOKUP(E1386,'HEAD OF THE FAMILY'!$B$6:$J1851,9,FALSE)</f>
        <v>BLK 45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</row>
    <row r="1387">
      <c r="A1387" s="60">
        <f t="shared" si="5"/>
        <v>1382</v>
      </c>
      <c r="B1387" s="62" t="s">
        <v>2356</v>
      </c>
      <c r="C1387" s="62" t="s">
        <v>3203</v>
      </c>
      <c r="D1387" s="105"/>
      <c r="E1387" s="62" t="s">
        <v>246</v>
      </c>
      <c r="F1387" s="60"/>
      <c r="G1387" s="92"/>
      <c r="H1387" s="60"/>
      <c r="I1387" s="60"/>
      <c r="J1387" s="60"/>
      <c r="K1387" s="71" t="str">
        <f>VLOOKUP(E1387,'HEAD OF THE FAMILY'!$B$6:$J1851,9,FALSE)</f>
        <v>BLK 45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</row>
    <row r="1388">
      <c r="A1388" s="60">
        <f t="shared" si="5"/>
        <v>1383</v>
      </c>
      <c r="B1388" s="62" t="s">
        <v>2356</v>
      </c>
      <c r="C1388" s="62" t="s">
        <v>3204</v>
      </c>
      <c r="D1388" s="105"/>
      <c r="E1388" s="62" t="s">
        <v>2055</v>
      </c>
      <c r="F1388" s="60"/>
      <c r="G1388" s="92"/>
      <c r="H1388" s="60"/>
      <c r="I1388" s="60"/>
      <c r="J1388" s="60"/>
      <c r="K1388" s="71" t="str">
        <f>VLOOKUP(E1388,'HEAD OF THE FAMILY'!$B$6:$J1851,9,FALSE)</f>
        <v>BLK 45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</row>
    <row r="1389">
      <c r="A1389" s="60">
        <f t="shared" si="5"/>
        <v>1384</v>
      </c>
      <c r="B1389" s="62" t="s">
        <v>3205</v>
      </c>
      <c r="C1389" s="62" t="s">
        <v>3206</v>
      </c>
      <c r="D1389" s="105"/>
      <c r="E1389" s="62" t="s">
        <v>2055</v>
      </c>
      <c r="F1389" s="60"/>
      <c r="G1389" s="92"/>
      <c r="H1389" s="60"/>
      <c r="I1389" s="60"/>
      <c r="J1389" s="60"/>
      <c r="K1389" s="71" t="str">
        <f>VLOOKUP(E1389,'HEAD OF THE FAMILY'!$B$6:$J1851,9,FALSE)</f>
        <v>BLK 45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</row>
    <row r="1390">
      <c r="A1390" s="60">
        <f t="shared" si="5"/>
        <v>1385</v>
      </c>
      <c r="B1390" s="62" t="s">
        <v>2356</v>
      </c>
      <c r="C1390" s="62" t="s">
        <v>3207</v>
      </c>
      <c r="D1390" s="105"/>
      <c r="E1390" s="62" t="s">
        <v>2055</v>
      </c>
      <c r="F1390" s="60"/>
      <c r="G1390" s="92"/>
      <c r="H1390" s="60"/>
      <c r="I1390" s="60"/>
      <c r="J1390" s="60"/>
      <c r="K1390" s="71" t="str">
        <f>VLOOKUP(E1390,'HEAD OF THE FAMILY'!$B$6:$J1851,9,FALSE)</f>
        <v>BLK 45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</row>
    <row r="1391">
      <c r="A1391" s="60">
        <f t="shared" si="5"/>
        <v>1386</v>
      </c>
      <c r="B1391" s="62" t="s">
        <v>1580</v>
      </c>
      <c r="C1391" s="62" t="s">
        <v>3208</v>
      </c>
      <c r="D1391" s="105"/>
      <c r="E1391" s="62" t="s">
        <v>2055</v>
      </c>
      <c r="F1391" s="60"/>
      <c r="G1391" s="92"/>
      <c r="H1391" s="60"/>
      <c r="I1391" s="60"/>
      <c r="J1391" s="60"/>
      <c r="K1391" s="71" t="str">
        <f>VLOOKUP(E1391,'HEAD OF THE FAMILY'!$B$6:$J1851,9,FALSE)</f>
        <v>BLK 45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</row>
    <row r="1392">
      <c r="A1392" s="60">
        <f t="shared" si="5"/>
        <v>1387</v>
      </c>
      <c r="B1392" s="62" t="s">
        <v>2356</v>
      </c>
      <c r="C1392" s="62" t="s">
        <v>3209</v>
      </c>
      <c r="D1392" s="105"/>
      <c r="E1392" s="62" t="s">
        <v>2055</v>
      </c>
      <c r="F1392" s="60"/>
      <c r="G1392" s="92"/>
      <c r="H1392" s="60"/>
      <c r="I1392" s="60"/>
      <c r="J1392" s="60"/>
      <c r="K1392" s="71" t="str">
        <f>VLOOKUP(E1392,'HEAD OF THE FAMILY'!$B$6:$J1851,9,FALSE)</f>
        <v>BLK 45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</row>
    <row r="1393">
      <c r="A1393" s="60">
        <f t="shared" si="5"/>
        <v>1388</v>
      </c>
      <c r="B1393" s="62" t="s">
        <v>3210</v>
      </c>
      <c r="C1393" s="62" t="s">
        <v>3211</v>
      </c>
      <c r="D1393" s="62" t="s">
        <v>968</v>
      </c>
      <c r="E1393" s="62" t="s">
        <v>2539</v>
      </c>
      <c r="F1393" s="60"/>
      <c r="G1393" s="92"/>
      <c r="H1393" s="60"/>
      <c r="I1393" s="60"/>
      <c r="J1393" s="60"/>
      <c r="K1393" s="71" t="str">
        <f>VLOOKUP(E1393,'HEAD OF THE FAMILY'!$B$6:$J1851,9,FALSE)</f>
        <v>BLK 45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</row>
    <row r="1394">
      <c r="A1394" s="60">
        <f t="shared" si="5"/>
        <v>1389</v>
      </c>
      <c r="B1394" s="62" t="s">
        <v>3210</v>
      </c>
      <c r="C1394" s="62" t="s">
        <v>3212</v>
      </c>
      <c r="D1394" s="62" t="s">
        <v>968</v>
      </c>
      <c r="E1394" s="62" t="s">
        <v>2539</v>
      </c>
      <c r="F1394" s="60"/>
      <c r="G1394" s="92"/>
      <c r="H1394" s="60"/>
      <c r="I1394" s="60"/>
      <c r="J1394" s="60"/>
      <c r="K1394" s="71" t="str">
        <f>VLOOKUP(E1394,'HEAD OF THE FAMILY'!$B$6:$J1851,9,FALSE)</f>
        <v>BLK 45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</row>
    <row r="1395">
      <c r="A1395" s="60">
        <f t="shared" si="5"/>
        <v>1390</v>
      </c>
      <c r="B1395" s="62" t="s">
        <v>3210</v>
      </c>
      <c r="C1395" s="62" t="s">
        <v>3213</v>
      </c>
      <c r="D1395" s="62" t="s">
        <v>968</v>
      </c>
      <c r="E1395" s="62" t="s">
        <v>2539</v>
      </c>
      <c r="F1395" s="60"/>
      <c r="G1395" s="92"/>
      <c r="H1395" s="60"/>
      <c r="I1395" s="60"/>
      <c r="J1395" s="60"/>
      <c r="K1395" s="71" t="str">
        <f>VLOOKUP(E1395,'HEAD OF THE FAMILY'!$B$6:$J1851,9,FALSE)</f>
        <v>BLK 45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</row>
    <row r="1396">
      <c r="A1396" s="60">
        <f t="shared" si="5"/>
        <v>1391</v>
      </c>
      <c r="B1396" s="62" t="s">
        <v>2173</v>
      </c>
      <c r="C1396" s="62" t="s">
        <v>3214</v>
      </c>
      <c r="D1396" s="62" t="s">
        <v>968</v>
      </c>
      <c r="E1396" s="62" t="s">
        <v>2539</v>
      </c>
      <c r="F1396" s="60"/>
      <c r="G1396" s="92"/>
      <c r="H1396" s="60"/>
      <c r="I1396" s="60"/>
      <c r="J1396" s="60"/>
      <c r="K1396" s="71" t="str">
        <f>VLOOKUP(E1396,'HEAD OF THE FAMILY'!$B$6:$J1851,9,FALSE)</f>
        <v>BLK 45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</row>
    <row r="1397">
      <c r="A1397" s="60">
        <f t="shared" si="5"/>
        <v>1392</v>
      </c>
      <c r="B1397" s="62" t="s">
        <v>3210</v>
      </c>
      <c r="C1397" s="62" t="s">
        <v>3215</v>
      </c>
      <c r="D1397" s="62" t="s">
        <v>968</v>
      </c>
      <c r="E1397" s="62" t="s">
        <v>2539</v>
      </c>
      <c r="F1397" s="60"/>
      <c r="G1397" s="92"/>
      <c r="H1397" s="60"/>
      <c r="I1397" s="60"/>
      <c r="J1397" s="60"/>
      <c r="K1397" s="71" t="str">
        <f>VLOOKUP(E1397,'HEAD OF THE FAMILY'!$B$6:$J1851,9,FALSE)</f>
        <v>BLK 45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</row>
    <row r="1398">
      <c r="A1398" s="60">
        <f t="shared" si="5"/>
        <v>1393</v>
      </c>
      <c r="B1398" s="62" t="s">
        <v>2173</v>
      </c>
      <c r="C1398" s="62" t="s">
        <v>3216</v>
      </c>
      <c r="D1398" s="62"/>
      <c r="E1398" s="62" t="s">
        <v>2539</v>
      </c>
      <c r="F1398" s="60"/>
      <c r="G1398" s="92"/>
      <c r="H1398" s="60"/>
      <c r="I1398" s="60"/>
      <c r="J1398" s="60"/>
      <c r="K1398" s="71" t="str">
        <f>VLOOKUP(E1398,'HEAD OF THE FAMILY'!$B$6:$J1851,9,FALSE)</f>
        <v>BLK 45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</row>
    <row r="1399">
      <c r="A1399" s="60">
        <f t="shared" si="5"/>
        <v>1394</v>
      </c>
      <c r="B1399" s="62" t="s">
        <v>2173</v>
      </c>
      <c r="C1399" s="62" t="s">
        <v>3217</v>
      </c>
      <c r="D1399" s="105"/>
      <c r="E1399" s="62" t="s">
        <v>2539</v>
      </c>
      <c r="F1399" s="60"/>
      <c r="G1399" s="92"/>
      <c r="H1399" s="60"/>
      <c r="I1399" s="60"/>
      <c r="J1399" s="60"/>
      <c r="K1399" s="71" t="str">
        <f>VLOOKUP(E1399,'HEAD OF THE FAMILY'!$B$6:$J1851,9,FALSE)</f>
        <v>BLK 45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</row>
    <row r="1400">
      <c r="A1400" s="60">
        <f t="shared" si="5"/>
        <v>1395</v>
      </c>
      <c r="B1400" s="62" t="s">
        <v>3210</v>
      </c>
      <c r="C1400" s="62" t="s">
        <v>3218</v>
      </c>
      <c r="D1400" s="62" t="s">
        <v>968</v>
      </c>
      <c r="E1400" s="62" t="s">
        <v>2539</v>
      </c>
      <c r="F1400" s="60"/>
      <c r="G1400" s="92"/>
      <c r="H1400" s="60"/>
      <c r="I1400" s="60"/>
      <c r="J1400" s="60"/>
      <c r="K1400" s="71" t="str">
        <f>VLOOKUP(E1400,'HEAD OF THE FAMILY'!$B$6:$J1851,9,FALSE)</f>
        <v>BLK 45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</row>
    <row r="1401">
      <c r="A1401" s="60">
        <f t="shared" si="5"/>
        <v>1396</v>
      </c>
      <c r="B1401" s="62" t="s">
        <v>3219</v>
      </c>
      <c r="C1401" s="62" t="s">
        <v>2048</v>
      </c>
      <c r="D1401" s="105"/>
      <c r="E1401" s="62" t="s">
        <v>2221</v>
      </c>
      <c r="F1401" s="60"/>
      <c r="G1401" s="92"/>
      <c r="H1401" s="60"/>
      <c r="I1401" s="60"/>
      <c r="J1401" s="60"/>
      <c r="K1401" s="71" t="str">
        <f>VLOOKUP(E1401,'HEAD OF THE FAMILY'!$B$6:$J1851,9,FALSE)</f>
        <v>BLK 45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</row>
    <row r="1402">
      <c r="A1402" s="60">
        <f t="shared" si="5"/>
        <v>1397</v>
      </c>
      <c r="B1402" s="62" t="s">
        <v>3220</v>
      </c>
      <c r="C1402" s="62" t="s">
        <v>3221</v>
      </c>
      <c r="D1402" s="105"/>
      <c r="E1402" s="62" t="s">
        <v>2221</v>
      </c>
      <c r="F1402" s="60"/>
      <c r="G1402" s="92"/>
      <c r="H1402" s="60"/>
      <c r="I1402" s="60"/>
      <c r="J1402" s="60"/>
      <c r="K1402" s="71" t="str">
        <f>VLOOKUP(E1402,'HEAD OF THE FAMILY'!$B$6:$J1851,9,FALSE)</f>
        <v>BLK 45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</row>
    <row r="1403">
      <c r="A1403" s="60">
        <f t="shared" si="5"/>
        <v>1398</v>
      </c>
      <c r="B1403" s="62" t="s">
        <v>3222</v>
      </c>
      <c r="C1403" s="62" t="s">
        <v>3223</v>
      </c>
      <c r="D1403" s="105"/>
      <c r="E1403" s="62" t="s">
        <v>2221</v>
      </c>
      <c r="F1403" s="60"/>
      <c r="G1403" s="92"/>
      <c r="H1403" s="60"/>
      <c r="I1403" s="60"/>
      <c r="J1403" s="60"/>
      <c r="K1403" s="71" t="str">
        <f>VLOOKUP(E1403,'HEAD OF THE FAMILY'!$B$6:$J1851,9,FALSE)</f>
        <v>BLK 45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</row>
    <row r="1404">
      <c r="A1404" s="60">
        <f t="shared" si="5"/>
        <v>1399</v>
      </c>
      <c r="B1404" s="62" t="s">
        <v>3224</v>
      </c>
      <c r="C1404" s="62" t="s">
        <v>3225</v>
      </c>
      <c r="D1404" s="105"/>
      <c r="E1404" s="62" t="s">
        <v>2296</v>
      </c>
      <c r="F1404" s="60"/>
      <c r="G1404" s="92"/>
      <c r="H1404" s="60"/>
      <c r="I1404" s="60"/>
      <c r="J1404" s="60"/>
      <c r="K1404" s="71" t="str">
        <f>VLOOKUP(E1404,'HEAD OF THE FAMILY'!$B$6:$J1851,9,FALSE)</f>
        <v>BLK 45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</row>
    <row r="1405">
      <c r="A1405" s="60">
        <f t="shared" si="5"/>
        <v>1400</v>
      </c>
      <c r="B1405" s="62" t="s">
        <v>3226</v>
      </c>
      <c r="C1405" s="62" t="s">
        <v>3227</v>
      </c>
      <c r="D1405" s="105"/>
      <c r="E1405" s="62" t="s">
        <v>2296</v>
      </c>
      <c r="F1405" s="60"/>
      <c r="G1405" s="92"/>
      <c r="H1405" s="60"/>
      <c r="I1405" s="60"/>
      <c r="J1405" s="60"/>
      <c r="K1405" s="71" t="str">
        <f>VLOOKUP(E1405,'HEAD OF THE FAMILY'!$B$6:$J1851,9,FALSE)</f>
        <v>BLK 45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</row>
    <row r="1406">
      <c r="A1406" s="60">
        <f t="shared" si="5"/>
        <v>1401</v>
      </c>
      <c r="B1406" s="62" t="s">
        <v>3228</v>
      </c>
      <c r="C1406" s="62" t="s">
        <v>3229</v>
      </c>
      <c r="D1406" s="105"/>
      <c r="E1406" s="62" t="s">
        <v>3230</v>
      </c>
      <c r="F1406" s="60"/>
      <c r="G1406" s="92"/>
      <c r="H1406" s="60"/>
      <c r="I1406" s="60"/>
      <c r="J1406" s="60"/>
      <c r="K1406" s="71" t="str">
        <f>VLOOKUP(E1406,'HEAD OF THE FAMILY'!$B$6:$J1851,9,FALSE)</f>
        <v>#N/A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</row>
    <row r="1407">
      <c r="A1407" s="60">
        <f t="shared" si="5"/>
        <v>1402</v>
      </c>
      <c r="B1407" s="62" t="s">
        <v>3228</v>
      </c>
      <c r="C1407" s="62" t="s">
        <v>3231</v>
      </c>
      <c r="D1407" s="105"/>
      <c r="E1407" s="62" t="s">
        <v>3230</v>
      </c>
      <c r="F1407" s="60"/>
      <c r="G1407" s="92"/>
      <c r="H1407" s="60"/>
      <c r="I1407" s="60"/>
      <c r="J1407" s="60"/>
      <c r="K1407" s="71" t="str">
        <f>VLOOKUP(E1407,'HEAD OF THE FAMILY'!$B$6:$J1851,9,FALSE)</f>
        <v>#N/A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</row>
    <row r="1408">
      <c r="A1408" s="60">
        <f t="shared" si="5"/>
        <v>1403</v>
      </c>
      <c r="B1408" s="62" t="s">
        <v>3228</v>
      </c>
      <c r="C1408" s="62" t="s">
        <v>3232</v>
      </c>
      <c r="D1408" s="105"/>
      <c r="E1408" s="62" t="s">
        <v>3230</v>
      </c>
      <c r="F1408" s="60"/>
      <c r="G1408" s="92"/>
      <c r="H1408" s="60"/>
      <c r="I1408" s="60"/>
      <c r="J1408" s="60"/>
      <c r="K1408" s="71" t="str">
        <f>VLOOKUP(E1408,'HEAD OF THE FAMILY'!$B$6:$J1851,9,FALSE)</f>
        <v>#N/A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</row>
    <row r="1409">
      <c r="A1409" s="60">
        <f t="shared" si="5"/>
        <v>1404</v>
      </c>
      <c r="B1409" s="62" t="s">
        <v>3233</v>
      </c>
      <c r="C1409" s="62" t="s">
        <v>3234</v>
      </c>
      <c r="D1409" s="105"/>
      <c r="E1409" s="62" t="s">
        <v>2998</v>
      </c>
      <c r="F1409" s="60"/>
      <c r="G1409" s="92"/>
      <c r="H1409" s="60"/>
      <c r="I1409" s="60"/>
      <c r="J1409" s="60"/>
      <c r="K1409" s="71" t="str">
        <f>VLOOKUP(E1409,'HEAD OF THE FAMILY'!$B$6:$J1851,9,FALSE)</f>
        <v>BLK 45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</row>
    <row r="1410">
      <c r="A1410" s="60">
        <f t="shared" si="5"/>
        <v>1405</v>
      </c>
      <c r="B1410" s="62" t="s">
        <v>3233</v>
      </c>
      <c r="C1410" s="62" t="s">
        <v>3235</v>
      </c>
      <c r="D1410" s="105"/>
      <c r="E1410" s="62" t="s">
        <v>2998</v>
      </c>
      <c r="F1410" s="60"/>
      <c r="G1410" s="92"/>
      <c r="H1410" s="60"/>
      <c r="I1410" s="60"/>
      <c r="J1410" s="60"/>
      <c r="K1410" s="71" t="str">
        <f>VLOOKUP(E1410,'HEAD OF THE FAMILY'!$B$6:$J1851,9,FALSE)</f>
        <v>BLK 45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</row>
    <row r="1411">
      <c r="A1411" s="60">
        <f t="shared" si="5"/>
        <v>1406</v>
      </c>
      <c r="B1411" s="62" t="s">
        <v>3236</v>
      </c>
      <c r="C1411" s="62" t="s">
        <v>3237</v>
      </c>
      <c r="D1411" s="105"/>
      <c r="E1411" s="62" t="s">
        <v>2338</v>
      </c>
      <c r="F1411" s="60"/>
      <c r="G1411" s="92"/>
      <c r="H1411" s="60"/>
      <c r="I1411" s="60"/>
      <c r="J1411" s="60"/>
      <c r="K1411" s="71" t="str">
        <f>VLOOKUP(E1411,'HEAD OF THE FAMILY'!$B$6:$J1851,9,FALSE)</f>
        <v>BLK 45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</row>
    <row r="1412">
      <c r="A1412" s="60">
        <f t="shared" si="5"/>
        <v>1407</v>
      </c>
      <c r="B1412" s="62" t="s">
        <v>3238</v>
      </c>
      <c r="C1412" s="62" t="s">
        <v>3239</v>
      </c>
      <c r="D1412" s="62" t="s">
        <v>128</v>
      </c>
      <c r="E1412" s="62" t="s">
        <v>3240</v>
      </c>
      <c r="F1412" s="60"/>
      <c r="G1412" s="92"/>
      <c r="H1412" s="60"/>
      <c r="I1412" s="60"/>
      <c r="J1412" s="60"/>
      <c r="K1412" s="71" t="str">
        <f>VLOOKUP(E1412,'HEAD OF THE FAMILY'!$B$6:$J1851,9,FALSE)</f>
        <v>#N/A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</row>
    <row r="1413">
      <c r="A1413" s="60">
        <f t="shared" si="5"/>
        <v>1408</v>
      </c>
      <c r="B1413" s="62" t="s">
        <v>3238</v>
      </c>
      <c r="C1413" s="62" t="s">
        <v>3241</v>
      </c>
      <c r="D1413" s="62" t="s">
        <v>128</v>
      </c>
      <c r="E1413" s="62" t="s">
        <v>3240</v>
      </c>
      <c r="F1413" s="60"/>
      <c r="G1413" s="92"/>
      <c r="H1413" s="60"/>
      <c r="I1413" s="60"/>
      <c r="J1413" s="60"/>
      <c r="K1413" s="71" t="str">
        <f>VLOOKUP(E1413,'HEAD OF THE FAMILY'!$B$6:$J1851,9,FALSE)</f>
        <v>#N/A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</row>
    <row r="1414">
      <c r="A1414" s="60">
        <f t="shared" si="5"/>
        <v>1409</v>
      </c>
      <c r="B1414" s="62" t="s">
        <v>3242</v>
      </c>
      <c r="C1414" s="62" t="s">
        <v>3243</v>
      </c>
      <c r="D1414" s="62" t="s">
        <v>1088</v>
      </c>
      <c r="E1414" s="62" t="s">
        <v>2799</v>
      </c>
      <c r="F1414" s="60"/>
      <c r="G1414" s="92"/>
      <c r="H1414" s="60"/>
      <c r="I1414" s="60"/>
      <c r="J1414" s="60"/>
      <c r="K1414" s="71" t="str">
        <f>VLOOKUP(E1414,'HEAD OF THE FAMILY'!$B$6:$J1851,9,FALSE)</f>
        <v>BLK 45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</row>
    <row r="1415">
      <c r="A1415" s="60">
        <f t="shared" si="5"/>
        <v>1410</v>
      </c>
      <c r="B1415" s="62" t="s">
        <v>3242</v>
      </c>
      <c r="C1415" s="62" t="s">
        <v>3244</v>
      </c>
      <c r="D1415" s="62" t="s">
        <v>1088</v>
      </c>
      <c r="E1415" s="62" t="s">
        <v>2799</v>
      </c>
      <c r="F1415" s="60"/>
      <c r="G1415" s="92"/>
      <c r="H1415" s="60"/>
      <c r="I1415" s="60"/>
      <c r="J1415" s="60"/>
      <c r="K1415" s="71" t="str">
        <f>VLOOKUP(E1415,'HEAD OF THE FAMILY'!$B$6:$J1851,9,FALSE)</f>
        <v>BLK 45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</row>
    <row r="1416">
      <c r="A1416" s="60">
        <f t="shared" si="5"/>
        <v>1411</v>
      </c>
      <c r="B1416" s="62" t="s">
        <v>3245</v>
      </c>
      <c r="C1416" s="62" t="s">
        <v>3246</v>
      </c>
      <c r="D1416" s="62" t="s">
        <v>71</v>
      </c>
      <c r="E1416" s="62" t="s">
        <v>1949</v>
      </c>
      <c r="F1416" s="60"/>
      <c r="G1416" s="92"/>
      <c r="H1416" s="60"/>
      <c r="I1416" s="60"/>
      <c r="J1416" s="60"/>
      <c r="K1416" s="71" t="str">
        <f>VLOOKUP(E1416,'HEAD OF THE FAMILY'!$B$6:$J1851,9,FALSE)</f>
        <v>BLK 45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</row>
    <row r="1417">
      <c r="A1417" s="60">
        <f t="shared" si="5"/>
        <v>1412</v>
      </c>
      <c r="B1417" s="62" t="s">
        <v>3238</v>
      </c>
      <c r="C1417" s="62" t="s">
        <v>3247</v>
      </c>
      <c r="D1417" s="62" t="s">
        <v>894</v>
      </c>
      <c r="E1417" s="62" t="s">
        <v>2602</v>
      </c>
      <c r="F1417" s="60"/>
      <c r="G1417" s="92"/>
      <c r="H1417" s="60"/>
      <c r="I1417" s="60"/>
      <c r="J1417" s="60"/>
      <c r="K1417" s="71" t="str">
        <f>VLOOKUP(E1417,'HEAD OF THE FAMILY'!$B$6:$J1851,9,FALSE)</f>
        <v>BLK 45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</row>
    <row r="1418">
      <c r="A1418" s="60">
        <f t="shared" si="5"/>
        <v>1413</v>
      </c>
      <c r="B1418" s="62" t="s">
        <v>3248</v>
      </c>
      <c r="C1418" s="62" t="s">
        <v>3249</v>
      </c>
      <c r="D1418" s="62" t="s">
        <v>71</v>
      </c>
      <c r="E1418" s="62" t="s">
        <v>831</v>
      </c>
      <c r="F1418" s="60"/>
      <c r="G1418" s="92"/>
      <c r="H1418" s="60"/>
      <c r="I1418" s="60"/>
      <c r="J1418" s="60"/>
      <c r="K1418" s="71" t="str">
        <f>VLOOKUP(E1418,'HEAD OF THE FAMILY'!$B$6:$J1851,9,FALSE)</f>
        <v>BLK 45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</row>
    <row r="1419">
      <c r="A1419" s="60">
        <f t="shared" si="5"/>
        <v>1414</v>
      </c>
      <c r="B1419" s="62" t="s">
        <v>3248</v>
      </c>
      <c r="C1419" s="62" t="s">
        <v>385</v>
      </c>
      <c r="D1419" s="62" t="s">
        <v>71</v>
      </c>
      <c r="E1419" s="62" t="s">
        <v>831</v>
      </c>
      <c r="F1419" s="60"/>
      <c r="G1419" s="92"/>
      <c r="H1419" s="60"/>
      <c r="I1419" s="60"/>
      <c r="J1419" s="60"/>
      <c r="K1419" s="71" t="str">
        <f>VLOOKUP(E1419,'HEAD OF THE FAMILY'!$B$6:$J1851,9,FALSE)</f>
        <v>BLK 45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</row>
    <row r="1420">
      <c r="A1420" s="60">
        <f t="shared" si="5"/>
        <v>1415</v>
      </c>
      <c r="B1420" s="62" t="s">
        <v>3248</v>
      </c>
      <c r="C1420" s="62" t="s">
        <v>3250</v>
      </c>
      <c r="D1420" s="62" t="s">
        <v>71</v>
      </c>
      <c r="E1420" s="62" t="s">
        <v>831</v>
      </c>
      <c r="F1420" s="60"/>
      <c r="G1420" s="92"/>
      <c r="H1420" s="60"/>
      <c r="I1420" s="60"/>
      <c r="J1420" s="60"/>
      <c r="K1420" s="71" t="str">
        <f>VLOOKUP(E1420,'HEAD OF THE FAMILY'!$B$6:$J1851,9,FALSE)</f>
        <v>BLK 45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</row>
    <row r="1421">
      <c r="A1421" s="60">
        <f t="shared" si="5"/>
        <v>1416</v>
      </c>
      <c r="B1421" s="62" t="s">
        <v>3248</v>
      </c>
      <c r="C1421" s="62" t="s">
        <v>3251</v>
      </c>
      <c r="D1421" s="62" t="s">
        <v>71</v>
      </c>
      <c r="E1421" s="62" t="s">
        <v>831</v>
      </c>
      <c r="F1421" s="60"/>
      <c r="G1421" s="92"/>
      <c r="H1421" s="60"/>
      <c r="I1421" s="60"/>
      <c r="J1421" s="60"/>
      <c r="K1421" s="71" t="str">
        <f>VLOOKUP(E1421,'HEAD OF THE FAMILY'!$B$6:$J1851,9,FALSE)</f>
        <v>BLK 45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</row>
    <row r="1422">
      <c r="A1422" s="60">
        <f t="shared" si="5"/>
        <v>1417</v>
      </c>
      <c r="B1422" s="62" t="s">
        <v>3248</v>
      </c>
      <c r="C1422" s="62" t="s">
        <v>2686</v>
      </c>
      <c r="D1422" s="62" t="s">
        <v>71</v>
      </c>
      <c r="E1422" s="62" t="s">
        <v>831</v>
      </c>
      <c r="F1422" s="60"/>
      <c r="G1422" s="92"/>
      <c r="H1422" s="60"/>
      <c r="I1422" s="60"/>
      <c r="J1422" s="60"/>
      <c r="K1422" s="71" t="str">
        <f>VLOOKUP(E1422,'HEAD OF THE FAMILY'!$B$6:$J1851,9,FALSE)</f>
        <v>BLK 45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</row>
    <row r="1423">
      <c r="A1423" s="60">
        <f t="shared" si="5"/>
        <v>1418</v>
      </c>
      <c r="B1423" s="62" t="s">
        <v>3252</v>
      </c>
      <c r="C1423" s="62" t="s">
        <v>3253</v>
      </c>
      <c r="D1423" s="62" t="s">
        <v>894</v>
      </c>
      <c r="E1423" s="62" t="s">
        <v>2011</v>
      </c>
      <c r="F1423" s="60"/>
      <c r="G1423" s="92"/>
      <c r="H1423" s="60"/>
      <c r="I1423" s="60"/>
      <c r="J1423" s="60"/>
      <c r="K1423" s="71" t="str">
        <f>VLOOKUP(E1423,'HEAD OF THE FAMILY'!$B$6:$J1851,9,FALSE)</f>
        <v>BLK 45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</row>
    <row r="1424">
      <c r="A1424" s="60">
        <f t="shared" si="5"/>
        <v>1419</v>
      </c>
      <c r="B1424" s="62" t="s">
        <v>1328</v>
      </c>
      <c r="C1424" s="62" t="s">
        <v>3254</v>
      </c>
      <c r="D1424" s="62" t="s">
        <v>141</v>
      </c>
      <c r="E1424" s="62" t="s">
        <v>528</v>
      </c>
      <c r="F1424" s="60"/>
      <c r="G1424" s="92"/>
      <c r="H1424" s="60"/>
      <c r="I1424" s="60"/>
      <c r="J1424" s="60"/>
      <c r="K1424" s="71" t="str">
        <f>VLOOKUP(E1424,'HEAD OF THE FAMILY'!$B$6:$J1851,9,FALSE)</f>
        <v>BLK 45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</row>
    <row r="1425">
      <c r="A1425" s="60">
        <f t="shared" si="5"/>
        <v>1420</v>
      </c>
      <c r="B1425" s="62" t="s">
        <v>3255</v>
      </c>
      <c r="C1425" s="62" t="s">
        <v>3256</v>
      </c>
      <c r="D1425" s="62" t="s">
        <v>141</v>
      </c>
      <c r="E1425" s="62" t="s">
        <v>528</v>
      </c>
      <c r="F1425" s="60"/>
      <c r="G1425" s="92"/>
      <c r="H1425" s="60"/>
      <c r="I1425" s="60"/>
      <c r="J1425" s="60"/>
      <c r="K1425" s="71" t="str">
        <f>VLOOKUP(E1425,'HEAD OF THE FAMILY'!$B$6:$J1851,9,FALSE)</f>
        <v>BLK 45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</row>
    <row r="1426">
      <c r="A1426" s="60">
        <f t="shared" si="5"/>
        <v>1421</v>
      </c>
      <c r="B1426" s="62" t="s">
        <v>3257</v>
      </c>
      <c r="C1426" s="62" t="s">
        <v>3215</v>
      </c>
      <c r="D1426" s="105"/>
      <c r="E1426" s="62" t="s">
        <v>1211</v>
      </c>
      <c r="F1426" s="60"/>
      <c r="G1426" s="92"/>
      <c r="H1426" s="60"/>
      <c r="I1426" s="60"/>
      <c r="J1426" s="60"/>
      <c r="K1426" s="71" t="str">
        <f>VLOOKUP(E1426,'HEAD OF THE FAMILY'!$B$6:$J1851,9,FALSE)</f>
        <v>BLK 45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</row>
    <row r="1427">
      <c r="A1427" s="60">
        <f t="shared" si="5"/>
        <v>1422</v>
      </c>
      <c r="B1427" s="62" t="s">
        <v>3257</v>
      </c>
      <c r="C1427" s="62" t="s">
        <v>3258</v>
      </c>
      <c r="D1427" s="105"/>
      <c r="E1427" s="62" t="s">
        <v>1211</v>
      </c>
      <c r="F1427" s="60"/>
      <c r="G1427" s="92"/>
      <c r="H1427" s="60"/>
      <c r="I1427" s="60"/>
      <c r="J1427" s="60"/>
      <c r="K1427" s="71" t="str">
        <f>VLOOKUP(E1427,'HEAD OF THE FAMILY'!$B$6:$J1851,9,FALSE)</f>
        <v>BLK 45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</row>
    <row r="1428">
      <c r="A1428" s="60">
        <f t="shared" si="5"/>
        <v>1423</v>
      </c>
      <c r="B1428" s="62" t="s">
        <v>3259</v>
      </c>
      <c r="C1428" s="62" t="s">
        <v>3260</v>
      </c>
      <c r="D1428" s="105"/>
      <c r="E1428" s="62" t="s">
        <v>561</v>
      </c>
      <c r="F1428" s="60"/>
      <c r="G1428" s="92"/>
      <c r="H1428" s="60"/>
      <c r="I1428" s="60"/>
      <c r="J1428" s="60"/>
      <c r="K1428" s="71" t="str">
        <f>VLOOKUP(E1428,'HEAD OF THE FAMILY'!$B$6:$J1851,9,FALSE)</f>
        <v>BLK 45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</row>
    <row r="1429">
      <c r="A1429" s="60">
        <f t="shared" si="5"/>
        <v>1424</v>
      </c>
      <c r="B1429" s="62" t="s">
        <v>3261</v>
      </c>
      <c r="C1429" s="62" t="s">
        <v>3262</v>
      </c>
      <c r="D1429" s="105"/>
      <c r="E1429" s="62" t="s">
        <v>2756</v>
      </c>
      <c r="F1429" s="60"/>
      <c r="G1429" s="92"/>
      <c r="H1429" s="60"/>
      <c r="I1429" s="60"/>
      <c r="J1429" s="60"/>
      <c r="K1429" s="71" t="str">
        <f>VLOOKUP(E1429,'HEAD OF THE FAMILY'!$B$6:$J1851,9,FALSE)</f>
        <v>BLK 45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</row>
    <row r="1430">
      <c r="A1430" s="60">
        <f t="shared" si="5"/>
        <v>1425</v>
      </c>
      <c r="B1430" s="62" t="s">
        <v>3263</v>
      </c>
      <c r="C1430" s="62" t="s">
        <v>3264</v>
      </c>
      <c r="D1430" s="105"/>
      <c r="E1430" s="62" t="s">
        <v>1521</v>
      </c>
      <c r="F1430" s="60"/>
      <c r="G1430" s="92"/>
      <c r="H1430" s="60"/>
      <c r="I1430" s="60"/>
      <c r="J1430" s="60"/>
      <c r="K1430" s="71" t="str">
        <f>VLOOKUP(E1430,'HEAD OF THE FAMILY'!$B$6:$J1851,9,FALSE)</f>
        <v>BLK 45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</row>
    <row r="1431">
      <c r="A1431" s="60">
        <f t="shared" si="5"/>
        <v>1426</v>
      </c>
      <c r="B1431" s="62" t="s">
        <v>3265</v>
      </c>
      <c r="C1431" s="62" t="s">
        <v>3266</v>
      </c>
      <c r="D1431" s="62" t="s">
        <v>894</v>
      </c>
      <c r="E1431" s="62" t="s">
        <v>1438</v>
      </c>
      <c r="F1431" s="60"/>
      <c r="G1431" s="92"/>
      <c r="H1431" s="60"/>
      <c r="I1431" s="60"/>
      <c r="J1431" s="60"/>
      <c r="K1431" s="71" t="str">
        <f>VLOOKUP(E1431,'HEAD OF THE FAMILY'!$B$6:$J1851,9,FALSE)</f>
        <v>BLK 45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</row>
    <row r="1432">
      <c r="A1432" s="60">
        <f t="shared" si="5"/>
        <v>1427</v>
      </c>
      <c r="B1432" s="62" t="s">
        <v>3265</v>
      </c>
      <c r="C1432" s="62" t="s">
        <v>3267</v>
      </c>
      <c r="D1432" s="62" t="s">
        <v>894</v>
      </c>
      <c r="E1432" s="62" t="s">
        <v>1438</v>
      </c>
      <c r="F1432" s="60"/>
      <c r="G1432" s="92"/>
      <c r="H1432" s="60"/>
      <c r="I1432" s="60"/>
      <c r="J1432" s="60"/>
      <c r="K1432" s="71" t="str">
        <f>VLOOKUP(E1432,'HEAD OF THE FAMILY'!$B$6:$J1851,9,FALSE)</f>
        <v>BLK 45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</row>
    <row r="1433">
      <c r="A1433" s="60">
        <f t="shared" si="5"/>
        <v>1428</v>
      </c>
      <c r="B1433" s="62" t="s">
        <v>3268</v>
      </c>
      <c r="C1433" s="62" t="s">
        <v>3269</v>
      </c>
      <c r="D1433" s="62" t="s">
        <v>657</v>
      </c>
      <c r="E1433" s="62" t="s">
        <v>3138</v>
      </c>
      <c r="F1433" s="60"/>
      <c r="G1433" s="92"/>
      <c r="H1433" s="60"/>
      <c r="I1433" s="60"/>
      <c r="J1433" s="60"/>
      <c r="K1433" s="71" t="str">
        <f>VLOOKUP(E1433,'HEAD OF THE FAMILY'!$B$6:$J1851,9,FALSE)</f>
        <v>BLK 5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</row>
    <row r="1434">
      <c r="A1434" s="60">
        <f t="shared" si="5"/>
        <v>1429</v>
      </c>
      <c r="B1434" s="62" t="s">
        <v>3270</v>
      </c>
      <c r="C1434" s="62" t="s">
        <v>3271</v>
      </c>
      <c r="D1434" s="105"/>
      <c r="E1434" s="62" t="s">
        <v>965</v>
      </c>
      <c r="F1434" s="60"/>
      <c r="G1434" s="92"/>
      <c r="H1434" s="60"/>
      <c r="I1434" s="60"/>
      <c r="J1434" s="60"/>
      <c r="K1434" s="71" t="str">
        <f>VLOOKUP(E1434,'HEAD OF THE FAMILY'!$B$6:$J1851,9,FALSE)</f>
        <v>BLK 5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</row>
    <row r="1435">
      <c r="A1435" s="60">
        <f t="shared" si="5"/>
        <v>1430</v>
      </c>
      <c r="B1435" s="62" t="s">
        <v>3272</v>
      </c>
      <c r="C1435" s="62" t="s">
        <v>3273</v>
      </c>
      <c r="D1435" s="62" t="s">
        <v>1088</v>
      </c>
      <c r="E1435" s="62" t="s">
        <v>1478</v>
      </c>
      <c r="F1435" s="60"/>
      <c r="G1435" s="92"/>
      <c r="H1435" s="60"/>
      <c r="I1435" s="60"/>
      <c r="J1435" s="60"/>
      <c r="K1435" s="71" t="str">
        <f>VLOOKUP(E1435,'HEAD OF THE FAMILY'!$B$6:$J1851,9,FALSE)</f>
        <v>BLK 5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</row>
    <row r="1436">
      <c r="A1436" s="60">
        <f t="shared" si="5"/>
        <v>1431</v>
      </c>
      <c r="B1436" s="62" t="s">
        <v>3272</v>
      </c>
      <c r="C1436" s="62" t="s">
        <v>3274</v>
      </c>
      <c r="D1436" s="62" t="s">
        <v>1088</v>
      </c>
      <c r="E1436" s="62" t="s">
        <v>1478</v>
      </c>
      <c r="F1436" s="60"/>
      <c r="G1436" s="92"/>
      <c r="H1436" s="60"/>
      <c r="I1436" s="60"/>
      <c r="J1436" s="60"/>
      <c r="K1436" s="71" t="str">
        <f>VLOOKUP(E1436,'HEAD OF THE FAMILY'!$B$6:$J1851,9,FALSE)</f>
        <v>BLK 5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</row>
    <row r="1437">
      <c r="A1437" s="60">
        <f t="shared" si="5"/>
        <v>1432</v>
      </c>
      <c r="B1437" s="62" t="s">
        <v>3275</v>
      </c>
      <c r="C1437" s="62" t="s">
        <v>3276</v>
      </c>
      <c r="D1437" s="105"/>
      <c r="E1437" s="62" t="s">
        <v>2299</v>
      </c>
      <c r="F1437" s="60"/>
      <c r="G1437" s="92"/>
      <c r="H1437" s="60"/>
      <c r="I1437" s="60"/>
      <c r="J1437" s="60"/>
      <c r="K1437" s="71" t="str">
        <f>VLOOKUP(E1437,'HEAD OF THE FAMILY'!$B$6:$J1851,9,FALSE)</f>
        <v>BLK 45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</row>
    <row r="1438">
      <c r="A1438" s="60" t="str">
        <f t="shared" si="5"/>
        <v/>
      </c>
      <c r="B1438" s="62"/>
      <c r="C1438" s="62"/>
      <c r="D1438" s="105"/>
      <c r="E1438" s="105"/>
      <c r="F1438" s="60"/>
      <c r="G1438" s="92"/>
      <c r="H1438" s="60"/>
      <c r="I1438" s="60"/>
      <c r="J1438" s="60"/>
      <c r="K1438" s="71" t="str">
        <f>VLOOKUP(E1438,'HEAD OF THE FAMILY'!$B$6:$J1851,9,FALSE)</f>
        <v>#N/A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</row>
    <row r="1439">
      <c r="A1439" s="60" t="str">
        <f t="shared" si="5"/>
        <v/>
      </c>
      <c r="B1439" s="62"/>
      <c r="C1439" s="62"/>
      <c r="D1439" s="105"/>
      <c r="E1439" s="105"/>
      <c r="F1439" s="60"/>
      <c r="G1439" s="92"/>
      <c r="H1439" s="60"/>
      <c r="I1439" s="60"/>
      <c r="J1439" s="60"/>
      <c r="K1439" s="71" t="str">
        <f>VLOOKUP(E1439,'HEAD OF THE FAMILY'!$B$6:$J1851,9,FALSE)</f>
        <v>#N/A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</row>
    <row r="1440">
      <c r="A1440" s="60" t="str">
        <f t="shared" si="5"/>
        <v/>
      </c>
      <c r="B1440" s="62"/>
      <c r="C1440" s="62"/>
      <c r="D1440" s="105"/>
      <c r="E1440" s="105"/>
      <c r="F1440" s="60"/>
      <c r="G1440" s="92"/>
      <c r="H1440" s="60"/>
      <c r="I1440" s="60"/>
      <c r="J1440" s="60"/>
      <c r="K1440" s="71" t="str">
        <f>VLOOKUP(E1440,'HEAD OF THE FAMILY'!$B$6:$J1851,9,FALSE)</f>
        <v>#N/A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</row>
    <row r="1441">
      <c r="A1441" s="60" t="str">
        <f t="shared" si="5"/>
        <v/>
      </c>
      <c r="B1441" s="62"/>
      <c r="C1441" s="62"/>
      <c r="D1441" s="105"/>
      <c r="E1441" s="105"/>
      <c r="F1441" s="60"/>
      <c r="G1441" s="92"/>
      <c r="H1441" s="60"/>
      <c r="I1441" s="60"/>
      <c r="J1441" s="60"/>
      <c r="K1441" s="71" t="str">
        <f>VLOOKUP(E1441,'HEAD OF THE FAMILY'!$B$6:$J1851,9,FALSE)</f>
        <v>#N/A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</row>
    <row r="1442">
      <c r="A1442" s="60" t="str">
        <f t="shared" si="5"/>
        <v/>
      </c>
      <c r="B1442" s="62"/>
      <c r="C1442" s="62"/>
      <c r="D1442" s="105"/>
      <c r="E1442" s="105"/>
      <c r="F1442" s="60"/>
      <c r="G1442" s="92"/>
      <c r="H1442" s="60"/>
      <c r="I1442" s="60"/>
      <c r="J1442" s="60"/>
      <c r="K1442" s="71" t="str">
        <f>VLOOKUP(E1442,'HEAD OF THE FAMILY'!$B$6:$J1851,9,FALSE)</f>
        <v>#N/A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</row>
    <row r="1443">
      <c r="A1443" s="60" t="str">
        <f t="shared" si="5"/>
        <v/>
      </c>
      <c r="B1443" s="62"/>
      <c r="C1443" s="62"/>
      <c r="D1443" s="105"/>
      <c r="E1443" s="105"/>
      <c r="F1443" s="60"/>
      <c r="G1443" s="92"/>
      <c r="H1443" s="60"/>
      <c r="I1443" s="60"/>
      <c r="J1443" s="60"/>
      <c r="K1443" s="71" t="str">
        <f>VLOOKUP(E1443,'HEAD OF THE FAMILY'!$B$6:$J1851,9,FALSE)</f>
        <v>#N/A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</row>
    <row r="1444">
      <c r="A1444" s="60" t="str">
        <f t="shared" si="5"/>
        <v/>
      </c>
      <c r="B1444" s="62"/>
      <c r="C1444" s="62"/>
      <c r="D1444" s="105"/>
      <c r="E1444" s="105"/>
      <c r="F1444" s="60"/>
      <c r="G1444" s="92"/>
      <c r="H1444" s="60"/>
      <c r="I1444" s="60"/>
      <c r="J1444" s="60"/>
      <c r="K1444" s="71" t="str">
        <f>VLOOKUP(E1444,'HEAD OF THE FAMILY'!$B$6:$J1851,9,FALSE)</f>
        <v>#N/A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</row>
    <row r="1445">
      <c r="A1445" s="60" t="str">
        <f t="shared" si="5"/>
        <v/>
      </c>
      <c r="B1445" s="62"/>
      <c r="C1445" s="62"/>
      <c r="D1445" s="105"/>
      <c r="E1445" s="105"/>
      <c r="F1445" s="60"/>
      <c r="G1445" s="92"/>
      <c r="H1445" s="60"/>
      <c r="I1445" s="60"/>
      <c r="J1445" s="60"/>
      <c r="K1445" s="71" t="str">
        <f>VLOOKUP(E1445,'HEAD OF THE FAMILY'!$B$6:$J1851,9,FALSE)</f>
        <v>#N/A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</row>
    <row r="1446">
      <c r="A1446" s="60" t="str">
        <f t="shared" si="5"/>
        <v/>
      </c>
      <c r="B1446" s="62"/>
      <c r="C1446" s="62"/>
      <c r="D1446" s="105"/>
      <c r="E1446" s="105"/>
      <c r="F1446" s="60"/>
      <c r="G1446" s="92"/>
      <c r="H1446" s="60"/>
      <c r="I1446" s="60"/>
      <c r="J1446" s="60"/>
      <c r="K1446" s="71" t="str">
        <f>VLOOKUP(E1446,'HEAD OF THE FAMILY'!$B$6:$J1851,9,FALSE)</f>
        <v>#N/A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</row>
    <row r="1447">
      <c r="A1447" s="60" t="str">
        <f t="shared" si="5"/>
        <v/>
      </c>
      <c r="B1447" s="62"/>
      <c r="C1447" s="62"/>
      <c r="D1447" s="105"/>
      <c r="E1447" s="105"/>
      <c r="F1447" s="60"/>
      <c r="G1447" s="92"/>
      <c r="H1447" s="60"/>
      <c r="I1447" s="60"/>
      <c r="J1447" s="60"/>
      <c r="K1447" s="71" t="str">
        <f>VLOOKUP(E1447,'HEAD OF THE FAMILY'!$B$6:$J1851,9,FALSE)</f>
        <v>#N/A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</row>
    <row r="1448">
      <c r="A1448" s="60" t="str">
        <f t="shared" si="5"/>
        <v/>
      </c>
      <c r="B1448" s="62"/>
      <c r="C1448" s="62"/>
      <c r="D1448" s="105"/>
      <c r="E1448" s="105"/>
      <c r="F1448" s="60"/>
      <c r="G1448" s="92"/>
      <c r="H1448" s="60"/>
      <c r="I1448" s="60"/>
      <c r="J1448" s="60"/>
      <c r="K1448" s="71" t="str">
        <f>VLOOKUP(E1448,'HEAD OF THE FAMILY'!$B$6:$J1851,9,FALSE)</f>
        <v>#N/A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</row>
    <row r="1449">
      <c r="A1449" s="60" t="str">
        <f t="shared" si="5"/>
        <v/>
      </c>
      <c r="B1449" s="62"/>
      <c r="C1449" s="62"/>
      <c r="D1449" s="105"/>
      <c r="E1449" s="105"/>
      <c r="F1449" s="60"/>
      <c r="G1449" s="92"/>
      <c r="H1449" s="60"/>
      <c r="I1449" s="60"/>
      <c r="J1449" s="60"/>
      <c r="K1449" s="71" t="str">
        <f>VLOOKUP(E1449,'HEAD OF THE FAMILY'!$B$6:$J1851,9,FALSE)</f>
        <v>#N/A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</row>
    <row r="1450">
      <c r="A1450" s="60" t="str">
        <f t="shared" si="5"/>
        <v/>
      </c>
      <c r="B1450" s="62"/>
      <c r="C1450" s="62"/>
      <c r="D1450" s="105"/>
      <c r="E1450" s="105"/>
      <c r="F1450" s="60"/>
      <c r="G1450" s="92"/>
      <c r="H1450" s="60"/>
      <c r="I1450" s="60"/>
      <c r="J1450" s="60"/>
      <c r="K1450" s="71" t="str">
        <f>VLOOKUP(E1450,'HEAD OF THE FAMILY'!$B$6:$J1851,9,FALSE)</f>
        <v>#N/A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</row>
    <row r="1451">
      <c r="A1451" s="60" t="str">
        <f t="shared" si="5"/>
        <v/>
      </c>
      <c r="B1451" s="62"/>
      <c r="C1451" s="62"/>
      <c r="D1451" s="105"/>
      <c r="E1451" s="105"/>
      <c r="F1451" s="60"/>
      <c r="G1451" s="92"/>
      <c r="H1451" s="60"/>
      <c r="I1451" s="60"/>
      <c r="J1451" s="60"/>
      <c r="K1451" s="71" t="str">
        <f>VLOOKUP(E1451,'HEAD OF THE FAMILY'!$B$6:$J1851,9,FALSE)</f>
        <v>#N/A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</row>
    <row r="1452">
      <c r="A1452" s="60" t="str">
        <f t="shared" si="5"/>
        <v/>
      </c>
      <c r="B1452" s="62"/>
      <c r="C1452" s="62"/>
      <c r="D1452" s="105"/>
      <c r="E1452" s="105"/>
      <c r="F1452" s="60"/>
      <c r="G1452" s="92"/>
      <c r="H1452" s="60"/>
      <c r="I1452" s="60"/>
      <c r="J1452" s="60"/>
      <c r="K1452" s="71" t="str">
        <f>VLOOKUP(E1452,'HEAD OF THE FAMILY'!$B$6:$J1851,9,FALSE)</f>
        <v>#N/A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</row>
    <row r="1453">
      <c r="A1453" s="60" t="str">
        <f t="shared" si="5"/>
        <v/>
      </c>
      <c r="B1453" s="62"/>
      <c r="C1453" s="62"/>
      <c r="D1453" s="105"/>
      <c r="E1453" s="105"/>
      <c r="F1453" s="60"/>
      <c r="G1453" s="92"/>
      <c r="H1453" s="60"/>
      <c r="I1453" s="60"/>
      <c r="J1453" s="60"/>
      <c r="K1453" s="71" t="str">
        <f>VLOOKUP(E1453,'HEAD OF THE FAMILY'!$B$6:$J1851,9,FALSE)</f>
        <v>#N/A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</row>
    <row r="1454">
      <c r="A1454" s="60" t="str">
        <f t="shared" si="5"/>
        <v/>
      </c>
      <c r="B1454" s="62"/>
      <c r="C1454" s="62"/>
      <c r="D1454" s="105"/>
      <c r="E1454" s="105"/>
      <c r="F1454" s="60"/>
      <c r="G1454" s="92"/>
      <c r="H1454" s="60"/>
      <c r="I1454" s="60"/>
      <c r="J1454" s="60"/>
      <c r="K1454" s="71" t="str">
        <f>VLOOKUP(E1454,'HEAD OF THE FAMILY'!$B$6:$J1851,9,FALSE)</f>
        <v>#N/A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</row>
    <row r="1455">
      <c r="A1455" s="60" t="str">
        <f t="shared" si="5"/>
        <v/>
      </c>
      <c r="B1455" s="62"/>
      <c r="C1455" s="62"/>
      <c r="D1455" s="105"/>
      <c r="E1455" s="105"/>
      <c r="F1455" s="60"/>
      <c r="G1455" s="92"/>
      <c r="H1455" s="60"/>
      <c r="I1455" s="60"/>
      <c r="J1455" s="60"/>
      <c r="K1455" s="71" t="str">
        <f>VLOOKUP(E1455,'HEAD OF THE FAMILY'!$B$6:$J1851,9,FALSE)</f>
        <v>#N/A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</row>
    <row r="1456">
      <c r="A1456" s="60" t="str">
        <f t="shared" si="5"/>
        <v/>
      </c>
      <c r="B1456" s="62"/>
      <c r="C1456" s="62"/>
      <c r="D1456" s="105"/>
      <c r="E1456" s="105"/>
      <c r="F1456" s="60"/>
      <c r="G1456" s="92"/>
      <c r="H1456" s="60"/>
      <c r="I1456" s="60"/>
      <c r="J1456" s="60"/>
      <c r="K1456" s="71" t="str">
        <f>VLOOKUP(E1456,'HEAD OF THE FAMILY'!$B$6:$J1851,9,FALSE)</f>
        <v>#N/A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</row>
    <row r="1457">
      <c r="A1457" s="60" t="str">
        <f t="shared" si="5"/>
        <v/>
      </c>
      <c r="B1457" s="62"/>
      <c r="C1457" s="62"/>
      <c r="D1457" s="105"/>
      <c r="E1457" s="105"/>
      <c r="F1457" s="60"/>
      <c r="G1457" s="92"/>
      <c r="H1457" s="60"/>
      <c r="I1457" s="60"/>
      <c r="J1457" s="60"/>
      <c r="K1457" s="71" t="str">
        <f>VLOOKUP(E1457,'HEAD OF THE FAMILY'!$B$6:$J1851,9,FALSE)</f>
        <v>#N/A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</row>
    <row r="1458">
      <c r="A1458" s="60" t="str">
        <f t="shared" si="5"/>
        <v/>
      </c>
      <c r="B1458" s="62"/>
      <c r="C1458" s="62"/>
      <c r="D1458" s="105"/>
      <c r="E1458" s="105"/>
      <c r="F1458" s="60"/>
      <c r="G1458" s="92"/>
      <c r="H1458" s="60"/>
      <c r="I1458" s="60"/>
      <c r="J1458" s="60"/>
      <c r="K1458" s="71" t="str">
        <f>VLOOKUP(E1458,'HEAD OF THE FAMILY'!$B$6:$J1851,9,FALSE)</f>
        <v>#N/A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</row>
    <row r="1459">
      <c r="A1459" s="60" t="str">
        <f t="shared" si="5"/>
        <v/>
      </c>
      <c r="B1459" s="62"/>
      <c r="C1459" s="62"/>
      <c r="D1459" s="105"/>
      <c r="E1459" s="105"/>
      <c r="F1459" s="60"/>
      <c r="G1459" s="92"/>
      <c r="H1459" s="60"/>
      <c r="I1459" s="60"/>
      <c r="J1459" s="60"/>
      <c r="K1459" s="71" t="str">
        <f>VLOOKUP(E1459,'HEAD OF THE FAMILY'!$B$6:$J1851,9,FALSE)</f>
        <v>#N/A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</row>
    <row r="1460">
      <c r="A1460" s="60" t="str">
        <f t="shared" si="5"/>
        <v/>
      </c>
      <c r="B1460" s="62"/>
      <c r="C1460" s="62"/>
      <c r="D1460" s="105"/>
      <c r="E1460" s="105"/>
      <c r="F1460" s="60"/>
      <c r="G1460" s="92"/>
      <c r="H1460" s="60"/>
      <c r="I1460" s="60"/>
      <c r="J1460" s="60"/>
      <c r="K1460" s="71" t="str">
        <f>VLOOKUP(E1460,'HEAD OF THE FAMILY'!$B$6:$J1851,9,FALSE)</f>
        <v>#N/A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</row>
    <row r="1461">
      <c r="A1461" s="60" t="str">
        <f t="shared" si="5"/>
        <v/>
      </c>
      <c r="B1461" s="62"/>
      <c r="C1461" s="62"/>
      <c r="D1461" s="105"/>
      <c r="E1461" s="105"/>
      <c r="F1461" s="60"/>
      <c r="G1461" s="92"/>
      <c r="H1461" s="60"/>
      <c r="I1461" s="60"/>
      <c r="J1461" s="60"/>
      <c r="K1461" s="71" t="str">
        <f>VLOOKUP(E1461,'HEAD OF THE FAMILY'!$B$6:$J1851,9,FALSE)</f>
        <v>#N/A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</row>
    <row r="1462">
      <c r="A1462" s="60" t="str">
        <f t="shared" si="5"/>
        <v/>
      </c>
      <c r="B1462" s="62"/>
      <c r="C1462" s="62"/>
      <c r="D1462" s="105"/>
      <c r="E1462" s="105"/>
      <c r="F1462" s="60"/>
      <c r="G1462" s="92"/>
      <c r="H1462" s="60"/>
      <c r="I1462" s="60"/>
      <c r="J1462" s="60"/>
      <c r="K1462" s="71" t="str">
        <f>VLOOKUP(E1462,'HEAD OF THE FAMILY'!$B$6:$J1851,9,FALSE)</f>
        <v>#N/A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</row>
    <row r="1463">
      <c r="A1463" s="60" t="str">
        <f t="shared" si="5"/>
        <v/>
      </c>
      <c r="B1463" s="62"/>
      <c r="C1463" s="62"/>
      <c r="D1463" s="105"/>
      <c r="E1463" s="105"/>
      <c r="F1463" s="60"/>
      <c r="G1463" s="92"/>
      <c r="H1463" s="60"/>
      <c r="I1463" s="60"/>
      <c r="J1463" s="60"/>
      <c r="K1463" s="71" t="str">
        <f>VLOOKUP(E1463,'HEAD OF THE FAMILY'!$B$6:$J1851,9,FALSE)</f>
        <v>#N/A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</row>
    <row r="1464">
      <c r="A1464" s="60" t="str">
        <f t="shared" si="5"/>
        <v/>
      </c>
      <c r="B1464" s="62"/>
      <c r="C1464" s="62"/>
      <c r="D1464" s="105"/>
      <c r="E1464" s="105"/>
      <c r="F1464" s="60"/>
      <c r="G1464" s="92"/>
      <c r="H1464" s="60"/>
      <c r="I1464" s="60"/>
      <c r="J1464" s="60"/>
      <c r="K1464" s="71" t="str">
        <f>VLOOKUP(E1464,'HEAD OF THE FAMILY'!$B$6:$J1851,9,FALSE)</f>
        <v>#N/A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</row>
    <row r="1465">
      <c r="A1465" s="60" t="str">
        <f t="shared" si="5"/>
        <v/>
      </c>
      <c r="B1465" s="62"/>
      <c r="C1465" s="62"/>
      <c r="D1465" s="105"/>
      <c r="E1465" s="105"/>
      <c r="F1465" s="60"/>
      <c r="G1465" s="92"/>
      <c r="H1465" s="60"/>
      <c r="I1465" s="60"/>
      <c r="J1465" s="60"/>
      <c r="K1465" s="71" t="str">
        <f>VLOOKUP(E1465,'HEAD OF THE FAMILY'!$B$6:$J1851,9,FALSE)</f>
        <v>#N/A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</row>
    <row r="1466">
      <c r="A1466" s="60" t="str">
        <f t="shared" si="5"/>
        <v/>
      </c>
      <c r="B1466" s="62"/>
      <c r="C1466" s="62"/>
      <c r="D1466" s="105"/>
      <c r="E1466" s="105"/>
      <c r="F1466" s="60"/>
      <c r="G1466" s="92"/>
      <c r="H1466" s="60"/>
      <c r="I1466" s="60"/>
      <c r="J1466" s="60"/>
      <c r="K1466" s="71" t="str">
        <f>VLOOKUP(E1466,'HEAD OF THE FAMILY'!$B$6:$J1851,9,FALSE)</f>
        <v>#N/A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</row>
    <row r="1467">
      <c r="A1467" s="60" t="str">
        <f t="shared" si="5"/>
        <v/>
      </c>
      <c r="B1467" s="62"/>
      <c r="C1467" s="62"/>
      <c r="D1467" s="105"/>
      <c r="E1467" s="105"/>
      <c r="F1467" s="60"/>
      <c r="G1467" s="92"/>
      <c r="H1467" s="60"/>
      <c r="I1467" s="60"/>
      <c r="J1467" s="60"/>
      <c r="K1467" s="71" t="str">
        <f>VLOOKUP(E1467,'HEAD OF THE FAMILY'!$B$6:$J1851,9,FALSE)</f>
        <v>#N/A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</row>
    <row r="1468">
      <c r="A1468" s="60" t="str">
        <f t="shared" si="5"/>
        <v/>
      </c>
      <c r="B1468" s="62"/>
      <c r="C1468" s="62"/>
      <c r="D1468" s="105"/>
      <c r="E1468" s="105"/>
      <c r="F1468" s="60"/>
      <c r="G1468" s="92"/>
      <c r="H1468" s="60"/>
      <c r="I1468" s="60"/>
      <c r="J1468" s="60"/>
      <c r="K1468" s="71" t="str">
        <f>VLOOKUP(E1468,'HEAD OF THE FAMILY'!$B$6:$J1851,9,FALSE)</f>
        <v>#N/A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</row>
    <row r="1469">
      <c r="A1469" s="60" t="str">
        <f t="shared" si="5"/>
        <v/>
      </c>
      <c r="B1469" s="62"/>
      <c r="C1469" s="62"/>
      <c r="D1469" s="105"/>
      <c r="E1469" s="105"/>
      <c r="F1469" s="60"/>
      <c r="G1469" s="92"/>
      <c r="H1469" s="60"/>
      <c r="I1469" s="60"/>
      <c r="J1469" s="60"/>
      <c r="K1469" s="71" t="str">
        <f>VLOOKUP(E1469,'HEAD OF THE FAMILY'!$B$6:$J1851,9,FALSE)</f>
        <v>#N/A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</row>
    <row r="1470">
      <c r="A1470" s="60" t="str">
        <f t="shared" si="5"/>
        <v/>
      </c>
      <c r="B1470" s="62"/>
      <c r="C1470" s="62"/>
      <c r="D1470" s="105"/>
      <c r="E1470" s="105"/>
      <c r="F1470" s="60"/>
      <c r="G1470" s="92"/>
      <c r="H1470" s="60"/>
      <c r="I1470" s="60"/>
      <c r="J1470" s="60"/>
      <c r="K1470" s="71" t="str">
        <f>VLOOKUP(E1470,'HEAD OF THE FAMILY'!$B$6:$J1851,9,FALSE)</f>
        <v>#N/A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</row>
    <row r="1471">
      <c r="A1471" s="60" t="str">
        <f t="shared" si="5"/>
        <v/>
      </c>
      <c r="B1471" s="62"/>
      <c r="C1471" s="62"/>
      <c r="D1471" s="105"/>
      <c r="E1471" s="105"/>
      <c r="F1471" s="60"/>
      <c r="G1471" s="92"/>
      <c r="H1471" s="60"/>
      <c r="I1471" s="60"/>
      <c r="J1471" s="60"/>
      <c r="K1471" s="71" t="str">
        <f>VLOOKUP(E1471,'HEAD OF THE FAMILY'!$B$6:$J1851,9,FALSE)</f>
        <v>#N/A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</row>
    <row r="1472">
      <c r="A1472" s="60" t="str">
        <f t="shared" si="5"/>
        <v/>
      </c>
      <c r="B1472" s="62"/>
      <c r="C1472" s="62"/>
      <c r="D1472" s="105"/>
      <c r="E1472" s="105"/>
      <c r="F1472" s="60"/>
      <c r="G1472" s="92"/>
      <c r="H1472" s="60"/>
      <c r="I1472" s="60"/>
      <c r="J1472" s="60"/>
      <c r="K1472" s="71" t="str">
        <f>VLOOKUP(E1472,'HEAD OF THE FAMILY'!$B$6:$J1851,9,FALSE)</f>
        <v>#N/A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</row>
    <row r="1473">
      <c r="A1473" s="60" t="str">
        <f t="shared" si="5"/>
        <v/>
      </c>
      <c r="B1473" s="62"/>
      <c r="C1473" s="62"/>
      <c r="D1473" s="105"/>
      <c r="E1473" s="105"/>
      <c r="F1473" s="60"/>
      <c r="G1473" s="92"/>
      <c r="H1473" s="60"/>
      <c r="I1473" s="60"/>
      <c r="J1473" s="60"/>
      <c r="K1473" s="71" t="str">
        <f>VLOOKUP(E1473,'HEAD OF THE FAMILY'!$B$6:$J1851,9,FALSE)</f>
        <v>#N/A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</row>
    <row r="1474">
      <c r="A1474" s="60" t="str">
        <f t="shared" si="5"/>
        <v/>
      </c>
      <c r="B1474" s="62"/>
      <c r="C1474" s="62"/>
      <c r="D1474" s="105"/>
      <c r="E1474" s="105"/>
      <c r="F1474" s="60"/>
      <c r="G1474" s="92"/>
      <c r="H1474" s="60"/>
      <c r="I1474" s="60"/>
      <c r="J1474" s="60"/>
      <c r="K1474" s="71" t="str">
        <f>VLOOKUP(E1474,'HEAD OF THE FAMILY'!$B$6:$J1851,9,FALSE)</f>
        <v>#N/A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</row>
    <row r="1475">
      <c r="A1475" s="60" t="str">
        <f t="shared" si="5"/>
        <v/>
      </c>
      <c r="B1475" s="62"/>
      <c r="C1475" s="62"/>
      <c r="D1475" s="105"/>
      <c r="E1475" s="105"/>
      <c r="F1475" s="60"/>
      <c r="G1475" s="92"/>
      <c r="H1475" s="60"/>
      <c r="I1475" s="60"/>
      <c r="J1475" s="60"/>
      <c r="K1475" s="71" t="str">
        <f>VLOOKUP(E1475,'HEAD OF THE FAMILY'!$B$6:$J1851,9,FALSE)</f>
        <v>#N/A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</row>
    <row r="1476">
      <c r="A1476" s="60" t="str">
        <f t="shared" si="5"/>
        <v/>
      </c>
      <c r="B1476" s="62"/>
      <c r="C1476" s="62"/>
      <c r="D1476" s="105"/>
      <c r="E1476" s="105"/>
      <c r="F1476" s="60"/>
      <c r="G1476" s="92"/>
      <c r="H1476" s="60"/>
      <c r="I1476" s="60"/>
      <c r="J1476" s="60"/>
      <c r="K1476" s="71" t="str">
        <f>VLOOKUP(E1476,'HEAD OF THE FAMILY'!$B$6:$J1851,9,FALSE)</f>
        <v>#N/A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</row>
    <row r="1477">
      <c r="A1477" s="60" t="str">
        <f t="shared" si="5"/>
        <v/>
      </c>
      <c r="B1477" s="62"/>
      <c r="C1477" s="62"/>
      <c r="D1477" s="105"/>
      <c r="E1477" s="105"/>
      <c r="F1477" s="60"/>
      <c r="G1477" s="92"/>
      <c r="H1477" s="60"/>
      <c r="I1477" s="60"/>
      <c r="J1477" s="60"/>
      <c r="K1477" s="71" t="str">
        <f>VLOOKUP(E1477,'HEAD OF THE FAMILY'!$B$6:$J1851,9,FALSE)</f>
        <v>#N/A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</row>
    <row r="1478">
      <c r="A1478" s="60" t="str">
        <f t="shared" si="5"/>
        <v/>
      </c>
      <c r="B1478" s="62"/>
      <c r="C1478" s="62"/>
      <c r="D1478" s="105"/>
      <c r="E1478" s="105"/>
      <c r="F1478" s="60"/>
      <c r="G1478" s="92"/>
      <c r="H1478" s="60"/>
      <c r="I1478" s="60"/>
      <c r="J1478" s="60"/>
      <c r="K1478" s="71" t="str">
        <f>VLOOKUP(E1478,'HEAD OF THE FAMILY'!$B$6:$J1851,9,FALSE)</f>
        <v>#N/A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</row>
    <row r="1479">
      <c r="A1479" s="60" t="str">
        <f t="shared" si="5"/>
        <v/>
      </c>
      <c r="B1479" s="62"/>
      <c r="C1479" s="62"/>
      <c r="D1479" s="105"/>
      <c r="E1479" s="105"/>
      <c r="F1479" s="60"/>
      <c r="G1479" s="92"/>
      <c r="H1479" s="60"/>
      <c r="I1479" s="60"/>
      <c r="J1479" s="60"/>
      <c r="K1479" s="71" t="str">
        <f>VLOOKUP(E1479,'HEAD OF THE FAMILY'!$B$6:$J1851,9,FALSE)</f>
        <v>#N/A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</row>
    <row r="1480">
      <c r="A1480" s="60" t="str">
        <f t="shared" si="5"/>
        <v/>
      </c>
      <c r="B1480" s="62"/>
      <c r="C1480" s="62"/>
      <c r="D1480" s="105"/>
      <c r="E1480" s="105"/>
      <c r="F1480" s="60"/>
      <c r="G1480" s="92"/>
      <c r="H1480" s="60"/>
      <c r="I1480" s="60"/>
      <c r="J1480" s="60"/>
      <c r="K1480" s="71" t="str">
        <f>VLOOKUP(E1480,'HEAD OF THE FAMILY'!$B$6:$J1851,9,FALSE)</f>
        <v>#N/A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</row>
    <row r="1481">
      <c r="A1481" s="60" t="str">
        <f t="shared" si="5"/>
        <v/>
      </c>
      <c r="B1481" s="62"/>
      <c r="C1481" s="62"/>
      <c r="D1481" s="105"/>
      <c r="E1481" s="105"/>
      <c r="F1481" s="60"/>
      <c r="G1481" s="92"/>
      <c r="H1481" s="60"/>
      <c r="I1481" s="60"/>
      <c r="J1481" s="60"/>
      <c r="K1481" s="71" t="str">
        <f>VLOOKUP(E1481,'HEAD OF THE FAMILY'!$B$6:$J1851,9,FALSE)</f>
        <v>#N/A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</row>
    <row r="1482">
      <c r="A1482" s="60" t="str">
        <f t="shared" si="5"/>
        <v/>
      </c>
      <c r="B1482" s="62"/>
      <c r="C1482" s="62"/>
      <c r="D1482" s="105"/>
      <c r="E1482" s="105"/>
      <c r="F1482" s="60"/>
      <c r="G1482" s="92"/>
      <c r="H1482" s="60"/>
      <c r="I1482" s="60"/>
      <c r="J1482" s="60"/>
      <c r="K1482" s="71" t="str">
        <f>VLOOKUP(E1482,'HEAD OF THE FAMILY'!$B$6:$J1851,9,FALSE)</f>
        <v>#N/A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</row>
    <row r="1483">
      <c r="A1483" s="60" t="str">
        <f t="shared" si="5"/>
        <v/>
      </c>
      <c r="B1483" s="62"/>
      <c r="C1483" s="62"/>
      <c r="D1483" s="105"/>
      <c r="E1483" s="105"/>
      <c r="F1483" s="60"/>
      <c r="G1483" s="92"/>
      <c r="H1483" s="60"/>
      <c r="I1483" s="60"/>
      <c r="J1483" s="60"/>
      <c r="K1483" s="71" t="str">
        <f>VLOOKUP(E1483,'HEAD OF THE FAMILY'!$B$6:$J1851,9,FALSE)</f>
        <v>#N/A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</row>
    <row r="1484">
      <c r="A1484" s="60" t="str">
        <f t="shared" si="5"/>
        <v/>
      </c>
      <c r="B1484" s="62"/>
      <c r="C1484" s="62"/>
      <c r="D1484" s="105"/>
      <c r="E1484" s="105"/>
      <c r="F1484" s="60"/>
      <c r="G1484" s="92"/>
      <c r="H1484" s="60"/>
      <c r="I1484" s="60"/>
      <c r="J1484" s="60"/>
      <c r="K1484" s="71" t="str">
        <f>VLOOKUP(E1484,'HEAD OF THE FAMILY'!$B$6:$J1851,9,FALSE)</f>
        <v>#N/A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</row>
    <row r="1485">
      <c r="A1485" s="60" t="str">
        <f t="shared" si="5"/>
        <v/>
      </c>
      <c r="B1485" s="62"/>
      <c r="C1485" s="62"/>
      <c r="D1485" s="105"/>
      <c r="E1485" s="105"/>
      <c r="F1485" s="60"/>
      <c r="G1485" s="92"/>
      <c r="H1485" s="60"/>
      <c r="I1485" s="60"/>
      <c r="J1485" s="60"/>
      <c r="K1485" s="71" t="str">
        <f>VLOOKUP(E1485,'HEAD OF THE FAMILY'!$B$6:$J1851,9,FALSE)</f>
        <v>#N/A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</row>
    <row r="1486">
      <c r="A1486" s="60" t="str">
        <f t="shared" si="5"/>
        <v/>
      </c>
      <c r="B1486" s="62"/>
      <c r="C1486" s="62"/>
      <c r="D1486" s="105"/>
      <c r="E1486" s="105"/>
      <c r="F1486" s="60"/>
      <c r="G1486" s="92"/>
      <c r="H1486" s="60"/>
      <c r="I1486" s="60"/>
      <c r="J1486" s="60"/>
      <c r="K1486" s="71" t="str">
        <f>VLOOKUP(E1486,'HEAD OF THE FAMILY'!$B$6:$J1851,9,FALSE)</f>
        <v>#N/A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</row>
    <row r="1487">
      <c r="A1487" s="60" t="str">
        <f t="shared" si="5"/>
        <v/>
      </c>
      <c r="B1487" s="62"/>
      <c r="C1487" s="62"/>
      <c r="D1487" s="105"/>
      <c r="E1487" s="105"/>
      <c r="F1487" s="60"/>
      <c r="G1487" s="92"/>
      <c r="H1487" s="60"/>
      <c r="I1487" s="60"/>
      <c r="J1487" s="60"/>
      <c r="K1487" s="71" t="str">
        <f>VLOOKUP(E1487,'HEAD OF THE FAMILY'!$B$6:$J1851,9,FALSE)</f>
        <v>#N/A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</row>
    <row r="1488">
      <c r="A1488" s="60" t="str">
        <f t="shared" si="5"/>
        <v/>
      </c>
      <c r="B1488" s="62"/>
      <c r="C1488" s="62"/>
      <c r="D1488" s="105"/>
      <c r="E1488" s="105"/>
      <c r="F1488" s="60"/>
      <c r="G1488" s="92"/>
      <c r="H1488" s="60"/>
      <c r="I1488" s="60"/>
      <c r="J1488" s="60"/>
      <c r="K1488" s="71" t="str">
        <f>VLOOKUP(E1488,'HEAD OF THE FAMILY'!$B$6:$J1851,9,FALSE)</f>
        <v>#N/A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</row>
    <row r="1489">
      <c r="A1489" s="60" t="str">
        <f t="shared" si="5"/>
        <v/>
      </c>
      <c r="B1489" s="62"/>
      <c r="C1489" s="62"/>
      <c r="D1489" s="105"/>
      <c r="E1489" s="105"/>
      <c r="F1489" s="60"/>
      <c r="G1489" s="92"/>
      <c r="H1489" s="60"/>
      <c r="I1489" s="60"/>
      <c r="J1489" s="60"/>
      <c r="K1489" s="71" t="str">
        <f>VLOOKUP(E1489,'HEAD OF THE FAMILY'!$B$6:$J1851,9,FALSE)</f>
        <v>#N/A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</row>
    <row r="1490">
      <c r="A1490" s="60" t="str">
        <f t="shared" si="5"/>
        <v/>
      </c>
      <c r="B1490" s="62"/>
      <c r="C1490" s="62"/>
      <c r="D1490" s="105"/>
      <c r="E1490" s="105"/>
      <c r="F1490" s="60"/>
      <c r="G1490" s="92"/>
      <c r="H1490" s="60"/>
      <c r="I1490" s="60"/>
      <c r="J1490" s="60"/>
      <c r="K1490" s="71" t="str">
        <f>VLOOKUP(E1490,'HEAD OF THE FAMILY'!$B$6:$J1851,9,FALSE)</f>
        <v>#N/A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</row>
    <row r="1491">
      <c r="A1491" s="60" t="str">
        <f t="shared" si="5"/>
        <v/>
      </c>
      <c r="B1491" s="62"/>
      <c r="C1491" s="62"/>
      <c r="D1491" s="105"/>
      <c r="E1491" s="105"/>
      <c r="F1491" s="60"/>
      <c r="G1491" s="92"/>
      <c r="H1491" s="60"/>
      <c r="I1491" s="60"/>
      <c r="J1491" s="60"/>
      <c r="K1491" s="71" t="str">
        <f>VLOOKUP(E1491,'HEAD OF THE FAMILY'!$B$6:$J1851,9,FALSE)</f>
        <v>#N/A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</row>
    <row r="1492">
      <c r="A1492" s="60" t="str">
        <f t="shared" si="5"/>
        <v/>
      </c>
      <c r="B1492" s="62"/>
      <c r="C1492" s="62"/>
      <c r="D1492" s="105"/>
      <c r="E1492" s="105"/>
      <c r="F1492" s="60"/>
      <c r="G1492" s="92"/>
      <c r="H1492" s="60"/>
      <c r="I1492" s="60"/>
      <c r="J1492" s="60"/>
      <c r="K1492" s="71" t="str">
        <f>VLOOKUP(E1492,'HEAD OF THE FAMILY'!$B$6:$J1851,9,FALSE)</f>
        <v>#N/A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</row>
    <row r="1493">
      <c r="A1493" s="60" t="str">
        <f t="shared" si="5"/>
        <v/>
      </c>
      <c r="B1493" s="62"/>
      <c r="C1493" s="62"/>
      <c r="D1493" s="105"/>
      <c r="E1493" s="105"/>
      <c r="F1493" s="60"/>
      <c r="G1493" s="92"/>
      <c r="H1493" s="60"/>
      <c r="I1493" s="60"/>
      <c r="J1493" s="60"/>
      <c r="K1493" s="71" t="str">
        <f>VLOOKUP(E1493,'HEAD OF THE FAMILY'!$B$6:$J1851,9,FALSE)</f>
        <v>#N/A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</row>
    <row r="1494">
      <c r="A1494" s="60" t="str">
        <f t="shared" si="5"/>
        <v/>
      </c>
      <c r="B1494" s="62"/>
      <c r="C1494" s="62"/>
      <c r="D1494" s="105"/>
      <c r="E1494" s="105"/>
      <c r="F1494" s="60"/>
      <c r="G1494" s="92"/>
      <c r="H1494" s="60"/>
      <c r="I1494" s="60"/>
      <c r="J1494" s="60"/>
      <c r="K1494" s="71" t="str">
        <f>VLOOKUP(E1494,'HEAD OF THE FAMILY'!$B$6:$J1851,9,FALSE)</f>
        <v>#N/A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</row>
    <row r="1495">
      <c r="A1495" s="60" t="str">
        <f t="shared" si="5"/>
        <v/>
      </c>
      <c r="B1495" s="62"/>
      <c r="C1495" s="62"/>
      <c r="D1495" s="105"/>
      <c r="E1495" s="105"/>
      <c r="F1495" s="60"/>
      <c r="G1495" s="92"/>
      <c r="H1495" s="60"/>
      <c r="I1495" s="60"/>
      <c r="J1495" s="60"/>
      <c r="K1495" s="71" t="str">
        <f>VLOOKUP(E1495,'HEAD OF THE FAMILY'!$B$6:$J1851,9,FALSE)</f>
        <v>#N/A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</row>
    <row r="1496">
      <c r="A1496" s="60" t="str">
        <f t="shared" si="5"/>
        <v/>
      </c>
      <c r="B1496" s="62"/>
      <c r="C1496" s="62"/>
      <c r="D1496" s="105"/>
      <c r="E1496" s="105"/>
      <c r="F1496" s="60"/>
      <c r="G1496" s="92"/>
      <c r="H1496" s="60"/>
      <c r="I1496" s="60"/>
      <c r="J1496" s="60"/>
      <c r="K1496" s="71" t="str">
        <f>VLOOKUP(E1496,'HEAD OF THE FAMILY'!$B$6:$J1851,9,FALSE)</f>
        <v>#N/A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</row>
    <row r="1497">
      <c r="A1497" s="60" t="str">
        <f t="shared" si="5"/>
        <v/>
      </c>
      <c r="B1497" s="62"/>
      <c r="C1497" s="62"/>
      <c r="D1497" s="105"/>
      <c r="E1497" s="105"/>
      <c r="F1497" s="60"/>
      <c r="G1497" s="92"/>
      <c r="H1497" s="60"/>
      <c r="I1497" s="60"/>
      <c r="J1497" s="60"/>
      <c r="K1497" s="71" t="str">
        <f>VLOOKUP(E1497,'HEAD OF THE FAMILY'!$B$6:$J1851,9,FALSE)</f>
        <v>#N/A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</row>
    <row r="1498">
      <c r="A1498" s="60" t="str">
        <f t="shared" si="5"/>
        <v/>
      </c>
      <c r="B1498" s="62"/>
      <c r="C1498" s="62"/>
      <c r="D1498" s="105"/>
      <c r="E1498" s="105"/>
      <c r="F1498" s="60"/>
      <c r="G1498" s="92"/>
      <c r="H1498" s="60"/>
      <c r="I1498" s="60"/>
      <c r="J1498" s="60"/>
      <c r="K1498" s="71" t="str">
        <f>VLOOKUP(E1498,'HEAD OF THE FAMILY'!$B$6:$J1851,9,FALSE)</f>
        <v>#N/A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</row>
    <row r="1499">
      <c r="A1499" s="60" t="str">
        <f t="shared" si="5"/>
        <v/>
      </c>
      <c r="B1499" s="62"/>
      <c r="C1499" s="62"/>
      <c r="D1499" s="105"/>
      <c r="E1499" s="105"/>
      <c r="F1499" s="60"/>
      <c r="G1499" s="92"/>
      <c r="H1499" s="60"/>
      <c r="I1499" s="60"/>
      <c r="J1499" s="60"/>
      <c r="K1499" s="71" t="str">
        <f>VLOOKUP(E1499,'HEAD OF THE FAMILY'!$B$6:$J1851,9,FALSE)</f>
        <v>#N/A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</row>
    <row r="1500">
      <c r="A1500" s="60" t="str">
        <f t="shared" si="5"/>
        <v/>
      </c>
      <c r="B1500" s="62"/>
      <c r="C1500" s="62"/>
      <c r="D1500" s="105"/>
      <c r="E1500" s="105"/>
      <c r="F1500" s="60"/>
      <c r="G1500" s="92"/>
      <c r="H1500" s="60"/>
      <c r="I1500" s="60"/>
      <c r="J1500" s="60"/>
      <c r="K1500" s="71" t="str">
        <f>VLOOKUP(E1500,'HEAD OF THE FAMILY'!$B$6:$J1851,9,FALSE)</f>
        <v>#N/A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</row>
    <row r="1501">
      <c r="A1501" s="60" t="str">
        <f t="shared" si="5"/>
        <v/>
      </c>
      <c r="B1501" s="62"/>
      <c r="C1501" s="62"/>
      <c r="D1501" s="105"/>
      <c r="E1501" s="105"/>
      <c r="F1501" s="60"/>
      <c r="G1501" s="92"/>
      <c r="H1501" s="60"/>
      <c r="I1501" s="60"/>
      <c r="J1501" s="60"/>
      <c r="K1501" s="71" t="str">
        <f>VLOOKUP(E1501,'HEAD OF THE FAMILY'!$B$6:$J1851,9,FALSE)</f>
        <v>#N/A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</row>
    <row r="1502">
      <c r="A1502" s="60" t="str">
        <f t="shared" si="5"/>
        <v/>
      </c>
      <c r="B1502" s="62"/>
      <c r="C1502" s="62"/>
      <c r="D1502" s="105"/>
      <c r="E1502" s="105"/>
      <c r="F1502" s="60"/>
      <c r="G1502" s="92"/>
      <c r="H1502" s="60"/>
      <c r="I1502" s="60"/>
      <c r="J1502" s="60"/>
      <c r="K1502" s="71" t="str">
        <f>VLOOKUP(E1502,'HEAD OF THE FAMILY'!$B$6:$J1851,9,FALSE)</f>
        <v>#N/A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</row>
    <row r="1503">
      <c r="A1503" s="60" t="str">
        <f t="shared" si="5"/>
        <v/>
      </c>
      <c r="B1503" s="62"/>
      <c r="C1503" s="62"/>
      <c r="D1503" s="105"/>
      <c r="E1503" s="105"/>
      <c r="F1503" s="60"/>
      <c r="G1503" s="92"/>
      <c r="H1503" s="60"/>
      <c r="I1503" s="60"/>
      <c r="J1503" s="60"/>
      <c r="K1503" s="71" t="str">
        <f>VLOOKUP(E1503,'HEAD OF THE FAMILY'!$B$6:$J1851,9,FALSE)</f>
        <v>#N/A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</row>
    <row r="1504">
      <c r="A1504" s="60" t="str">
        <f t="shared" si="5"/>
        <v/>
      </c>
      <c r="B1504" s="62"/>
      <c r="C1504" s="62"/>
      <c r="D1504" s="105"/>
      <c r="E1504" s="105"/>
      <c r="F1504" s="60"/>
      <c r="G1504" s="92"/>
      <c r="H1504" s="60"/>
      <c r="I1504" s="60"/>
      <c r="J1504" s="60"/>
      <c r="K1504" s="71" t="str">
        <f>VLOOKUP(E1504,'HEAD OF THE FAMILY'!$B$6:$J1851,9,FALSE)</f>
        <v>#N/A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</row>
    <row r="1505">
      <c r="A1505" s="60" t="str">
        <f t="shared" si="5"/>
        <v/>
      </c>
      <c r="B1505" s="62"/>
      <c r="C1505" s="62"/>
      <c r="D1505" s="105"/>
      <c r="E1505" s="105"/>
      <c r="F1505" s="60"/>
      <c r="G1505" s="92"/>
      <c r="H1505" s="60"/>
      <c r="I1505" s="60"/>
      <c r="J1505" s="60"/>
      <c r="K1505" s="71" t="str">
        <f>VLOOKUP(E1505,'HEAD OF THE FAMILY'!$B$6:$J1851,9,FALSE)</f>
        <v>#N/A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</row>
    <row r="1506">
      <c r="A1506" s="60" t="str">
        <f t="shared" si="5"/>
        <v/>
      </c>
      <c r="B1506" s="62"/>
      <c r="C1506" s="62"/>
      <c r="D1506" s="105"/>
      <c r="E1506" s="105"/>
      <c r="F1506" s="60"/>
      <c r="G1506" s="92"/>
      <c r="H1506" s="60"/>
      <c r="I1506" s="60"/>
      <c r="J1506" s="60"/>
      <c r="K1506" s="71" t="str">
        <f>VLOOKUP(E1506,'HEAD OF THE FAMILY'!$B$6:$J1851,9,FALSE)</f>
        <v>#N/A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</row>
    <row r="1507">
      <c r="A1507" s="60" t="str">
        <f t="shared" si="5"/>
        <v/>
      </c>
      <c r="B1507" s="62"/>
      <c r="C1507" s="62"/>
      <c r="D1507" s="105"/>
      <c r="E1507" s="105"/>
      <c r="F1507" s="60"/>
      <c r="G1507" s="92"/>
      <c r="H1507" s="60"/>
      <c r="I1507" s="60"/>
      <c r="J1507" s="60"/>
      <c r="K1507" s="71" t="str">
        <f>VLOOKUP(E1507,'HEAD OF THE FAMILY'!$B$6:$J1851,9,FALSE)</f>
        <v>#N/A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</row>
    <row r="1508">
      <c r="A1508" s="60" t="str">
        <f t="shared" si="5"/>
        <v/>
      </c>
      <c r="B1508" s="62"/>
      <c r="C1508" s="62"/>
      <c r="D1508" s="105"/>
      <c r="E1508" s="105"/>
      <c r="F1508" s="60"/>
      <c r="G1508" s="92"/>
      <c r="H1508" s="60"/>
      <c r="I1508" s="60"/>
      <c r="J1508" s="60"/>
      <c r="K1508" s="71" t="str">
        <f>VLOOKUP(E1508,'HEAD OF THE FAMILY'!$B$6:$J1851,9,FALSE)</f>
        <v>#N/A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</row>
    <row r="1509">
      <c r="A1509" s="60" t="str">
        <f t="shared" si="5"/>
        <v/>
      </c>
      <c r="B1509" s="62"/>
      <c r="C1509" s="62"/>
      <c r="D1509" s="105"/>
      <c r="E1509" s="105"/>
      <c r="F1509" s="60"/>
      <c r="G1509" s="92"/>
      <c r="H1509" s="60"/>
      <c r="I1509" s="60"/>
      <c r="J1509" s="60"/>
      <c r="K1509" s="71" t="str">
        <f>VLOOKUP(E1509,'HEAD OF THE FAMILY'!$B$6:$J1851,9,FALSE)</f>
        <v>#N/A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</row>
    <row r="1510">
      <c r="A1510" s="60" t="str">
        <f t="shared" si="5"/>
        <v/>
      </c>
      <c r="B1510" s="62"/>
      <c r="C1510" s="62"/>
      <c r="D1510" s="105"/>
      <c r="E1510" s="105"/>
      <c r="F1510" s="60"/>
      <c r="G1510" s="92"/>
      <c r="H1510" s="60"/>
      <c r="I1510" s="60"/>
      <c r="J1510" s="60"/>
      <c r="K1510" s="71" t="str">
        <f>VLOOKUP(E1510,'HEAD OF THE FAMILY'!$B$6:$J1851,9,FALSE)</f>
        <v>#N/A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</row>
    <row r="1511">
      <c r="A1511" s="60" t="str">
        <f t="shared" si="5"/>
        <v/>
      </c>
      <c r="B1511" s="62"/>
      <c r="C1511" s="62"/>
      <c r="D1511" s="105"/>
      <c r="E1511" s="105"/>
      <c r="F1511" s="60"/>
      <c r="G1511" s="92"/>
      <c r="H1511" s="60"/>
      <c r="I1511" s="60"/>
      <c r="J1511" s="60"/>
      <c r="K1511" s="71" t="str">
        <f>VLOOKUP(E1511,'HEAD OF THE FAMILY'!$B$6:$J1851,9,FALSE)</f>
        <v>#N/A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</row>
    <row r="1512">
      <c r="A1512" s="60" t="str">
        <f t="shared" si="5"/>
        <v/>
      </c>
      <c r="B1512" s="62"/>
      <c r="C1512" s="62"/>
      <c r="D1512" s="105"/>
      <c r="E1512" s="105"/>
      <c r="F1512" s="60"/>
      <c r="G1512" s="92"/>
      <c r="H1512" s="60"/>
      <c r="I1512" s="60"/>
      <c r="J1512" s="60"/>
      <c r="K1512" s="71" t="str">
        <f>VLOOKUP(E1512,'HEAD OF THE FAMILY'!$B$6:$J1851,9,FALSE)</f>
        <v>#N/A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</row>
    <row r="1513">
      <c r="A1513" s="60" t="str">
        <f t="shared" si="5"/>
        <v/>
      </c>
      <c r="B1513" s="62"/>
      <c r="C1513" s="62"/>
      <c r="D1513" s="105"/>
      <c r="E1513" s="105"/>
      <c r="F1513" s="60"/>
      <c r="G1513" s="92"/>
      <c r="H1513" s="60"/>
      <c r="I1513" s="60"/>
      <c r="J1513" s="60"/>
      <c r="K1513" s="71" t="str">
        <f>VLOOKUP(E1513,'HEAD OF THE FAMILY'!$B$6:$J1851,9,FALSE)</f>
        <v>#N/A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</row>
    <row r="1514">
      <c r="A1514" s="60" t="str">
        <f t="shared" si="5"/>
        <v/>
      </c>
      <c r="B1514" s="62"/>
      <c r="C1514" s="62"/>
      <c r="D1514" s="105"/>
      <c r="E1514" s="105"/>
      <c r="F1514" s="60"/>
      <c r="G1514" s="92"/>
      <c r="H1514" s="60"/>
      <c r="I1514" s="60"/>
      <c r="J1514" s="60"/>
      <c r="K1514" s="71" t="str">
        <f>VLOOKUP(E1514,'HEAD OF THE FAMILY'!$B$6:$J1851,9,FALSE)</f>
        <v>#N/A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</row>
    <row r="1515">
      <c r="A1515" s="60" t="str">
        <f t="shared" si="5"/>
        <v/>
      </c>
      <c r="B1515" s="62"/>
      <c r="C1515" s="62"/>
      <c r="D1515" s="105"/>
      <c r="E1515" s="105"/>
      <c r="F1515" s="60"/>
      <c r="G1515" s="92"/>
      <c r="H1515" s="60"/>
      <c r="I1515" s="60"/>
      <c r="J1515" s="60"/>
      <c r="K1515" s="71" t="str">
        <f>VLOOKUP(E1515,'HEAD OF THE FAMILY'!$B$6:$J1851,9,FALSE)</f>
        <v>#N/A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</row>
    <row r="1516">
      <c r="A1516" s="60" t="str">
        <f t="shared" si="5"/>
        <v/>
      </c>
      <c r="B1516" s="62"/>
      <c r="C1516" s="62"/>
      <c r="D1516" s="105"/>
      <c r="E1516" s="105"/>
      <c r="F1516" s="60"/>
      <c r="G1516" s="92"/>
      <c r="H1516" s="60"/>
      <c r="I1516" s="60"/>
      <c r="J1516" s="60"/>
      <c r="K1516" s="71" t="str">
        <f>VLOOKUP(E1516,'HEAD OF THE FAMILY'!$B$6:$J1851,9,FALSE)</f>
        <v>#N/A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</row>
    <row r="1517">
      <c r="A1517" s="60" t="str">
        <f t="shared" si="5"/>
        <v/>
      </c>
      <c r="B1517" s="62"/>
      <c r="C1517" s="62"/>
      <c r="D1517" s="105"/>
      <c r="E1517" s="105"/>
      <c r="F1517" s="60"/>
      <c r="G1517" s="92"/>
      <c r="H1517" s="60"/>
      <c r="I1517" s="60"/>
      <c r="J1517" s="60"/>
      <c r="K1517" s="71" t="str">
        <f>VLOOKUP(E1517,'HEAD OF THE FAMILY'!$B$6:$J1851,9,FALSE)</f>
        <v>#N/A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</row>
    <row r="1518">
      <c r="A1518" s="60" t="str">
        <f t="shared" si="5"/>
        <v/>
      </c>
      <c r="B1518" s="62"/>
      <c r="C1518" s="62"/>
      <c r="D1518" s="105"/>
      <c r="E1518" s="105"/>
      <c r="F1518" s="60"/>
      <c r="G1518" s="92"/>
      <c r="H1518" s="60"/>
      <c r="I1518" s="60"/>
      <c r="J1518" s="60"/>
      <c r="K1518" s="71" t="str">
        <f>VLOOKUP(E1518,'HEAD OF THE FAMILY'!$B$6:$J1851,9,FALSE)</f>
        <v>#N/A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</row>
    <row r="1519">
      <c r="A1519" s="60" t="str">
        <f t="shared" si="5"/>
        <v/>
      </c>
      <c r="B1519" s="62"/>
      <c r="C1519" s="62"/>
      <c r="D1519" s="105"/>
      <c r="E1519" s="105"/>
      <c r="F1519" s="60"/>
      <c r="G1519" s="92"/>
      <c r="H1519" s="60"/>
      <c r="I1519" s="60"/>
      <c r="J1519" s="60"/>
      <c r="K1519" s="71" t="str">
        <f>VLOOKUP(E1519,'HEAD OF THE FAMILY'!$B$6:$J1851,9,FALSE)</f>
        <v>#N/A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</row>
    <row r="1520">
      <c r="A1520" s="60" t="str">
        <f t="shared" si="5"/>
        <v/>
      </c>
      <c r="B1520" s="62"/>
      <c r="C1520" s="62"/>
      <c r="D1520" s="105"/>
      <c r="E1520" s="105"/>
      <c r="F1520" s="60"/>
      <c r="G1520" s="92"/>
      <c r="H1520" s="60"/>
      <c r="I1520" s="60"/>
      <c r="J1520" s="60"/>
      <c r="K1520" s="71" t="str">
        <f>VLOOKUP(E1520,'HEAD OF THE FAMILY'!$B$6:$J1851,9,FALSE)</f>
        <v>#N/A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</row>
    <row r="1521">
      <c r="A1521" s="60" t="str">
        <f t="shared" si="5"/>
        <v/>
      </c>
      <c r="B1521" s="62"/>
      <c r="C1521" s="62"/>
      <c r="D1521" s="105"/>
      <c r="E1521" s="105"/>
      <c r="F1521" s="60"/>
      <c r="G1521" s="92"/>
      <c r="H1521" s="60"/>
      <c r="I1521" s="60"/>
      <c r="J1521" s="60"/>
      <c r="K1521" s="71" t="str">
        <f>VLOOKUP(E1521,'HEAD OF THE FAMILY'!$B$6:$J1851,9,FALSE)</f>
        <v>#N/A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</row>
    <row r="1522">
      <c r="A1522" s="60" t="str">
        <f t="shared" si="5"/>
        <v/>
      </c>
      <c r="B1522" s="62"/>
      <c r="C1522" s="62"/>
      <c r="D1522" s="105"/>
      <c r="E1522" s="105"/>
      <c r="F1522" s="60"/>
      <c r="G1522" s="92"/>
      <c r="H1522" s="60"/>
      <c r="I1522" s="60"/>
      <c r="J1522" s="60"/>
      <c r="K1522" s="71" t="str">
        <f>VLOOKUP(E1522,'HEAD OF THE FAMILY'!$B$6:$J1851,9,FALSE)</f>
        <v>#N/A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</row>
    <row r="1523">
      <c r="A1523" s="60" t="str">
        <f t="shared" si="5"/>
        <v/>
      </c>
      <c r="B1523" s="62"/>
      <c r="C1523" s="62"/>
      <c r="D1523" s="105"/>
      <c r="E1523" s="105"/>
      <c r="F1523" s="60"/>
      <c r="G1523" s="92"/>
      <c r="H1523" s="60"/>
      <c r="I1523" s="60"/>
      <c r="J1523" s="60"/>
      <c r="K1523" s="71" t="str">
        <f>VLOOKUP(E1523,'HEAD OF THE FAMILY'!$B$6:$J1851,9,FALSE)</f>
        <v>#N/A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</row>
    <row r="1524">
      <c r="A1524" s="60" t="str">
        <f t="shared" si="5"/>
        <v/>
      </c>
      <c r="B1524" s="62"/>
      <c r="C1524" s="62"/>
      <c r="D1524" s="105"/>
      <c r="E1524" s="105"/>
      <c r="F1524" s="60"/>
      <c r="G1524" s="92"/>
      <c r="H1524" s="60"/>
      <c r="I1524" s="60"/>
      <c r="J1524" s="60"/>
      <c r="K1524" s="71" t="str">
        <f>VLOOKUP(E1524,'HEAD OF THE FAMILY'!$B$6:$J1851,9,FALSE)</f>
        <v>#N/A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</row>
    <row r="1525">
      <c r="A1525" s="60" t="str">
        <f t="shared" si="5"/>
        <v/>
      </c>
      <c r="B1525" s="62"/>
      <c r="C1525" s="62"/>
      <c r="D1525" s="105"/>
      <c r="E1525" s="105"/>
      <c r="F1525" s="60"/>
      <c r="G1525" s="92"/>
      <c r="H1525" s="60"/>
      <c r="I1525" s="60"/>
      <c r="J1525" s="60"/>
      <c r="K1525" s="71" t="str">
        <f>VLOOKUP(E1525,'HEAD OF THE FAMILY'!$B$6:$J1851,9,FALSE)</f>
        <v>#N/A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</row>
    <row r="1526">
      <c r="A1526" s="60" t="str">
        <f t="shared" si="5"/>
        <v/>
      </c>
      <c r="B1526" s="62"/>
      <c r="C1526" s="62"/>
      <c r="D1526" s="105"/>
      <c r="E1526" s="105"/>
      <c r="F1526" s="60"/>
      <c r="G1526" s="92"/>
      <c r="H1526" s="60"/>
      <c r="I1526" s="60"/>
      <c r="J1526" s="60"/>
      <c r="K1526" s="71" t="str">
        <f>VLOOKUP(E1526,'HEAD OF THE FAMILY'!$B$6:$J1851,9,FALSE)</f>
        <v>#N/A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</row>
    <row r="1527">
      <c r="A1527" s="60" t="str">
        <f t="shared" si="5"/>
        <v/>
      </c>
      <c r="B1527" s="62"/>
      <c r="C1527" s="62"/>
      <c r="D1527" s="105"/>
      <c r="E1527" s="105"/>
      <c r="F1527" s="60"/>
      <c r="G1527" s="92"/>
      <c r="H1527" s="60"/>
      <c r="I1527" s="60"/>
      <c r="J1527" s="60"/>
      <c r="K1527" s="71" t="str">
        <f>VLOOKUP(E1527,'HEAD OF THE FAMILY'!$B$6:$J1851,9,FALSE)</f>
        <v>#N/A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</row>
    <row r="1528">
      <c r="A1528" s="60" t="str">
        <f t="shared" si="5"/>
        <v/>
      </c>
      <c r="B1528" s="62"/>
      <c r="C1528" s="62"/>
      <c r="D1528" s="105"/>
      <c r="E1528" s="105"/>
      <c r="F1528" s="60"/>
      <c r="G1528" s="92"/>
      <c r="H1528" s="60"/>
      <c r="I1528" s="60"/>
      <c r="J1528" s="60"/>
      <c r="K1528" s="71" t="str">
        <f>VLOOKUP(E1528,'HEAD OF THE FAMILY'!$B$6:$J1851,9,FALSE)</f>
        <v>#N/A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</row>
    <row r="1529">
      <c r="A1529" s="60" t="str">
        <f t="shared" si="5"/>
        <v/>
      </c>
      <c r="B1529" s="62"/>
      <c r="C1529" s="62"/>
      <c r="D1529" s="105"/>
      <c r="E1529" s="105"/>
      <c r="F1529" s="60"/>
      <c r="G1529" s="92"/>
      <c r="H1529" s="60"/>
      <c r="I1529" s="60"/>
      <c r="J1529" s="60"/>
      <c r="K1529" s="71" t="str">
        <f>VLOOKUP(E1529,'HEAD OF THE FAMILY'!$B$6:$J1851,9,FALSE)</f>
        <v>#N/A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</row>
    <row r="1530">
      <c r="A1530" s="60" t="str">
        <f t="shared" si="5"/>
        <v/>
      </c>
      <c r="B1530" s="62"/>
      <c r="C1530" s="62"/>
      <c r="D1530" s="105"/>
      <c r="E1530" s="105"/>
      <c r="F1530" s="60"/>
      <c r="G1530" s="92"/>
      <c r="H1530" s="60"/>
      <c r="I1530" s="60"/>
      <c r="J1530" s="60"/>
      <c r="K1530" s="71" t="str">
        <f>VLOOKUP(E1530,'HEAD OF THE FAMILY'!$B$6:$J1851,9,FALSE)</f>
        <v>#N/A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</row>
    <row r="1531">
      <c r="A1531" s="60" t="str">
        <f t="shared" si="5"/>
        <v/>
      </c>
      <c r="B1531" s="62"/>
      <c r="C1531" s="62"/>
      <c r="D1531" s="105"/>
      <c r="E1531" s="105"/>
      <c r="F1531" s="60"/>
      <c r="G1531" s="92"/>
      <c r="H1531" s="60"/>
      <c r="I1531" s="60"/>
      <c r="J1531" s="60"/>
      <c r="K1531" s="71" t="str">
        <f>VLOOKUP(E1531,'HEAD OF THE FAMILY'!$B$6:$J1851,9,FALSE)</f>
        <v>#N/A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</row>
    <row r="1532">
      <c r="A1532" s="60" t="str">
        <f t="shared" si="5"/>
        <v/>
      </c>
      <c r="B1532" s="62"/>
      <c r="C1532" s="62"/>
      <c r="D1532" s="105"/>
      <c r="E1532" s="105"/>
      <c r="F1532" s="60"/>
      <c r="G1532" s="92"/>
      <c r="H1532" s="60"/>
      <c r="I1532" s="60"/>
      <c r="J1532" s="60"/>
      <c r="K1532" s="71" t="str">
        <f>VLOOKUP(E1532,'HEAD OF THE FAMILY'!$B$6:$J1851,9,FALSE)</f>
        <v>#N/A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</row>
    <row r="1533">
      <c r="A1533" s="60" t="str">
        <f t="shared" si="5"/>
        <v/>
      </c>
      <c r="B1533" s="62"/>
      <c r="C1533" s="62"/>
      <c r="D1533" s="105"/>
      <c r="E1533" s="105"/>
      <c r="F1533" s="60"/>
      <c r="G1533" s="92"/>
      <c r="H1533" s="60"/>
      <c r="I1533" s="60"/>
      <c r="J1533" s="60"/>
      <c r="K1533" s="71" t="str">
        <f>VLOOKUP(E1533,'HEAD OF THE FAMILY'!$B$6:$J1851,9,FALSE)</f>
        <v>#N/A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</row>
    <row r="1534">
      <c r="A1534" s="60" t="str">
        <f t="shared" si="5"/>
        <v/>
      </c>
      <c r="B1534" s="62"/>
      <c r="C1534" s="62"/>
      <c r="D1534" s="105"/>
      <c r="E1534" s="105"/>
      <c r="F1534" s="60"/>
      <c r="G1534" s="92"/>
      <c r="H1534" s="60"/>
      <c r="I1534" s="60"/>
      <c r="J1534" s="60"/>
      <c r="K1534" s="71" t="str">
        <f>VLOOKUP(E1534,'HEAD OF THE FAMILY'!$B$6:$J1851,9,FALSE)</f>
        <v>#N/A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</row>
    <row r="1535">
      <c r="A1535" s="60" t="str">
        <f t="shared" si="5"/>
        <v/>
      </c>
      <c r="B1535" s="62"/>
      <c r="C1535" s="62"/>
      <c r="D1535" s="105"/>
      <c r="E1535" s="105"/>
      <c r="F1535" s="60"/>
      <c r="G1535" s="92"/>
      <c r="H1535" s="60"/>
      <c r="I1535" s="60"/>
      <c r="J1535" s="60"/>
      <c r="K1535" s="71" t="str">
        <f>VLOOKUP(E1535,'HEAD OF THE FAMILY'!$B$6:$J1851,9,FALSE)</f>
        <v>#N/A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</row>
    <row r="1536">
      <c r="A1536" s="60" t="str">
        <f t="shared" si="5"/>
        <v/>
      </c>
      <c r="B1536" s="62"/>
      <c r="C1536" s="62"/>
      <c r="D1536" s="105"/>
      <c r="E1536" s="105"/>
      <c r="F1536" s="60"/>
      <c r="G1536" s="92"/>
      <c r="H1536" s="60"/>
      <c r="I1536" s="60"/>
      <c r="J1536" s="60"/>
      <c r="K1536" s="71" t="str">
        <f>VLOOKUP(E1536,'HEAD OF THE FAMILY'!$B$6:$J1851,9,FALSE)</f>
        <v>#N/A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</row>
    <row r="1537">
      <c r="A1537" s="60" t="str">
        <f t="shared" si="5"/>
        <v/>
      </c>
      <c r="B1537" s="62"/>
      <c r="C1537" s="62"/>
      <c r="D1537" s="105"/>
      <c r="E1537" s="105"/>
      <c r="F1537" s="60"/>
      <c r="G1537" s="92"/>
      <c r="H1537" s="60"/>
      <c r="I1537" s="60"/>
      <c r="J1537" s="60"/>
      <c r="K1537" s="71" t="str">
        <f>VLOOKUP(E1537,'HEAD OF THE FAMILY'!$B$6:$J1851,9,FALSE)</f>
        <v>#N/A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</row>
    <row r="1538">
      <c r="A1538" s="60" t="str">
        <f t="shared" si="5"/>
        <v/>
      </c>
      <c r="B1538" s="62"/>
      <c r="C1538" s="62"/>
      <c r="D1538" s="105"/>
      <c r="E1538" s="105"/>
      <c r="F1538" s="60"/>
      <c r="G1538" s="92"/>
      <c r="H1538" s="60"/>
      <c r="I1538" s="60"/>
      <c r="J1538" s="60"/>
      <c r="K1538" s="71" t="str">
        <f>VLOOKUP(E1538,'HEAD OF THE FAMILY'!$B$6:$J1851,9,FALSE)</f>
        <v>#N/A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</row>
    <row r="1539">
      <c r="A1539" s="60" t="str">
        <f t="shared" si="5"/>
        <v/>
      </c>
      <c r="B1539" s="62"/>
      <c r="C1539" s="62"/>
      <c r="D1539" s="105"/>
      <c r="E1539" s="105"/>
      <c r="F1539" s="60"/>
      <c r="G1539" s="92"/>
      <c r="H1539" s="60"/>
      <c r="I1539" s="60"/>
      <c r="J1539" s="60"/>
      <c r="K1539" s="71" t="str">
        <f>VLOOKUP(E1539,'HEAD OF THE FAMILY'!$B$6:$J1851,9,FALSE)</f>
        <v>#N/A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</row>
    <row r="1540">
      <c r="A1540" s="60" t="str">
        <f t="shared" si="5"/>
        <v/>
      </c>
      <c r="B1540" s="62"/>
      <c r="C1540" s="62"/>
      <c r="D1540" s="105"/>
      <c r="E1540" s="105"/>
      <c r="F1540" s="60"/>
      <c r="G1540" s="92"/>
      <c r="H1540" s="60"/>
      <c r="I1540" s="60"/>
      <c r="J1540" s="60"/>
      <c r="K1540" s="71" t="str">
        <f>VLOOKUP(E1540,'HEAD OF THE FAMILY'!$B$6:$J1851,9,FALSE)</f>
        <v>#N/A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</row>
    <row r="1541">
      <c r="A1541" s="60" t="str">
        <f t="shared" si="5"/>
        <v/>
      </c>
      <c r="B1541" s="62"/>
      <c r="C1541" s="62"/>
      <c r="D1541" s="105"/>
      <c r="E1541" s="105"/>
      <c r="F1541" s="60"/>
      <c r="G1541" s="92"/>
      <c r="H1541" s="60"/>
      <c r="I1541" s="60"/>
      <c r="J1541" s="60"/>
      <c r="K1541" s="71" t="str">
        <f>VLOOKUP(E1541,'HEAD OF THE FAMILY'!$B$6:$J1851,9,FALSE)</f>
        <v>#N/A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</row>
    <row r="1542">
      <c r="A1542" s="60" t="str">
        <f t="shared" si="5"/>
        <v/>
      </c>
      <c r="B1542" s="62"/>
      <c r="C1542" s="62"/>
      <c r="D1542" s="105"/>
      <c r="E1542" s="105"/>
      <c r="F1542" s="60"/>
      <c r="G1542" s="92"/>
      <c r="H1542" s="60"/>
      <c r="I1542" s="60"/>
      <c r="J1542" s="60"/>
      <c r="K1542" s="71" t="str">
        <f>VLOOKUP(E1542,'HEAD OF THE FAMILY'!$B$6:$J1851,9,FALSE)</f>
        <v>#N/A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</row>
    <row r="1543">
      <c r="A1543" s="60" t="str">
        <f t="shared" si="5"/>
        <v/>
      </c>
      <c r="B1543" s="62"/>
      <c r="C1543" s="62"/>
      <c r="D1543" s="105"/>
      <c r="E1543" s="105"/>
      <c r="F1543" s="60"/>
      <c r="G1543" s="92"/>
      <c r="H1543" s="60"/>
      <c r="I1543" s="60"/>
      <c r="J1543" s="60"/>
      <c r="K1543" s="71" t="str">
        <f>VLOOKUP(E1543,'HEAD OF THE FAMILY'!$B$6:$J1851,9,FALSE)</f>
        <v>#N/A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</row>
    <row r="1544">
      <c r="A1544" s="60" t="str">
        <f t="shared" si="5"/>
        <v/>
      </c>
      <c r="B1544" s="62"/>
      <c r="C1544" s="62"/>
      <c r="D1544" s="105"/>
      <c r="E1544" s="105"/>
      <c r="F1544" s="60"/>
      <c r="G1544" s="92"/>
      <c r="H1544" s="60"/>
      <c r="I1544" s="60"/>
      <c r="J1544" s="60"/>
      <c r="K1544" s="71" t="str">
        <f>VLOOKUP(E1544,'HEAD OF THE FAMILY'!$B$6:$J1851,9,FALSE)</f>
        <v>#N/A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</row>
    <row r="1545">
      <c r="A1545" s="60" t="str">
        <f t="shared" si="5"/>
        <v/>
      </c>
      <c r="B1545" s="62"/>
      <c r="C1545" s="62"/>
      <c r="D1545" s="105"/>
      <c r="E1545" s="105"/>
      <c r="F1545" s="60"/>
      <c r="G1545" s="92"/>
      <c r="H1545" s="60"/>
      <c r="I1545" s="60"/>
      <c r="J1545" s="60"/>
      <c r="K1545" s="71" t="str">
        <f>VLOOKUP(E1545,'HEAD OF THE FAMILY'!$B$6:$J1851,9,FALSE)</f>
        <v>#N/A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</row>
    <row r="1546">
      <c r="A1546" s="60" t="str">
        <f t="shared" si="5"/>
        <v/>
      </c>
      <c r="B1546" s="62"/>
      <c r="C1546" s="62"/>
      <c r="D1546" s="105"/>
      <c r="E1546" s="105"/>
      <c r="F1546" s="60"/>
      <c r="G1546" s="92"/>
      <c r="H1546" s="60"/>
      <c r="I1546" s="60"/>
      <c r="J1546" s="60"/>
      <c r="K1546" s="71" t="str">
        <f>VLOOKUP(E1546,'HEAD OF THE FAMILY'!$B$6:$J1851,9,FALSE)</f>
        <v>#N/A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</row>
    <row r="1547">
      <c r="A1547" s="60" t="str">
        <f t="shared" si="5"/>
        <v/>
      </c>
      <c r="B1547" s="62"/>
      <c r="C1547" s="62"/>
      <c r="D1547" s="105"/>
      <c r="E1547" s="105"/>
      <c r="F1547" s="60"/>
      <c r="G1547" s="92"/>
      <c r="H1547" s="60"/>
      <c r="I1547" s="60"/>
      <c r="J1547" s="60"/>
      <c r="K1547" s="71" t="str">
        <f>VLOOKUP(E1547,'HEAD OF THE FAMILY'!$B$6:$J1851,9,FALSE)</f>
        <v>#N/A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</row>
    <row r="1548">
      <c r="A1548" s="60" t="str">
        <f t="shared" si="5"/>
        <v/>
      </c>
      <c r="B1548" s="62"/>
      <c r="C1548" s="62"/>
      <c r="D1548" s="105"/>
      <c r="E1548" s="105"/>
      <c r="F1548" s="60"/>
      <c r="G1548" s="92"/>
      <c r="H1548" s="60"/>
      <c r="I1548" s="60"/>
      <c r="J1548" s="60"/>
      <c r="K1548" s="71" t="str">
        <f>VLOOKUP(E1548,'HEAD OF THE FAMILY'!$B$6:$J1851,9,FALSE)</f>
        <v>#N/A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</row>
    <row r="1549">
      <c r="A1549" s="60" t="str">
        <f t="shared" si="5"/>
        <v/>
      </c>
      <c r="B1549" s="62"/>
      <c r="C1549" s="62"/>
      <c r="D1549" s="105"/>
      <c r="E1549" s="105"/>
      <c r="F1549" s="60"/>
      <c r="G1549" s="92"/>
      <c r="H1549" s="60"/>
      <c r="I1549" s="60"/>
      <c r="J1549" s="60"/>
      <c r="K1549" s="71" t="str">
        <f>VLOOKUP(E1549,'HEAD OF THE FAMILY'!$B$6:$J1851,9,FALSE)</f>
        <v>#N/A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</row>
    <row r="1550">
      <c r="A1550" s="60" t="str">
        <f t="shared" si="5"/>
        <v/>
      </c>
      <c r="B1550" s="62"/>
      <c r="C1550" s="62"/>
      <c r="D1550" s="105"/>
      <c r="E1550" s="105"/>
      <c r="F1550" s="60"/>
      <c r="G1550" s="92"/>
      <c r="H1550" s="60"/>
      <c r="I1550" s="60"/>
      <c r="J1550" s="60"/>
      <c r="K1550" s="71" t="str">
        <f>VLOOKUP(E1550,'HEAD OF THE FAMILY'!$B$6:$J1851,9,FALSE)</f>
        <v>#N/A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</row>
    <row r="1551">
      <c r="A1551" s="60" t="str">
        <f t="shared" si="5"/>
        <v/>
      </c>
      <c r="B1551" s="62"/>
      <c r="C1551" s="62"/>
      <c r="D1551" s="105"/>
      <c r="E1551" s="105"/>
      <c r="F1551" s="60"/>
      <c r="G1551" s="92"/>
      <c r="H1551" s="60"/>
      <c r="I1551" s="60"/>
      <c r="J1551" s="60"/>
      <c r="K1551" s="71" t="str">
        <f>VLOOKUP(E1551,'HEAD OF THE FAMILY'!$B$6:$J1851,9,FALSE)</f>
        <v>#N/A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</row>
    <row r="1552">
      <c r="A1552" s="60" t="str">
        <f t="shared" si="5"/>
        <v/>
      </c>
      <c r="B1552" s="62"/>
      <c r="C1552" s="62"/>
      <c r="D1552" s="105"/>
      <c r="E1552" s="105"/>
      <c r="F1552" s="60"/>
      <c r="G1552" s="92"/>
      <c r="H1552" s="60"/>
      <c r="I1552" s="60"/>
      <c r="J1552" s="60"/>
      <c r="K1552" s="71" t="str">
        <f>VLOOKUP(E1552,'HEAD OF THE FAMILY'!$B$6:$J1851,9,FALSE)</f>
        <v>#N/A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</row>
    <row r="1553">
      <c r="A1553" s="60" t="str">
        <f t="shared" si="5"/>
        <v/>
      </c>
      <c r="B1553" s="62"/>
      <c r="C1553" s="62"/>
      <c r="D1553" s="105"/>
      <c r="E1553" s="105"/>
      <c r="F1553" s="60"/>
      <c r="G1553" s="92"/>
      <c r="H1553" s="60"/>
      <c r="I1553" s="60"/>
      <c r="J1553" s="60"/>
      <c r="K1553" s="71" t="str">
        <f>VLOOKUP(E1553,'HEAD OF THE FAMILY'!$B$6:$J1851,9,FALSE)</f>
        <v>#N/A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</row>
    <row r="1554">
      <c r="A1554" s="60" t="str">
        <f t="shared" si="5"/>
        <v/>
      </c>
      <c r="B1554" s="62"/>
      <c r="C1554" s="62"/>
      <c r="D1554" s="105"/>
      <c r="E1554" s="105"/>
      <c r="F1554" s="60"/>
      <c r="G1554" s="92"/>
      <c r="H1554" s="60"/>
      <c r="I1554" s="60"/>
      <c r="J1554" s="60"/>
      <c r="K1554" s="71" t="str">
        <f>VLOOKUP(E1554,'HEAD OF THE FAMILY'!$B$6:$J1851,9,FALSE)</f>
        <v>#N/A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</row>
    <row r="1555">
      <c r="A1555" s="60" t="str">
        <f t="shared" si="5"/>
        <v/>
      </c>
      <c r="B1555" s="62"/>
      <c r="C1555" s="62"/>
      <c r="D1555" s="105"/>
      <c r="E1555" s="105"/>
      <c r="F1555" s="60"/>
      <c r="G1555" s="92"/>
      <c r="H1555" s="60"/>
      <c r="I1555" s="60"/>
      <c r="J1555" s="60"/>
      <c r="K1555" s="71" t="str">
        <f>VLOOKUP(E1555,'HEAD OF THE FAMILY'!$B$6:$J1851,9,FALSE)</f>
        <v>#N/A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</row>
    <row r="1556">
      <c r="A1556" s="60" t="str">
        <f t="shared" si="5"/>
        <v/>
      </c>
      <c r="B1556" s="62"/>
      <c r="C1556" s="62"/>
      <c r="D1556" s="105"/>
      <c r="E1556" s="105"/>
      <c r="F1556" s="60"/>
      <c r="G1556" s="92"/>
      <c r="H1556" s="60"/>
      <c r="I1556" s="60"/>
      <c r="J1556" s="60"/>
      <c r="K1556" s="71" t="str">
        <f>VLOOKUP(E1556,'HEAD OF THE FAMILY'!$B$6:$J1851,9,FALSE)</f>
        <v>#N/A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</row>
    <row r="1557">
      <c r="A1557" s="60" t="str">
        <f t="shared" si="5"/>
        <v/>
      </c>
      <c r="B1557" s="62"/>
      <c r="C1557" s="62"/>
      <c r="D1557" s="105"/>
      <c r="E1557" s="105"/>
      <c r="F1557" s="60"/>
      <c r="G1557" s="92"/>
      <c r="H1557" s="60"/>
      <c r="I1557" s="60"/>
      <c r="J1557" s="60"/>
      <c r="K1557" s="71" t="str">
        <f>VLOOKUP(E1557,'HEAD OF THE FAMILY'!$B$6:$J1851,9,FALSE)</f>
        <v>#N/A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</row>
    <row r="1558">
      <c r="A1558" s="60" t="str">
        <f t="shared" si="5"/>
        <v/>
      </c>
      <c r="B1558" s="62"/>
      <c r="C1558" s="62"/>
      <c r="D1558" s="105"/>
      <c r="E1558" s="105"/>
      <c r="F1558" s="60"/>
      <c r="G1558" s="92"/>
      <c r="H1558" s="60"/>
      <c r="I1558" s="60"/>
      <c r="J1558" s="60"/>
      <c r="K1558" s="71" t="str">
        <f>VLOOKUP(E1558,'HEAD OF THE FAMILY'!$B$6:$J1851,9,FALSE)</f>
        <v>#N/A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</row>
    <row r="1559">
      <c r="A1559" s="60" t="str">
        <f t="shared" si="5"/>
        <v/>
      </c>
      <c r="B1559" s="62"/>
      <c r="C1559" s="62"/>
      <c r="D1559" s="105"/>
      <c r="E1559" s="105"/>
      <c r="F1559" s="60"/>
      <c r="G1559" s="92"/>
      <c r="H1559" s="60"/>
      <c r="I1559" s="60"/>
      <c r="J1559" s="60"/>
      <c r="K1559" s="71" t="str">
        <f>VLOOKUP(E1559,'HEAD OF THE FAMILY'!$B$6:$J1851,9,FALSE)</f>
        <v>#N/A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</row>
    <row r="1560">
      <c r="A1560" s="60" t="str">
        <f t="shared" si="5"/>
        <v/>
      </c>
      <c r="B1560" s="62"/>
      <c r="C1560" s="62"/>
      <c r="D1560" s="105"/>
      <c r="E1560" s="105"/>
      <c r="F1560" s="60"/>
      <c r="G1560" s="92"/>
      <c r="H1560" s="60"/>
      <c r="I1560" s="60"/>
      <c r="J1560" s="60"/>
      <c r="K1560" s="71" t="str">
        <f>VLOOKUP(E1560,'HEAD OF THE FAMILY'!$B$6:$J1851,9,FALSE)</f>
        <v>#N/A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</row>
    <row r="1561">
      <c r="A1561" s="60" t="str">
        <f t="shared" si="5"/>
        <v/>
      </c>
      <c r="B1561" s="62"/>
      <c r="C1561" s="62"/>
      <c r="D1561" s="105"/>
      <c r="E1561" s="105"/>
      <c r="F1561" s="60"/>
      <c r="G1561" s="92"/>
      <c r="H1561" s="60"/>
      <c r="I1561" s="60"/>
      <c r="J1561" s="60"/>
      <c r="K1561" s="71" t="str">
        <f>VLOOKUP(E1561,'HEAD OF THE FAMILY'!$B$6:$J1851,9,FALSE)</f>
        <v>#N/A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</row>
    <row r="1562">
      <c r="A1562" s="60" t="str">
        <f t="shared" si="5"/>
        <v/>
      </c>
      <c r="B1562" s="62"/>
      <c r="C1562" s="62"/>
      <c r="D1562" s="105"/>
      <c r="E1562" s="105"/>
      <c r="F1562" s="60"/>
      <c r="G1562" s="92"/>
      <c r="H1562" s="60"/>
      <c r="I1562" s="60"/>
      <c r="J1562" s="60"/>
      <c r="K1562" s="71" t="str">
        <f>VLOOKUP(E1562,'HEAD OF THE FAMILY'!$B$6:$J1851,9,FALSE)</f>
        <v>#N/A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</row>
    <row r="1563">
      <c r="A1563" s="60" t="str">
        <f t="shared" si="5"/>
        <v/>
      </c>
      <c r="B1563" s="62"/>
      <c r="C1563" s="62"/>
      <c r="D1563" s="105"/>
      <c r="E1563" s="105"/>
      <c r="F1563" s="60"/>
      <c r="G1563" s="92"/>
      <c r="H1563" s="60"/>
      <c r="I1563" s="60"/>
      <c r="J1563" s="60"/>
      <c r="K1563" s="71" t="str">
        <f>VLOOKUP(E1563,'HEAD OF THE FAMILY'!$B$6:$J1851,9,FALSE)</f>
        <v>#N/A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</row>
    <row r="1564">
      <c r="A1564" s="60" t="str">
        <f t="shared" si="5"/>
        <v/>
      </c>
      <c r="B1564" s="62"/>
      <c r="C1564" s="62"/>
      <c r="D1564" s="105"/>
      <c r="E1564" s="105"/>
      <c r="F1564" s="60"/>
      <c r="G1564" s="92"/>
      <c r="H1564" s="60"/>
      <c r="I1564" s="60"/>
      <c r="J1564" s="60"/>
      <c r="K1564" s="71" t="str">
        <f>VLOOKUP(E1564,'HEAD OF THE FAMILY'!$B$6:$J1851,9,FALSE)</f>
        <v>#N/A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</row>
    <row r="1565">
      <c r="A1565" s="60" t="str">
        <f t="shared" si="5"/>
        <v/>
      </c>
      <c r="B1565" s="62"/>
      <c r="C1565" s="62"/>
      <c r="D1565" s="105"/>
      <c r="E1565" s="105"/>
      <c r="F1565" s="60"/>
      <c r="G1565" s="92"/>
      <c r="H1565" s="60"/>
      <c r="I1565" s="60"/>
      <c r="J1565" s="60"/>
      <c r="K1565" s="71" t="str">
        <f>VLOOKUP(E1565,'HEAD OF THE FAMILY'!$B$6:$J1851,9,FALSE)</f>
        <v>#N/A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</row>
    <row r="1566">
      <c r="A1566" s="60" t="str">
        <f t="shared" si="5"/>
        <v/>
      </c>
      <c r="B1566" s="62"/>
      <c r="C1566" s="62"/>
      <c r="D1566" s="105"/>
      <c r="E1566" s="105"/>
      <c r="F1566" s="60"/>
      <c r="G1566" s="92"/>
      <c r="H1566" s="60"/>
      <c r="I1566" s="60"/>
      <c r="J1566" s="60"/>
      <c r="K1566" s="71" t="str">
        <f>VLOOKUP(E1566,'HEAD OF THE FAMILY'!$B$6:$J1851,9,FALSE)</f>
        <v>#N/A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</row>
    <row r="1567">
      <c r="A1567" s="60" t="str">
        <f t="shared" si="5"/>
        <v/>
      </c>
      <c r="B1567" s="62"/>
      <c r="C1567" s="62"/>
      <c r="D1567" s="105"/>
      <c r="E1567" s="105"/>
      <c r="F1567" s="60"/>
      <c r="G1567" s="92"/>
      <c r="H1567" s="60"/>
      <c r="I1567" s="60"/>
      <c r="J1567" s="60"/>
      <c r="K1567" s="71" t="str">
        <f>VLOOKUP(E1567,'HEAD OF THE FAMILY'!$B$6:$J1851,9,FALSE)</f>
        <v>#N/A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</row>
    <row r="1568">
      <c r="A1568" s="60" t="str">
        <f t="shared" si="5"/>
        <v/>
      </c>
      <c r="B1568" s="62"/>
      <c r="C1568" s="62"/>
      <c r="D1568" s="105"/>
      <c r="E1568" s="105"/>
      <c r="F1568" s="60"/>
      <c r="G1568" s="92"/>
      <c r="H1568" s="60"/>
      <c r="I1568" s="60"/>
      <c r="J1568" s="60"/>
      <c r="K1568" s="71" t="str">
        <f>VLOOKUP(E1568,'HEAD OF THE FAMILY'!$B$6:$J1851,9,FALSE)</f>
        <v>#N/A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</row>
    <row r="1569">
      <c r="A1569" s="60" t="str">
        <f t="shared" si="5"/>
        <v/>
      </c>
      <c r="B1569" s="62"/>
      <c r="C1569" s="62"/>
      <c r="D1569" s="105"/>
      <c r="E1569" s="105"/>
      <c r="F1569" s="60"/>
      <c r="G1569" s="92"/>
      <c r="H1569" s="60"/>
      <c r="I1569" s="60"/>
      <c r="J1569" s="60"/>
      <c r="K1569" s="71" t="str">
        <f>VLOOKUP(E1569,'HEAD OF THE FAMILY'!$B$6:$J1851,9,FALSE)</f>
        <v>#N/A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</row>
    <row r="1570">
      <c r="A1570" s="60" t="str">
        <f t="shared" si="5"/>
        <v/>
      </c>
      <c r="B1570" s="62"/>
      <c r="C1570" s="62"/>
      <c r="D1570" s="105"/>
      <c r="E1570" s="105"/>
      <c r="F1570" s="60"/>
      <c r="G1570" s="92"/>
      <c r="H1570" s="60"/>
      <c r="I1570" s="60"/>
      <c r="J1570" s="60"/>
      <c r="K1570" s="71" t="str">
        <f>VLOOKUP(E1570,'HEAD OF THE FAMILY'!$B$6:$J1851,9,FALSE)</f>
        <v>#N/A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</row>
    <row r="1571">
      <c r="A1571" s="60" t="str">
        <f t="shared" si="5"/>
        <v/>
      </c>
      <c r="B1571" s="62"/>
      <c r="C1571" s="62"/>
      <c r="D1571" s="105"/>
      <c r="E1571" s="105"/>
      <c r="F1571" s="60"/>
      <c r="G1571" s="92"/>
      <c r="H1571" s="60"/>
      <c r="I1571" s="60"/>
      <c r="J1571" s="60"/>
      <c r="K1571" s="71" t="str">
        <f>VLOOKUP(E1571,'HEAD OF THE FAMILY'!$B$6:$J1851,9,FALSE)</f>
        <v>#N/A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</row>
    <row r="1572">
      <c r="A1572" s="60" t="str">
        <f t="shared" si="5"/>
        <v/>
      </c>
      <c r="B1572" s="62"/>
      <c r="C1572" s="62"/>
      <c r="D1572" s="105"/>
      <c r="E1572" s="105"/>
      <c r="F1572" s="60"/>
      <c r="G1572" s="92"/>
      <c r="H1572" s="60"/>
      <c r="I1572" s="60"/>
      <c r="J1572" s="60"/>
      <c r="K1572" s="71" t="str">
        <f>VLOOKUP(E1572,'HEAD OF THE FAMILY'!$B$6:$J1851,9,FALSE)</f>
        <v>#N/A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</row>
    <row r="1573">
      <c r="A1573" s="60" t="str">
        <f t="shared" si="5"/>
        <v/>
      </c>
      <c r="B1573" s="62"/>
      <c r="C1573" s="62"/>
      <c r="D1573" s="105"/>
      <c r="E1573" s="105"/>
      <c r="F1573" s="60"/>
      <c r="G1573" s="92"/>
      <c r="H1573" s="60"/>
      <c r="I1573" s="60"/>
      <c r="J1573" s="60"/>
      <c r="K1573" s="71" t="str">
        <f>VLOOKUP(E1573,'HEAD OF THE FAMILY'!$B$6:$J1851,9,FALSE)</f>
        <v>#N/A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</row>
    <row r="1574">
      <c r="A1574" s="60" t="str">
        <f t="shared" si="5"/>
        <v/>
      </c>
      <c r="B1574" s="62"/>
      <c r="C1574" s="62"/>
      <c r="D1574" s="105"/>
      <c r="E1574" s="105"/>
      <c r="F1574" s="60"/>
      <c r="G1574" s="92"/>
      <c r="H1574" s="60"/>
      <c r="I1574" s="60"/>
      <c r="J1574" s="60"/>
      <c r="K1574" s="71" t="str">
        <f>VLOOKUP(E1574,'HEAD OF THE FAMILY'!$B$6:$J1851,9,FALSE)</f>
        <v>#N/A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</row>
    <row r="1575">
      <c r="A1575" s="60" t="str">
        <f t="shared" si="5"/>
        <v/>
      </c>
      <c r="B1575" s="62"/>
      <c r="C1575" s="62"/>
      <c r="D1575" s="105"/>
      <c r="E1575" s="105"/>
      <c r="F1575" s="60"/>
      <c r="G1575" s="92"/>
      <c r="H1575" s="60"/>
      <c r="I1575" s="60"/>
      <c r="J1575" s="60"/>
      <c r="K1575" s="71" t="str">
        <f>VLOOKUP(E1575,'HEAD OF THE FAMILY'!$B$6:$J1851,9,FALSE)</f>
        <v>#N/A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</row>
    <row r="1576">
      <c r="A1576" s="60" t="str">
        <f t="shared" si="5"/>
        <v/>
      </c>
      <c r="B1576" s="62"/>
      <c r="C1576" s="62"/>
      <c r="D1576" s="105"/>
      <c r="E1576" s="105"/>
      <c r="F1576" s="60"/>
      <c r="G1576" s="92"/>
      <c r="H1576" s="60"/>
      <c r="I1576" s="60"/>
      <c r="J1576" s="60"/>
      <c r="K1576" s="71" t="str">
        <f>VLOOKUP(E1576,'HEAD OF THE FAMILY'!$B$6:$J1851,9,FALSE)</f>
        <v>#N/A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</row>
    <row r="1577">
      <c r="A1577" s="60" t="str">
        <f t="shared" si="5"/>
        <v/>
      </c>
      <c r="B1577" s="62"/>
      <c r="C1577" s="62"/>
      <c r="D1577" s="105"/>
      <c r="E1577" s="105"/>
      <c r="F1577" s="60"/>
      <c r="G1577" s="92"/>
      <c r="H1577" s="60"/>
      <c r="I1577" s="60"/>
      <c r="J1577" s="60"/>
      <c r="K1577" s="71" t="str">
        <f>VLOOKUP(E1577,'HEAD OF THE FAMILY'!$B$6:$J1851,9,FALSE)</f>
        <v>#N/A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</row>
    <row r="1578">
      <c r="A1578" s="60" t="str">
        <f t="shared" si="5"/>
        <v/>
      </c>
      <c r="B1578" s="62"/>
      <c r="C1578" s="62"/>
      <c r="D1578" s="105"/>
      <c r="E1578" s="105"/>
      <c r="F1578" s="60"/>
      <c r="G1578" s="92"/>
      <c r="H1578" s="60"/>
      <c r="I1578" s="60"/>
      <c r="J1578" s="60"/>
      <c r="K1578" s="71" t="str">
        <f>VLOOKUP(E1578,'HEAD OF THE FAMILY'!$B$6:$J1851,9,FALSE)</f>
        <v>#N/A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</row>
    <row r="1579">
      <c r="A1579" s="60" t="str">
        <f t="shared" si="5"/>
        <v/>
      </c>
      <c r="B1579" s="62"/>
      <c r="C1579" s="62"/>
      <c r="D1579" s="105"/>
      <c r="E1579" s="105"/>
      <c r="F1579" s="60"/>
      <c r="G1579" s="92"/>
      <c r="H1579" s="60"/>
      <c r="I1579" s="60"/>
      <c r="J1579" s="60"/>
      <c r="K1579" s="71" t="str">
        <f>VLOOKUP(E1579,'HEAD OF THE FAMILY'!$B$6:$J1851,9,FALSE)</f>
        <v>#N/A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</row>
    <row r="1580">
      <c r="A1580" s="60" t="str">
        <f t="shared" si="5"/>
        <v/>
      </c>
      <c r="B1580" s="62"/>
      <c r="C1580" s="62"/>
      <c r="D1580" s="105"/>
      <c r="E1580" s="105"/>
      <c r="F1580" s="60"/>
      <c r="G1580" s="92"/>
      <c r="H1580" s="60"/>
      <c r="I1580" s="60"/>
      <c r="J1580" s="60"/>
      <c r="K1580" s="71" t="str">
        <f>VLOOKUP(E1580,'HEAD OF THE FAMILY'!$B$6:$J1851,9,FALSE)</f>
        <v>#N/A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</row>
    <row r="1581">
      <c r="A1581" s="60" t="str">
        <f t="shared" si="5"/>
        <v/>
      </c>
      <c r="B1581" s="62"/>
      <c r="C1581" s="62"/>
      <c r="D1581" s="105"/>
      <c r="E1581" s="105"/>
      <c r="F1581" s="60"/>
      <c r="G1581" s="92"/>
      <c r="H1581" s="60"/>
      <c r="I1581" s="60"/>
      <c r="J1581" s="60"/>
      <c r="K1581" s="71" t="str">
        <f>VLOOKUP(E1581,'HEAD OF THE FAMILY'!$B$6:$J1851,9,FALSE)</f>
        <v>#N/A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</row>
    <row r="1582">
      <c r="A1582" s="60" t="str">
        <f t="shared" si="5"/>
        <v/>
      </c>
      <c r="B1582" s="62"/>
      <c r="C1582" s="62"/>
      <c r="D1582" s="105"/>
      <c r="E1582" s="105"/>
      <c r="F1582" s="60"/>
      <c r="G1582" s="92"/>
      <c r="H1582" s="60"/>
      <c r="I1582" s="60"/>
      <c r="J1582" s="60"/>
      <c r="K1582" s="71" t="str">
        <f>VLOOKUP(E1582,'HEAD OF THE FAMILY'!$B$6:$J1851,9,FALSE)</f>
        <v>#N/A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</row>
    <row r="1583">
      <c r="A1583" s="60" t="str">
        <f t="shared" si="5"/>
        <v/>
      </c>
      <c r="B1583" s="62"/>
      <c r="C1583" s="62"/>
      <c r="D1583" s="105"/>
      <c r="E1583" s="105"/>
      <c r="F1583" s="60"/>
      <c r="G1583" s="92"/>
      <c r="H1583" s="60"/>
      <c r="I1583" s="60"/>
      <c r="J1583" s="60"/>
      <c r="K1583" s="71" t="str">
        <f>VLOOKUP(E1583,'HEAD OF THE FAMILY'!$B$6:$J1851,9,FALSE)</f>
        <v>#N/A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</row>
    <row r="1584">
      <c r="A1584" s="60" t="str">
        <f t="shared" si="5"/>
        <v/>
      </c>
      <c r="B1584" s="62"/>
      <c r="C1584" s="62"/>
      <c r="D1584" s="105"/>
      <c r="E1584" s="105"/>
      <c r="F1584" s="60"/>
      <c r="G1584" s="92"/>
      <c r="H1584" s="60"/>
      <c r="I1584" s="60"/>
      <c r="J1584" s="60"/>
      <c r="K1584" s="71" t="str">
        <f>VLOOKUP(E1584,'HEAD OF THE FAMILY'!$B$6:$J1851,9,FALSE)</f>
        <v>#N/A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</row>
    <row r="1585">
      <c r="A1585" s="60" t="str">
        <f t="shared" si="5"/>
        <v/>
      </c>
      <c r="B1585" s="62"/>
      <c r="C1585" s="62"/>
      <c r="D1585" s="105"/>
      <c r="E1585" s="105"/>
      <c r="F1585" s="60"/>
      <c r="G1585" s="92"/>
      <c r="H1585" s="60"/>
      <c r="I1585" s="60"/>
      <c r="J1585" s="60"/>
      <c r="K1585" s="71" t="str">
        <f>VLOOKUP(E1585,'HEAD OF THE FAMILY'!$B$6:$J1851,9,FALSE)</f>
        <v>#N/A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</row>
    <row r="1586">
      <c r="A1586" s="60" t="str">
        <f t="shared" si="5"/>
        <v/>
      </c>
      <c r="B1586" s="62"/>
      <c r="C1586" s="62"/>
      <c r="D1586" s="105"/>
      <c r="E1586" s="105"/>
      <c r="F1586" s="60"/>
      <c r="G1586" s="92"/>
      <c r="H1586" s="60"/>
      <c r="I1586" s="60"/>
      <c r="J1586" s="60"/>
      <c r="K1586" s="71" t="str">
        <f>VLOOKUP(E1586,'HEAD OF THE FAMILY'!$B$6:$J1851,9,FALSE)</f>
        <v>#N/A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</row>
    <row r="1587">
      <c r="A1587" s="60" t="str">
        <f t="shared" si="5"/>
        <v/>
      </c>
      <c r="B1587" s="62"/>
      <c r="C1587" s="62"/>
      <c r="D1587" s="105"/>
      <c r="E1587" s="105"/>
      <c r="F1587" s="60"/>
      <c r="G1587" s="92"/>
      <c r="H1587" s="60"/>
      <c r="I1587" s="60"/>
      <c r="J1587" s="60"/>
      <c r="K1587" s="71" t="str">
        <f>VLOOKUP(E1587,'HEAD OF THE FAMILY'!$B$6:$J1851,9,FALSE)</f>
        <v>#N/A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</row>
    <row r="1588">
      <c r="A1588" s="60" t="str">
        <f t="shared" si="5"/>
        <v/>
      </c>
      <c r="B1588" s="62"/>
      <c r="C1588" s="62"/>
      <c r="D1588" s="105"/>
      <c r="E1588" s="105"/>
      <c r="F1588" s="60"/>
      <c r="G1588" s="92"/>
      <c r="H1588" s="60"/>
      <c r="I1588" s="60"/>
      <c r="J1588" s="60"/>
      <c r="K1588" s="71" t="str">
        <f>VLOOKUP(E1588,'HEAD OF THE FAMILY'!$B$6:$J1851,9,FALSE)</f>
        <v>#N/A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</row>
    <row r="1589">
      <c r="A1589" s="60" t="str">
        <f t="shared" si="5"/>
        <v/>
      </c>
      <c r="B1589" s="62"/>
      <c r="C1589" s="62"/>
      <c r="D1589" s="105"/>
      <c r="E1589" s="105"/>
      <c r="F1589" s="60"/>
      <c r="G1589" s="92"/>
      <c r="H1589" s="60"/>
      <c r="I1589" s="60"/>
      <c r="J1589" s="60"/>
      <c r="K1589" s="71" t="str">
        <f>VLOOKUP(E1589,'HEAD OF THE FAMILY'!$B$6:$J1851,9,FALSE)</f>
        <v>#N/A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</row>
    <row r="1590">
      <c r="A1590" s="60" t="str">
        <f t="shared" si="5"/>
        <v/>
      </c>
      <c r="B1590" s="62"/>
      <c r="C1590" s="62"/>
      <c r="D1590" s="105"/>
      <c r="E1590" s="105"/>
      <c r="F1590" s="60"/>
      <c r="G1590" s="92"/>
      <c r="H1590" s="60"/>
      <c r="I1590" s="60"/>
      <c r="J1590" s="60"/>
      <c r="K1590" s="71" t="str">
        <f>VLOOKUP(E1590,'HEAD OF THE FAMILY'!$B$6:$J1851,9,FALSE)</f>
        <v>#N/A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</row>
    <row r="1591">
      <c r="A1591" s="60" t="str">
        <f t="shared" si="5"/>
        <v/>
      </c>
      <c r="B1591" s="62"/>
      <c r="C1591" s="62"/>
      <c r="D1591" s="105"/>
      <c r="E1591" s="105"/>
      <c r="F1591" s="60"/>
      <c r="G1591" s="92"/>
      <c r="H1591" s="60"/>
      <c r="I1591" s="60"/>
      <c r="J1591" s="60"/>
      <c r="K1591" s="71" t="str">
        <f>VLOOKUP(E1591,'HEAD OF THE FAMILY'!$B$6:$J1851,9,FALSE)</f>
        <v>#N/A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</row>
    <row r="1592">
      <c r="A1592" s="60" t="str">
        <f t="shared" si="5"/>
        <v/>
      </c>
      <c r="B1592" s="62"/>
      <c r="C1592" s="62"/>
      <c r="D1592" s="105"/>
      <c r="E1592" s="105"/>
      <c r="F1592" s="60"/>
      <c r="G1592" s="92"/>
      <c r="H1592" s="60"/>
      <c r="I1592" s="60"/>
      <c r="J1592" s="60"/>
      <c r="K1592" s="71" t="str">
        <f>VLOOKUP(E1592,'HEAD OF THE FAMILY'!$B$6:$J1851,9,FALSE)</f>
        <v>#N/A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</row>
    <row r="1593">
      <c r="A1593" s="60" t="str">
        <f t="shared" si="5"/>
        <v/>
      </c>
      <c r="B1593" s="62"/>
      <c r="C1593" s="62"/>
      <c r="D1593" s="105"/>
      <c r="E1593" s="105"/>
      <c r="F1593" s="60"/>
      <c r="G1593" s="92"/>
      <c r="H1593" s="60"/>
      <c r="I1593" s="60"/>
      <c r="J1593" s="60"/>
      <c r="K1593" s="71" t="str">
        <f>VLOOKUP(E1593,'HEAD OF THE FAMILY'!$B$6:$J1851,9,FALSE)</f>
        <v>#N/A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</row>
    <row r="1594">
      <c r="A1594" s="60" t="str">
        <f t="shared" si="5"/>
        <v/>
      </c>
      <c r="B1594" s="62"/>
      <c r="C1594" s="62"/>
      <c r="D1594" s="105"/>
      <c r="E1594" s="105"/>
      <c r="F1594" s="60"/>
      <c r="G1594" s="92"/>
      <c r="H1594" s="60"/>
      <c r="I1594" s="60"/>
      <c r="J1594" s="60"/>
      <c r="K1594" s="71" t="str">
        <f>VLOOKUP(E1594,'HEAD OF THE FAMILY'!$B$6:$J1851,9,FALSE)</f>
        <v>#N/A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</row>
    <row r="1595">
      <c r="A1595" s="60" t="str">
        <f t="shared" si="5"/>
        <v/>
      </c>
      <c r="B1595" s="62"/>
      <c r="C1595" s="62"/>
      <c r="D1595" s="105"/>
      <c r="E1595" s="105"/>
      <c r="F1595" s="60"/>
      <c r="G1595" s="92"/>
      <c r="H1595" s="60"/>
      <c r="I1595" s="60"/>
      <c r="J1595" s="60"/>
      <c r="K1595" s="71" t="str">
        <f>VLOOKUP(E1595,'HEAD OF THE FAMILY'!$B$6:$J1851,9,FALSE)</f>
        <v>#N/A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</row>
    <row r="1596">
      <c r="A1596" s="60" t="str">
        <f t="shared" si="5"/>
        <v/>
      </c>
      <c r="B1596" s="62"/>
      <c r="C1596" s="62"/>
      <c r="D1596" s="105"/>
      <c r="E1596" s="105"/>
      <c r="F1596" s="60"/>
      <c r="G1596" s="92"/>
      <c r="H1596" s="60"/>
      <c r="I1596" s="60"/>
      <c r="J1596" s="60"/>
      <c r="K1596" s="71" t="str">
        <f>VLOOKUP(E1596,'HEAD OF THE FAMILY'!$B$6:$J1851,9,FALSE)</f>
        <v>#N/A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</row>
    <row r="1597">
      <c r="A1597" s="60" t="str">
        <f t="shared" si="5"/>
        <v/>
      </c>
      <c r="B1597" s="62"/>
      <c r="C1597" s="62"/>
      <c r="D1597" s="105"/>
      <c r="E1597" s="105"/>
      <c r="F1597" s="60"/>
      <c r="G1597" s="92"/>
      <c r="H1597" s="60"/>
      <c r="I1597" s="60"/>
      <c r="J1597" s="60"/>
      <c r="K1597" s="71" t="str">
        <f>VLOOKUP(E1597,'HEAD OF THE FAMILY'!$B$6:$J1851,9,FALSE)</f>
        <v>#N/A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</row>
    <row r="1598">
      <c r="A1598" s="60" t="str">
        <f t="shared" si="5"/>
        <v/>
      </c>
      <c r="B1598" s="62"/>
      <c r="C1598" s="62"/>
      <c r="D1598" s="105"/>
      <c r="E1598" s="105"/>
      <c r="F1598" s="60"/>
      <c r="G1598" s="92"/>
      <c r="H1598" s="60"/>
      <c r="I1598" s="60"/>
      <c r="J1598" s="60"/>
      <c r="K1598" s="71" t="str">
        <f>VLOOKUP(E1598,'HEAD OF THE FAMILY'!$B$6:$J1851,9,FALSE)</f>
        <v>#N/A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</row>
    <row r="1599">
      <c r="A1599" s="60" t="str">
        <f t="shared" si="5"/>
        <v/>
      </c>
      <c r="B1599" s="62"/>
      <c r="C1599" s="62"/>
      <c r="D1599" s="105"/>
      <c r="E1599" s="105"/>
      <c r="F1599" s="60"/>
      <c r="G1599" s="92"/>
      <c r="H1599" s="60"/>
      <c r="I1599" s="60"/>
      <c r="J1599" s="60"/>
      <c r="K1599" s="71" t="str">
        <f>VLOOKUP(E1599,'HEAD OF THE FAMILY'!$B$6:$J1851,9,FALSE)</f>
        <v>#N/A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</row>
    <row r="1600">
      <c r="A1600" s="60" t="str">
        <f t="shared" si="5"/>
        <v/>
      </c>
      <c r="B1600" s="62"/>
      <c r="C1600" s="62"/>
      <c r="D1600" s="105"/>
      <c r="E1600" s="105"/>
      <c r="F1600" s="60"/>
      <c r="G1600" s="92"/>
      <c r="H1600" s="60"/>
      <c r="I1600" s="60"/>
      <c r="J1600" s="60"/>
      <c r="K1600" s="71" t="str">
        <f>VLOOKUP(E1600,'HEAD OF THE FAMILY'!$B$6:$J1851,9,FALSE)</f>
        <v>#N/A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</row>
    <row r="1601">
      <c r="A1601" s="60" t="str">
        <f t="shared" si="5"/>
        <v/>
      </c>
      <c r="B1601" s="62"/>
      <c r="C1601" s="62"/>
      <c r="D1601" s="105"/>
      <c r="E1601" s="105"/>
      <c r="F1601" s="60"/>
      <c r="G1601" s="92"/>
      <c r="H1601" s="60"/>
      <c r="I1601" s="60"/>
      <c r="J1601" s="60"/>
      <c r="K1601" s="71" t="str">
        <f>VLOOKUP(E1601,'HEAD OF THE FAMILY'!$B$6:$J1851,9,FALSE)</f>
        <v>#N/A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</row>
    <row r="1602">
      <c r="A1602" s="60" t="str">
        <f t="shared" si="5"/>
        <v/>
      </c>
      <c r="B1602" s="62"/>
      <c r="C1602" s="62"/>
      <c r="D1602" s="105"/>
      <c r="E1602" s="105"/>
      <c r="F1602" s="60"/>
      <c r="G1602" s="92"/>
      <c r="H1602" s="60"/>
      <c r="I1602" s="60"/>
      <c r="J1602" s="60"/>
      <c r="K1602" s="71" t="str">
        <f>VLOOKUP(E1602,'HEAD OF THE FAMILY'!$B$6:$J1851,9,FALSE)</f>
        <v>#N/A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</row>
    <row r="1603">
      <c r="A1603" s="60" t="str">
        <f t="shared" si="5"/>
        <v/>
      </c>
      <c r="B1603" s="62"/>
      <c r="C1603" s="62"/>
      <c r="D1603" s="105"/>
      <c r="E1603" s="105"/>
      <c r="F1603" s="60"/>
      <c r="G1603" s="92"/>
      <c r="H1603" s="60"/>
      <c r="I1603" s="60"/>
      <c r="J1603" s="60"/>
      <c r="K1603" s="71" t="str">
        <f>VLOOKUP(E1603,'HEAD OF THE FAMILY'!$B$6:$J1851,9,FALSE)</f>
        <v>#N/A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</row>
    <row r="1604">
      <c r="A1604" s="60" t="str">
        <f t="shared" si="5"/>
        <v/>
      </c>
      <c r="B1604" s="62"/>
      <c r="C1604" s="62"/>
      <c r="D1604" s="105"/>
      <c r="E1604" s="105"/>
      <c r="F1604" s="60"/>
      <c r="G1604" s="92"/>
      <c r="H1604" s="60"/>
      <c r="I1604" s="60"/>
      <c r="J1604" s="60"/>
      <c r="K1604" s="71" t="str">
        <f>VLOOKUP(E1604,'HEAD OF THE FAMILY'!$B$6:$J1851,9,FALSE)</f>
        <v>#N/A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</row>
    <row r="1605">
      <c r="A1605" s="60" t="str">
        <f t="shared" si="5"/>
        <v/>
      </c>
      <c r="B1605" s="62"/>
      <c r="C1605" s="62"/>
      <c r="D1605" s="105"/>
      <c r="E1605" s="105"/>
      <c r="F1605" s="60"/>
      <c r="G1605" s="92"/>
      <c r="H1605" s="60"/>
      <c r="I1605" s="60"/>
      <c r="J1605" s="60"/>
      <c r="K1605" s="71" t="str">
        <f>VLOOKUP(E1605,'HEAD OF THE FAMILY'!$B$6:$J1851,9,FALSE)</f>
        <v>#N/A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</row>
    <row r="1606">
      <c r="A1606" s="60" t="str">
        <f t="shared" si="5"/>
        <v/>
      </c>
      <c r="B1606" s="62"/>
      <c r="C1606" s="62"/>
      <c r="D1606" s="105"/>
      <c r="E1606" s="105"/>
      <c r="F1606" s="60"/>
      <c r="G1606" s="92"/>
      <c r="H1606" s="60"/>
      <c r="I1606" s="60"/>
      <c r="J1606" s="60"/>
      <c r="K1606" s="71" t="str">
        <f>VLOOKUP(E1606,'HEAD OF THE FAMILY'!$B$6:$J1851,9,FALSE)</f>
        <v>#N/A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</row>
    <row r="1607">
      <c r="A1607" s="60" t="str">
        <f t="shared" si="5"/>
        <v/>
      </c>
      <c r="B1607" s="62"/>
      <c r="C1607" s="62"/>
      <c r="D1607" s="105"/>
      <c r="E1607" s="105"/>
      <c r="F1607" s="60"/>
      <c r="G1607" s="92"/>
      <c r="H1607" s="60"/>
      <c r="I1607" s="60"/>
      <c r="J1607" s="60"/>
      <c r="K1607" s="71" t="str">
        <f>VLOOKUP(E1607,'HEAD OF THE FAMILY'!$B$6:$J1851,9,FALSE)</f>
        <v>#N/A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</row>
    <row r="1608">
      <c r="A1608" s="60" t="str">
        <f t="shared" si="5"/>
        <v/>
      </c>
      <c r="B1608" s="62"/>
      <c r="C1608" s="62"/>
      <c r="D1608" s="105"/>
      <c r="E1608" s="105"/>
      <c r="F1608" s="60"/>
      <c r="G1608" s="92"/>
      <c r="H1608" s="60"/>
      <c r="I1608" s="60"/>
      <c r="J1608" s="60"/>
      <c r="K1608" s="71" t="str">
        <f>VLOOKUP(E1608,'HEAD OF THE FAMILY'!$B$6:$J1851,9,FALSE)</f>
        <v>#N/A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</row>
    <row r="1609">
      <c r="A1609" s="60" t="str">
        <f t="shared" si="5"/>
        <v/>
      </c>
      <c r="B1609" s="62"/>
      <c r="C1609" s="62"/>
      <c r="D1609" s="105"/>
      <c r="E1609" s="105"/>
      <c r="F1609" s="60"/>
      <c r="G1609" s="92"/>
      <c r="H1609" s="60"/>
      <c r="I1609" s="60"/>
      <c r="J1609" s="60"/>
      <c r="K1609" s="71" t="str">
        <f>VLOOKUP(E1609,'HEAD OF THE FAMILY'!$B$6:$J1851,9,FALSE)</f>
        <v>#N/A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</row>
    <row r="1610">
      <c r="A1610" s="60" t="str">
        <f t="shared" si="5"/>
        <v/>
      </c>
      <c r="B1610" s="62"/>
      <c r="C1610" s="62"/>
      <c r="D1610" s="105"/>
      <c r="E1610" s="105"/>
      <c r="F1610" s="60"/>
      <c r="G1610" s="92"/>
      <c r="H1610" s="60"/>
      <c r="I1610" s="60"/>
      <c r="J1610" s="60"/>
      <c r="K1610" s="71" t="str">
        <f>VLOOKUP(E1610,'HEAD OF THE FAMILY'!$B$6:$J1851,9,FALSE)</f>
        <v>#N/A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</row>
    <row r="1611">
      <c r="A1611" s="60" t="str">
        <f t="shared" si="5"/>
        <v/>
      </c>
      <c r="B1611" s="62"/>
      <c r="C1611" s="62"/>
      <c r="D1611" s="105"/>
      <c r="E1611" s="105"/>
      <c r="F1611" s="60"/>
      <c r="G1611" s="92"/>
      <c r="H1611" s="60"/>
      <c r="I1611" s="60"/>
      <c r="J1611" s="60"/>
      <c r="K1611" s="71" t="str">
        <f>VLOOKUP(E1611,'HEAD OF THE FAMILY'!$B$6:$J1851,9,FALSE)</f>
        <v>#N/A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</row>
    <row r="1612">
      <c r="A1612" s="60" t="str">
        <f t="shared" si="5"/>
        <v/>
      </c>
      <c r="B1612" s="62"/>
      <c r="C1612" s="62"/>
      <c r="D1612" s="105"/>
      <c r="E1612" s="105"/>
      <c r="F1612" s="60"/>
      <c r="G1612" s="92"/>
      <c r="H1612" s="60"/>
      <c r="I1612" s="60"/>
      <c r="J1612" s="60"/>
      <c r="K1612" s="71" t="str">
        <f>VLOOKUP(E1612,'HEAD OF THE FAMILY'!$B$6:$J1851,9,FALSE)</f>
        <v>#N/A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</row>
    <row r="1613">
      <c r="A1613" s="60" t="str">
        <f t="shared" si="5"/>
        <v/>
      </c>
      <c r="B1613" s="62"/>
      <c r="C1613" s="62"/>
      <c r="D1613" s="105"/>
      <c r="E1613" s="105"/>
      <c r="F1613" s="60"/>
      <c r="G1613" s="92"/>
      <c r="H1613" s="60"/>
      <c r="I1613" s="60"/>
      <c r="J1613" s="60"/>
      <c r="K1613" s="71" t="str">
        <f>VLOOKUP(E1613,'HEAD OF THE FAMILY'!$B$6:$J1851,9,FALSE)</f>
        <v>#N/A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</row>
    <row r="1614">
      <c r="A1614" s="60" t="str">
        <f t="shared" si="5"/>
        <v/>
      </c>
      <c r="B1614" s="62"/>
      <c r="C1614" s="62"/>
      <c r="D1614" s="105"/>
      <c r="E1614" s="105"/>
      <c r="F1614" s="60"/>
      <c r="G1614" s="92"/>
      <c r="H1614" s="60"/>
      <c r="I1614" s="60"/>
      <c r="J1614" s="60"/>
      <c r="K1614" s="71" t="str">
        <f>VLOOKUP(E1614,'HEAD OF THE FAMILY'!$B$6:$J1851,9,FALSE)</f>
        <v>#N/A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</row>
    <row r="1615">
      <c r="A1615" s="60" t="str">
        <f t="shared" si="5"/>
        <v/>
      </c>
      <c r="B1615" s="62"/>
      <c r="C1615" s="62"/>
      <c r="D1615" s="105"/>
      <c r="E1615" s="105"/>
      <c r="F1615" s="60"/>
      <c r="G1615" s="92"/>
      <c r="H1615" s="60"/>
      <c r="I1615" s="60"/>
      <c r="J1615" s="60"/>
      <c r="K1615" s="71" t="str">
        <f>VLOOKUP(E1615,'HEAD OF THE FAMILY'!$B$6:$J1851,9,FALSE)</f>
        <v>#N/A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</row>
    <row r="1616">
      <c r="A1616" s="60" t="str">
        <f t="shared" si="5"/>
        <v/>
      </c>
      <c r="B1616" s="62"/>
      <c r="C1616" s="62"/>
      <c r="D1616" s="105"/>
      <c r="E1616" s="105"/>
      <c r="F1616" s="60"/>
      <c r="G1616" s="92"/>
      <c r="H1616" s="60"/>
      <c r="I1616" s="60"/>
      <c r="J1616" s="60"/>
      <c r="K1616" s="71" t="str">
        <f>VLOOKUP(E1616,'HEAD OF THE FAMILY'!$B$6:$J1851,9,FALSE)</f>
        <v>#N/A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</row>
    <row r="1617">
      <c r="A1617" s="60" t="str">
        <f t="shared" si="5"/>
        <v/>
      </c>
      <c r="B1617" s="62"/>
      <c r="C1617" s="62"/>
      <c r="D1617" s="105"/>
      <c r="E1617" s="105"/>
      <c r="F1617" s="60"/>
      <c r="G1617" s="92"/>
      <c r="H1617" s="60"/>
      <c r="I1617" s="60"/>
      <c r="J1617" s="60"/>
      <c r="K1617" s="71" t="str">
        <f>VLOOKUP(E1617,'HEAD OF THE FAMILY'!$B$6:$J1851,9,FALSE)</f>
        <v>#N/A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</row>
    <row r="1618">
      <c r="A1618" s="60" t="str">
        <f t="shared" si="5"/>
        <v/>
      </c>
      <c r="B1618" s="62"/>
      <c r="C1618" s="62"/>
      <c r="D1618" s="105"/>
      <c r="E1618" s="105"/>
      <c r="F1618" s="60"/>
      <c r="G1618" s="92"/>
      <c r="H1618" s="60"/>
      <c r="I1618" s="60"/>
      <c r="J1618" s="60"/>
      <c r="K1618" s="71" t="str">
        <f>VLOOKUP(E1618,'HEAD OF THE FAMILY'!$B$6:$J1851,9,FALSE)</f>
        <v>#N/A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</row>
    <row r="1619">
      <c r="A1619" s="60" t="str">
        <f t="shared" si="5"/>
        <v/>
      </c>
      <c r="B1619" s="62"/>
      <c r="C1619" s="62"/>
      <c r="D1619" s="105"/>
      <c r="E1619" s="105"/>
      <c r="F1619" s="60"/>
      <c r="G1619" s="92"/>
      <c r="H1619" s="60"/>
      <c r="I1619" s="60"/>
      <c r="J1619" s="60"/>
      <c r="K1619" s="71" t="str">
        <f>VLOOKUP(E1619,'HEAD OF THE FAMILY'!$B$6:$J1851,9,FALSE)</f>
        <v>#N/A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</row>
    <row r="1620">
      <c r="A1620" s="60" t="str">
        <f t="shared" si="5"/>
        <v/>
      </c>
      <c r="B1620" s="62"/>
      <c r="C1620" s="62"/>
      <c r="D1620" s="105"/>
      <c r="E1620" s="105"/>
      <c r="F1620" s="60"/>
      <c r="G1620" s="92"/>
      <c r="H1620" s="60"/>
      <c r="I1620" s="60"/>
      <c r="J1620" s="60"/>
      <c r="K1620" s="71" t="str">
        <f>VLOOKUP(E1620,'HEAD OF THE FAMILY'!$B$6:$J1851,9,FALSE)</f>
        <v>#N/A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</row>
    <row r="1621">
      <c r="A1621" s="60" t="str">
        <f t="shared" si="5"/>
        <v/>
      </c>
      <c r="B1621" s="62"/>
      <c r="C1621" s="62"/>
      <c r="D1621" s="105"/>
      <c r="E1621" s="105"/>
      <c r="F1621" s="60"/>
      <c r="G1621" s="92"/>
      <c r="H1621" s="60"/>
      <c r="I1621" s="60"/>
      <c r="J1621" s="60"/>
      <c r="K1621" s="71" t="str">
        <f>VLOOKUP(E1621,'HEAD OF THE FAMILY'!$B$6:$J1851,9,FALSE)</f>
        <v>#N/A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</row>
    <row r="1622">
      <c r="A1622" s="60" t="str">
        <f t="shared" si="5"/>
        <v/>
      </c>
      <c r="B1622" s="62"/>
      <c r="C1622" s="62"/>
      <c r="D1622" s="105"/>
      <c r="E1622" s="105"/>
      <c r="F1622" s="60"/>
      <c r="G1622" s="92"/>
      <c r="H1622" s="60"/>
      <c r="I1622" s="60"/>
      <c r="J1622" s="60"/>
      <c r="K1622" s="71" t="str">
        <f>VLOOKUP(E1622,'HEAD OF THE FAMILY'!$B$6:$J1851,9,FALSE)</f>
        <v>#N/A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</row>
    <row r="1623">
      <c r="A1623" s="60" t="str">
        <f t="shared" si="5"/>
        <v/>
      </c>
      <c r="B1623" s="62"/>
      <c r="C1623" s="62"/>
      <c r="D1623" s="105"/>
      <c r="E1623" s="105"/>
      <c r="F1623" s="60"/>
      <c r="G1623" s="92"/>
      <c r="H1623" s="60"/>
      <c r="I1623" s="60"/>
      <c r="J1623" s="60"/>
      <c r="K1623" s="71" t="str">
        <f>VLOOKUP(E1623,'HEAD OF THE FAMILY'!$B$6:$J1851,9,FALSE)</f>
        <v>#N/A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</row>
    <row r="1624">
      <c r="A1624" s="60" t="str">
        <f t="shared" si="5"/>
        <v/>
      </c>
      <c r="B1624" s="62"/>
      <c r="C1624" s="62"/>
      <c r="D1624" s="105"/>
      <c r="E1624" s="105"/>
      <c r="F1624" s="60"/>
      <c r="G1624" s="92"/>
      <c r="H1624" s="60"/>
      <c r="I1624" s="60"/>
      <c r="J1624" s="60"/>
      <c r="K1624" s="71" t="str">
        <f>VLOOKUP(E1624,'HEAD OF THE FAMILY'!$B$6:$J1851,9,FALSE)</f>
        <v>#N/A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</row>
    <row r="1625">
      <c r="A1625" s="60" t="str">
        <f t="shared" si="5"/>
        <v/>
      </c>
      <c r="B1625" s="62"/>
      <c r="C1625" s="62"/>
      <c r="D1625" s="105"/>
      <c r="E1625" s="105"/>
      <c r="F1625" s="60"/>
      <c r="G1625" s="92"/>
      <c r="H1625" s="60"/>
      <c r="I1625" s="60"/>
      <c r="J1625" s="60"/>
      <c r="K1625" s="71" t="str">
        <f>VLOOKUP(E1625,'HEAD OF THE FAMILY'!$B$6:$J1851,9,FALSE)</f>
        <v>#N/A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</row>
    <row r="1626">
      <c r="A1626" s="60" t="str">
        <f t="shared" si="5"/>
        <v/>
      </c>
      <c r="B1626" s="62"/>
      <c r="C1626" s="62"/>
      <c r="D1626" s="105"/>
      <c r="E1626" s="105"/>
      <c r="F1626" s="60"/>
      <c r="G1626" s="92"/>
      <c r="H1626" s="60"/>
      <c r="I1626" s="60"/>
      <c r="J1626" s="60"/>
      <c r="K1626" s="71" t="str">
        <f>VLOOKUP(E1626,'HEAD OF THE FAMILY'!$B$6:$J1851,9,FALSE)</f>
        <v>#N/A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</row>
    <row r="1627">
      <c r="A1627" s="60" t="str">
        <f t="shared" si="5"/>
        <v/>
      </c>
      <c r="B1627" s="62"/>
      <c r="C1627" s="62"/>
      <c r="D1627" s="105"/>
      <c r="E1627" s="105"/>
      <c r="F1627" s="60"/>
      <c r="G1627" s="92"/>
      <c r="H1627" s="60"/>
      <c r="I1627" s="60"/>
      <c r="J1627" s="60"/>
      <c r="K1627" s="71" t="str">
        <f>VLOOKUP(E1627,'HEAD OF THE FAMILY'!$B$6:$J1851,9,FALSE)</f>
        <v>#N/A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</row>
    <row r="1628">
      <c r="A1628" s="60" t="str">
        <f t="shared" si="5"/>
        <v/>
      </c>
      <c r="B1628" s="62"/>
      <c r="C1628" s="62"/>
      <c r="D1628" s="105"/>
      <c r="E1628" s="105"/>
      <c r="F1628" s="60"/>
      <c r="G1628" s="92"/>
      <c r="H1628" s="60"/>
      <c r="I1628" s="60"/>
      <c r="J1628" s="60"/>
      <c r="K1628" s="71" t="str">
        <f>VLOOKUP(E1628,'HEAD OF THE FAMILY'!$B$6:$J1851,9,FALSE)</f>
        <v>#N/A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</row>
    <row r="1629">
      <c r="A1629" s="60" t="str">
        <f t="shared" si="5"/>
        <v/>
      </c>
      <c r="B1629" s="62"/>
      <c r="C1629" s="62"/>
      <c r="D1629" s="105"/>
      <c r="E1629" s="105"/>
      <c r="F1629" s="60"/>
      <c r="G1629" s="92"/>
      <c r="H1629" s="60"/>
      <c r="I1629" s="60"/>
      <c r="J1629" s="60"/>
      <c r="K1629" s="71" t="str">
        <f>VLOOKUP(E1629,'HEAD OF THE FAMILY'!$B$6:$J1851,9,FALSE)</f>
        <v>#N/A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</row>
    <row r="1630">
      <c r="A1630" s="60" t="str">
        <f t="shared" si="5"/>
        <v/>
      </c>
      <c r="B1630" s="62"/>
      <c r="C1630" s="62"/>
      <c r="D1630" s="105"/>
      <c r="E1630" s="105"/>
      <c r="F1630" s="60"/>
      <c r="G1630" s="92"/>
      <c r="H1630" s="60"/>
      <c r="I1630" s="60"/>
      <c r="J1630" s="60"/>
      <c r="K1630" s="71" t="str">
        <f>VLOOKUP(E1630,'HEAD OF THE FAMILY'!$B$6:$J1851,9,FALSE)</f>
        <v>#N/A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</row>
    <row r="1631">
      <c r="A1631" s="60" t="str">
        <f t="shared" si="5"/>
        <v/>
      </c>
      <c r="B1631" s="62"/>
      <c r="C1631" s="62"/>
      <c r="D1631" s="105"/>
      <c r="E1631" s="105"/>
      <c r="F1631" s="60"/>
      <c r="G1631" s="92"/>
      <c r="H1631" s="60"/>
      <c r="I1631" s="60"/>
      <c r="J1631" s="60"/>
      <c r="K1631" s="71" t="str">
        <f>VLOOKUP(E1631,'HEAD OF THE FAMILY'!$B$6:$J1851,9,FALSE)</f>
        <v>#N/A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</row>
    <row r="1632">
      <c r="A1632" s="60" t="str">
        <f t="shared" si="5"/>
        <v/>
      </c>
      <c r="B1632" s="62"/>
      <c r="C1632" s="62"/>
      <c r="D1632" s="105"/>
      <c r="E1632" s="105"/>
      <c r="F1632" s="60"/>
      <c r="G1632" s="92"/>
      <c r="H1632" s="60"/>
      <c r="I1632" s="60"/>
      <c r="J1632" s="60"/>
      <c r="K1632" s="71" t="str">
        <f>VLOOKUP(E1632,'HEAD OF THE FAMILY'!$B$6:$J1851,9,FALSE)</f>
        <v>#N/A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</row>
    <row r="1633">
      <c r="A1633" s="60" t="str">
        <f t="shared" si="5"/>
        <v/>
      </c>
      <c r="B1633" s="62"/>
      <c r="C1633" s="62"/>
      <c r="D1633" s="105"/>
      <c r="E1633" s="105"/>
      <c r="F1633" s="60"/>
      <c r="G1633" s="92"/>
      <c r="H1633" s="60"/>
      <c r="I1633" s="60"/>
      <c r="J1633" s="60"/>
      <c r="K1633" s="71" t="str">
        <f>VLOOKUP(E1633,'HEAD OF THE FAMILY'!$B$6:$J1851,9,FALSE)</f>
        <v>#N/A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</row>
    <row r="1634">
      <c r="A1634" s="60" t="str">
        <f t="shared" si="5"/>
        <v/>
      </c>
      <c r="B1634" s="62"/>
      <c r="C1634" s="62"/>
      <c r="D1634" s="105"/>
      <c r="E1634" s="105"/>
      <c r="F1634" s="60"/>
      <c r="G1634" s="92"/>
      <c r="H1634" s="60"/>
      <c r="I1634" s="60"/>
      <c r="J1634" s="60"/>
      <c r="K1634" s="71" t="str">
        <f>VLOOKUP(E1634,'HEAD OF THE FAMILY'!$B$6:$J1851,9,FALSE)</f>
        <v>#N/A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</row>
    <row r="1635">
      <c r="A1635" s="60" t="str">
        <f t="shared" si="5"/>
        <v/>
      </c>
      <c r="B1635" s="62"/>
      <c r="C1635" s="62"/>
      <c r="D1635" s="105"/>
      <c r="E1635" s="105"/>
      <c r="F1635" s="60"/>
      <c r="G1635" s="92"/>
      <c r="H1635" s="60"/>
      <c r="I1635" s="60"/>
      <c r="J1635" s="60"/>
      <c r="K1635" s="71" t="str">
        <f>VLOOKUP(E1635,'HEAD OF THE FAMILY'!$B$6:$J1851,9,FALSE)</f>
        <v>#N/A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</row>
    <row r="1636">
      <c r="A1636" s="60" t="str">
        <f t="shared" si="5"/>
        <v/>
      </c>
      <c r="B1636" s="62"/>
      <c r="C1636" s="62"/>
      <c r="D1636" s="105"/>
      <c r="E1636" s="105"/>
      <c r="F1636" s="60"/>
      <c r="G1636" s="92"/>
      <c r="H1636" s="60"/>
      <c r="I1636" s="60"/>
      <c r="J1636" s="60"/>
      <c r="K1636" s="71" t="str">
        <f>VLOOKUP(E1636,'HEAD OF THE FAMILY'!$B$6:$J1851,9,FALSE)</f>
        <v>#N/A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</row>
    <row r="1637">
      <c r="A1637" s="60" t="str">
        <f t="shared" si="5"/>
        <v/>
      </c>
      <c r="B1637" s="62"/>
      <c r="C1637" s="62"/>
      <c r="D1637" s="105"/>
      <c r="E1637" s="105"/>
      <c r="F1637" s="60"/>
      <c r="G1637" s="92"/>
      <c r="H1637" s="60"/>
      <c r="I1637" s="60"/>
      <c r="J1637" s="60"/>
      <c r="K1637" s="71" t="str">
        <f>VLOOKUP(E1637,'HEAD OF THE FAMILY'!$B$6:$J1851,9,FALSE)</f>
        <v>#N/A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</row>
    <row r="1638">
      <c r="A1638" s="60" t="str">
        <f t="shared" si="5"/>
        <v/>
      </c>
      <c r="B1638" s="62"/>
      <c r="C1638" s="62"/>
      <c r="D1638" s="105"/>
      <c r="E1638" s="105"/>
      <c r="F1638" s="60"/>
      <c r="G1638" s="92"/>
      <c r="H1638" s="60"/>
      <c r="I1638" s="60"/>
      <c r="J1638" s="60"/>
      <c r="K1638" s="71" t="str">
        <f>VLOOKUP(E1638,'HEAD OF THE FAMILY'!$B$6:$J1851,9,FALSE)</f>
        <v>#N/A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</row>
    <row r="1639">
      <c r="A1639" s="60" t="str">
        <f t="shared" si="5"/>
        <v/>
      </c>
      <c r="B1639" s="62"/>
      <c r="C1639" s="62"/>
      <c r="D1639" s="105"/>
      <c r="E1639" s="105"/>
      <c r="F1639" s="60"/>
      <c r="G1639" s="92"/>
      <c r="H1639" s="60"/>
      <c r="I1639" s="60"/>
      <c r="J1639" s="60"/>
      <c r="K1639" s="71" t="str">
        <f>VLOOKUP(E1639,'HEAD OF THE FAMILY'!$B$6:$J1851,9,FALSE)</f>
        <v>#N/A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</row>
    <row r="1640">
      <c r="A1640" s="60" t="str">
        <f t="shared" si="5"/>
        <v/>
      </c>
      <c r="B1640" s="62"/>
      <c r="C1640" s="62"/>
      <c r="D1640" s="105"/>
      <c r="E1640" s="105"/>
      <c r="F1640" s="60"/>
      <c r="G1640" s="92"/>
      <c r="H1640" s="60"/>
      <c r="I1640" s="60"/>
      <c r="J1640" s="60"/>
      <c r="K1640" s="71" t="str">
        <f>VLOOKUP(E1640,'HEAD OF THE FAMILY'!$B$6:$J1851,9,FALSE)</f>
        <v>#N/A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</row>
    <row r="1641">
      <c r="A1641" s="60" t="str">
        <f t="shared" si="5"/>
        <v/>
      </c>
      <c r="B1641" s="62"/>
      <c r="C1641" s="62"/>
      <c r="D1641" s="105"/>
      <c r="E1641" s="105"/>
      <c r="F1641" s="60"/>
      <c r="G1641" s="92"/>
      <c r="H1641" s="60"/>
      <c r="I1641" s="60"/>
      <c r="J1641" s="60"/>
      <c r="K1641" s="71" t="str">
        <f>VLOOKUP(E1641,'HEAD OF THE FAMILY'!$B$6:$J1851,9,FALSE)</f>
        <v>#N/A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</row>
    <row r="1642">
      <c r="A1642" s="60" t="str">
        <f t="shared" si="5"/>
        <v/>
      </c>
      <c r="B1642" s="62"/>
      <c r="C1642" s="62"/>
      <c r="D1642" s="105"/>
      <c r="E1642" s="105"/>
      <c r="F1642" s="60"/>
      <c r="G1642" s="92"/>
      <c r="H1642" s="60"/>
      <c r="I1642" s="60"/>
      <c r="J1642" s="60"/>
      <c r="K1642" s="71" t="str">
        <f>VLOOKUP(E1642,'HEAD OF THE FAMILY'!$B$6:$J1851,9,FALSE)</f>
        <v>#N/A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</row>
    <row r="1643">
      <c r="A1643" s="60" t="str">
        <f t="shared" si="5"/>
        <v/>
      </c>
      <c r="B1643" s="62"/>
      <c r="C1643" s="62"/>
      <c r="D1643" s="105"/>
      <c r="E1643" s="105"/>
      <c r="F1643" s="60"/>
      <c r="G1643" s="92"/>
      <c r="H1643" s="60"/>
      <c r="I1643" s="60"/>
      <c r="J1643" s="60"/>
      <c r="K1643" s="71" t="str">
        <f>VLOOKUP(E1643,'HEAD OF THE FAMILY'!$B$6:$J1851,9,FALSE)</f>
        <v>#N/A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</row>
    <row r="1644">
      <c r="A1644" s="60" t="str">
        <f t="shared" si="5"/>
        <v/>
      </c>
      <c r="B1644" s="62"/>
      <c r="C1644" s="62"/>
      <c r="D1644" s="105"/>
      <c r="E1644" s="105"/>
      <c r="F1644" s="60"/>
      <c r="G1644" s="92"/>
      <c r="H1644" s="60"/>
      <c r="I1644" s="60"/>
      <c r="J1644" s="60"/>
      <c r="K1644" s="71" t="str">
        <f>VLOOKUP(E1644,'HEAD OF THE FAMILY'!$B$6:$J1851,9,FALSE)</f>
        <v>#N/A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</row>
    <row r="1645">
      <c r="A1645" s="60" t="str">
        <f t="shared" si="5"/>
        <v/>
      </c>
      <c r="B1645" s="62"/>
      <c r="C1645" s="62"/>
      <c r="D1645" s="105"/>
      <c r="E1645" s="105"/>
      <c r="F1645" s="60"/>
      <c r="G1645" s="92"/>
      <c r="H1645" s="60"/>
      <c r="I1645" s="60"/>
      <c r="J1645" s="60"/>
      <c r="K1645" s="71" t="str">
        <f>VLOOKUP(E1645,'HEAD OF THE FAMILY'!$B$6:$J1851,9,FALSE)</f>
        <v>#N/A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</row>
    <row r="1646">
      <c r="A1646" s="60" t="str">
        <f t="shared" si="5"/>
        <v/>
      </c>
      <c r="B1646" s="62"/>
      <c r="C1646" s="62"/>
      <c r="D1646" s="105"/>
      <c r="E1646" s="105"/>
      <c r="F1646" s="60"/>
      <c r="G1646" s="92"/>
      <c r="H1646" s="60"/>
      <c r="I1646" s="60"/>
      <c r="J1646" s="60"/>
      <c r="K1646" s="71" t="str">
        <f>VLOOKUP(E1646,'HEAD OF THE FAMILY'!$B$6:$J1851,9,FALSE)</f>
        <v>#N/A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</row>
    <row r="1647">
      <c r="A1647" s="60" t="str">
        <f t="shared" si="5"/>
        <v/>
      </c>
      <c r="B1647" s="62"/>
      <c r="C1647" s="62"/>
      <c r="D1647" s="105"/>
      <c r="E1647" s="105"/>
      <c r="F1647" s="60"/>
      <c r="G1647" s="92"/>
      <c r="H1647" s="60"/>
      <c r="I1647" s="60"/>
      <c r="J1647" s="60"/>
      <c r="K1647" s="71" t="str">
        <f>VLOOKUP(E1647,'HEAD OF THE FAMILY'!$B$6:$J1851,9,FALSE)</f>
        <v>#N/A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</row>
    <row r="1648">
      <c r="A1648" s="60" t="str">
        <f t="shared" si="5"/>
        <v/>
      </c>
      <c r="B1648" s="62"/>
      <c r="C1648" s="62"/>
      <c r="D1648" s="105"/>
      <c r="E1648" s="105"/>
      <c r="F1648" s="60"/>
      <c r="G1648" s="92"/>
      <c r="H1648" s="60"/>
      <c r="I1648" s="60"/>
      <c r="J1648" s="60"/>
      <c r="K1648" s="71" t="str">
        <f>VLOOKUP(E1648,'HEAD OF THE FAMILY'!$B$6:$J1851,9,FALSE)</f>
        <v>#N/A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</row>
    <row r="1649">
      <c r="A1649" s="60" t="str">
        <f t="shared" si="5"/>
        <v/>
      </c>
      <c r="B1649" s="62"/>
      <c r="C1649" s="62"/>
      <c r="D1649" s="105"/>
      <c r="E1649" s="105"/>
      <c r="F1649" s="60"/>
      <c r="G1649" s="92"/>
      <c r="H1649" s="60"/>
      <c r="I1649" s="60"/>
      <c r="J1649" s="60"/>
      <c r="K1649" s="71" t="str">
        <f>VLOOKUP(E1649,'HEAD OF THE FAMILY'!$B$6:$J1851,9,FALSE)</f>
        <v>#N/A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</row>
    <row r="1650">
      <c r="A1650" s="60" t="str">
        <f t="shared" si="5"/>
        <v/>
      </c>
      <c r="B1650" s="62"/>
      <c r="C1650" s="62"/>
      <c r="D1650" s="105"/>
      <c r="E1650" s="105"/>
      <c r="F1650" s="60"/>
      <c r="G1650" s="92"/>
      <c r="H1650" s="60"/>
      <c r="I1650" s="60"/>
      <c r="J1650" s="60"/>
      <c r="K1650" s="71" t="str">
        <f>VLOOKUP(E1650,'HEAD OF THE FAMILY'!$B$6:$J1851,9,FALSE)</f>
        <v>#N/A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</row>
    <row r="1651">
      <c r="A1651" s="60" t="str">
        <f t="shared" si="5"/>
        <v/>
      </c>
      <c r="B1651" s="62"/>
      <c r="C1651" s="62"/>
      <c r="D1651" s="105"/>
      <c r="E1651" s="105"/>
      <c r="F1651" s="60"/>
      <c r="G1651" s="92"/>
      <c r="H1651" s="60"/>
      <c r="I1651" s="60"/>
      <c r="J1651" s="60"/>
      <c r="K1651" s="71" t="str">
        <f>VLOOKUP(E1651,'HEAD OF THE FAMILY'!$B$6:$J1851,9,FALSE)</f>
        <v>#N/A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</row>
    <row r="1652">
      <c r="A1652" s="60" t="str">
        <f t="shared" si="5"/>
        <v/>
      </c>
      <c r="B1652" s="62"/>
      <c r="C1652" s="62"/>
      <c r="D1652" s="105"/>
      <c r="E1652" s="105"/>
      <c r="F1652" s="60"/>
      <c r="G1652" s="92"/>
      <c r="H1652" s="60"/>
      <c r="I1652" s="60"/>
      <c r="J1652" s="60"/>
      <c r="K1652" s="71" t="str">
        <f>VLOOKUP(E1652,'HEAD OF THE FAMILY'!$B$6:$J1851,9,FALSE)</f>
        <v>#N/A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</row>
    <row r="1653">
      <c r="A1653" s="60" t="str">
        <f t="shared" si="5"/>
        <v/>
      </c>
      <c r="B1653" s="62"/>
      <c r="C1653" s="62"/>
      <c r="D1653" s="105"/>
      <c r="E1653" s="105"/>
      <c r="F1653" s="60"/>
      <c r="G1653" s="92"/>
      <c r="H1653" s="60"/>
      <c r="I1653" s="60"/>
      <c r="J1653" s="60"/>
      <c r="K1653" s="71" t="str">
        <f>VLOOKUP(E1653,'HEAD OF THE FAMILY'!$B$6:$J1851,9,FALSE)</f>
        <v>#N/A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</row>
    <row r="1654">
      <c r="A1654" s="60" t="str">
        <f t="shared" si="5"/>
        <v/>
      </c>
      <c r="B1654" s="62"/>
      <c r="C1654" s="62"/>
      <c r="D1654" s="105"/>
      <c r="E1654" s="105"/>
      <c r="F1654" s="60"/>
      <c r="G1654" s="92"/>
      <c r="H1654" s="60"/>
      <c r="I1654" s="60"/>
      <c r="J1654" s="60"/>
      <c r="K1654" s="71" t="str">
        <f>VLOOKUP(E1654,'HEAD OF THE FAMILY'!$B$6:$J1851,9,FALSE)</f>
        <v>#N/A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</row>
    <row r="1655">
      <c r="A1655" s="60" t="str">
        <f t="shared" si="5"/>
        <v/>
      </c>
      <c r="B1655" s="62"/>
      <c r="C1655" s="62"/>
      <c r="D1655" s="105"/>
      <c r="E1655" s="105"/>
      <c r="F1655" s="60"/>
      <c r="G1655" s="92"/>
      <c r="H1655" s="60"/>
      <c r="I1655" s="60"/>
      <c r="J1655" s="60"/>
      <c r="K1655" s="71" t="str">
        <f>VLOOKUP(E1655,'HEAD OF THE FAMILY'!$B$6:$J1851,9,FALSE)</f>
        <v>#N/A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</row>
    <row r="1656">
      <c r="A1656" s="60" t="str">
        <f t="shared" si="5"/>
        <v/>
      </c>
      <c r="B1656" s="62"/>
      <c r="C1656" s="62"/>
      <c r="D1656" s="105"/>
      <c r="E1656" s="105"/>
      <c r="F1656" s="60"/>
      <c r="G1656" s="92"/>
      <c r="H1656" s="60"/>
      <c r="I1656" s="60"/>
      <c r="J1656" s="60"/>
      <c r="K1656" s="71" t="str">
        <f>VLOOKUP(E1656,'HEAD OF THE FAMILY'!$B$6:$J1851,9,FALSE)</f>
        <v>#N/A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</row>
    <row r="1657">
      <c r="A1657" s="60" t="str">
        <f t="shared" si="5"/>
        <v/>
      </c>
      <c r="B1657" s="62"/>
      <c r="C1657" s="62"/>
      <c r="D1657" s="105"/>
      <c r="E1657" s="105"/>
      <c r="F1657" s="60"/>
      <c r="G1657" s="92"/>
      <c r="H1657" s="60"/>
      <c r="I1657" s="60"/>
      <c r="J1657" s="60"/>
      <c r="K1657" s="71" t="str">
        <f>VLOOKUP(E1657,'HEAD OF THE FAMILY'!$B$6:$J1851,9,FALSE)</f>
        <v>#N/A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</row>
    <row r="1658">
      <c r="A1658" s="60" t="str">
        <f t="shared" si="5"/>
        <v/>
      </c>
      <c r="B1658" s="62"/>
      <c r="C1658" s="62"/>
      <c r="D1658" s="105"/>
      <c r="E1658" s="105"/>
      <c r="F1658" s="60"/>
      <c r="G1658" s="92"/>
      <c r="H1658" s="60"/>
      <c r="I1658" s="60"/>
      <c r="J1658" s="60"/>
      <c r="K1658" s="71" t="str">
        <f>VLOOKUP(E1658,'HEAD OF THE FAMILY'!$B$6:$J1851,9,FALSE)</f>
        <v>#N/A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</row>
    <row r="1659">
      <c r="A1659" s="60" t="str">
        <f t="shared" si="5"/>
        <v/>
      </c>
      <c r="B1659" s="62"/>
      <c r="C1659" s="62"/>
      <c r="D1659" s="105"/>
      <c r="E1659" s="105"/>
      <c r="F1659" s="60"/>
      <c r="G1659" s="92"/>
      <c r="H1659" s="60"/>
      <c r="I1659" s="60"/>
      <c r="J1659" s="60"/>
      <c r="K1659" s="71" t="str">
        <f>VLOOKUP(E1659,'HEAD OF THE FAMILY'!$B$6:$J1851,9,FALSE)</f>
        <v>#N/A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</row>
    <row r="1660">
      <c r="A1660" s="60" t="str">
        <f t="shared" si="5"/>
        <v/>
      </c>
      <c r="B1660" s="62"/>
      <c r="C1660" s="62"/>
      <c r="D1660" s="105"/>
      <c r="E1660" s="105"/>
      <c r="F1660" s="60"/>
      <c r="G1660" s="92"/>
      <c r="H1660" s="60"/>
      <c r="I1660" s="60"/>
      <c r="J1660" s="60"/>
      <c r="K1660" s="71" t="str">
        <f>VLOOKUP(E1660,'HEAD OF THE FAMILY'!$B$6:$J1851,9,FALSE)</f>
        <v>#N/A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</row>
    <row r="1661">
      <c r="A1661" s="60" t="str">
        <f t="shared" si="5"/>
        <v/>
      </c>
      <c r="B1661" s="62"/>
      <c r="C1661" s="62"/>
      <c r="D1661" s="105"/>
      <c r="E1661" s="105"/>
      <c r="F1661" s="60"/>
      <c r="G1661" s="92"/>
      <c r="H1661" s="60"/>
      <c r="I1661" s="60"/>
      <c r="J1661" s="60"/>
      <c r="K1661" s="71" t="str">
        <f>VLOOKUP(E1661,'HEAD OF THE FAMILY'!$B$6:$J1851,9,FALSE)</f>
        <v>#N/A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</row>
    <row r="1662">
      <c r="A1662" s="60" t="str">
        <f t="shared" si="5"/>
        <v/>
      </c>
      <c r="B1662" s="62"/>
      <c r="C1662" s="62"/>
      <c r="D1662" s="105"/>
      <c r="E1662" s="105"/>
      <c r="F1662" s="60"/>
      <c r="G1662" s="92"/>
      <c r="H1662" s="60"/>
      <c r="I1662" s="60"/>
      <c r="J1662" s="60"/>
      <c r="K1662" s="71" t="str">
        <f>VLOOKUP(E1662,'HEAD OF THE FAMILY'!$B$6:$J1851,9,FALSE)</f>
        <v>#N/A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</row>
    <row r="1663">
      <c r="A1663" s="60" t="str">
        <f t="shared" si="5"/>
        <v/>
      </c>
      <c r="B1663" s="62"/>
      <c r="C1663" s="62"/>
      <c r="D1663" s="105"/>
      <c r="E1663" s="105"/>
      <c r="F1663" s="60"/>
      <c r="G1663" s="92"/>
      <c r="H1663" s="60"/>
      <c r="I1663" s="60"/>
      <c r="J1663" s="60"/>
      <c r="K1663" s="71" t="str">
        <f>VLOOKUP(E1663,'HEAD OF THE FAMILY'!$B$6:$J1851,9,FALSE)</f>
        <v>#N/A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</row>
    <row r="1664">
      <c r="A1664" s="60" t="str">
        <f t="shared" si="5"/>
        <v/>
      </c>
      <c r="B1664" s="62"/>
      <c r="C1664" s="62"/>
      <c r="D1664" s="105"/>
      <c r="E1664" s="105"/>
      <c r="F1664" s="60"/>
      <c r="G1664" s="92"/>
      <c r="H1664" s="60"/>
      <c r="I1664" s="60"/>
      <c r="J1664" s="60"/>
      <c r="K1664" s="71" t="str">
        <f>VLOOKUP(E1664,'HEAD OF THE FAMILY'!$B$6:$J1851,9,FALSE)</f>
        <v>#N/A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</row>
    <row r="1665">
      <c r="A1665" s="60" t="str">
        <f t="shared" si="5"/>
        <v/>
      </c>
      <c r="B1665" s="62"/>
      <c r="C1665" s="62"/>
      <c r="D1665" s="105"/>
      <c r="E1665" s="105"/>
      <c r="F1665" s="60"/>
      <c r="G1665" s="92"/>
      <c r="H1665" s="60"/>
      <c r="I1665" s="60"/>
      <c r="J1665" s="60"/>
      <c r="K1665" s="71" t="str">
        <f>VLOOKUP(E1665,'HEAD OF THE FAMILY'!$B$6:$J1851,9,FALSE)</f>
        <v>#N/A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</row>
    <row r="1666">
      <c r="A1666" s="60" t="str">
        <f t="shared" si="5"/>
        <v/>
      </c>
      <c r="B1666" s="62"/>
      <c r="C1666" s="62"/>
      <c r="D1666" s="105"/>
      <c r="E1666" s="105"/>
      <c r="F1666" s="60"/>
      <c r="G1666" s="92"/>
      <c r="H1666" s="60"/>
      <c r="I1666" s="60"/>
      <c r="J1666" s="60"/>
      <c r="K1666" s="71" t="str">
        <f>VLOOKUP(E1666,'HEAD OF THE FAMILY'!$B$6:$J1851,9,FALSE)</f>
        <v>#N/A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</row>
    <row r="1667">
      <c r="A1667" s="60" t="str">
        <f t="shared" si="5"/>
        <v/>
      </c>
      <c r="B1667" s="62"/>
      <c r="C1667" s="62"/>
      <c r="D1667" s="105"/>
      <c r="E1667" s="105"/>
      <c r="F1667" s="60"/>
      <c r="G1667" s="92"/>
      <c r="H1667" s="60"/>
      <c r="I1667" s="60"/>
      <c r="J1667" s="60"/>
      <c r="K1667" s="71" t="str">
        <f>VLOOKUP(E1667,'HEAD OF THE FAMILY'!$B$6:$J1851,9,FALSE)</f>
        <v>#N/A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</row>
    <row r="1668">
      <c r="A1668" s="60" t="str">
        <f t="shared" si="5"/>
        <v/>
      </c>
      <c r="B1668" s="62"/>
      <c r="C1668" s="62"/>
      <c r="D1668" s="105"/>
      <c r="E1668" s="105"/>
      <c r="F1668" s="60"/>
      <c r="G1668" s="92"/>
      <c r="H1668" s="60"/>
      <c r="I1668" s="60"/>
      <c r="J1668" s="60"/>
      <c r="K1668" s="71" t="str">
        <f>VLOOKUP(E1668,'HEAD OF THE FAMILY'!$B$6:$J1851,9,FALSE)</f>
        <v>#N/A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</row>
    <row r="1669">
      <c r="A1669" s="60" t="str">
        <f t="shared" si="5"/>
        <v/>
      </c>
      <c r="B1669" s="62"/>
      <c r="C1669" s="62"/>
      <c r="D1669" s="105"/>
      <c r="E1669" s="105"/>
      <c r="F1669" s="60"/>
      <c r="G1669" s="92"/>
      <c r="H1669" s="60"/>
      <c r="I1669" s="60"/>
      <c r="J1669" s="60"/>
      <c r="K1669" s="71" t="str">
        <f>VLOOKUP(E1669,'HEAD OF THE FAMILY'!$B$6:$J1851,9,FALSE)</f>
        <v>#N/A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</row>
    <row r="1670">
      <c r="A1670" s="60" t="str">
        <f t="shared" si="5"/>
        <v/>
      </c>
      <c r="B1670" s="62"/>
      <c r="C1670" s="62"/>
      <c r="D1670" s="105"/>
      <c r="E1670" s="105"/>
      <c r="F1670" s="60"/>
      <c r="G1670" s="92"/>
      <c r="H1670" s="60"/>
      <c r="I1670" s="60"/>
      <c r="J1670" s="60"/>
      <c r="K1670" s="71" t="str">
        <f>VLOOKUP(E1670,'HEAD OF THE FAMILY'!$B$6:$J1851,9,FALSE)</f>
        <v>#N/A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</row>
    <row r="1671">
      <c r="A1671" s="60" t="str">
        <f t="shared" si="5"/>
        <v/>
      </c>
      <c r="B1671" s="62"/>
      <c r="C1671" s="62"/>
      <c r="D1671" s="105"/>
      <c r="E1671" s="105"/>
      <c r="F1671" s="60"/>
      <c r="G1671" s="92"/>
      <c r="H1671" s="60"/>
      <c r="I1671" s="60"/>
      <c r="J1671" s="60"/>
      <c r="K1671" s="71" t="str">
        <f>VLOOKUP(E1671,'HEAD OF THE FAMILY'!$B$6:$J1851,9,FALSE)</f>
        <v>#N/A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</row>
    <row r="1672">
      <c r="A1672" s="60" t="str">
        <f t="shared" si="5"/>
        <v/>
      </c>
      <c r="B1672" s="62"/>
      <c r="C1672" s="62"/>
      <c r="D1672" s="105"/>
      <c r="E1672" s="105"/>
      <c r="F1672" s="60"/>
      <c r="G1672" s="92"/>
      <c r="H1672" s="60"/>
      <c r="I1672" s="60"/>
      <c r="J1672" s="60"/>
      <c r="K1672" s="71" t="str">
        <f>VLOOKUP(E1672,'HEAD OF THE FAMILY'!$B$6:$J1851,9,FALSE)</f>
        <v>#N/A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</row>
    <row r="1673">
      <c r="A1673" s="60" t="str">
        <f t="shared" si="5"/>
        <v/>
      </c>
      <c r="B1673" s="62"/>
      <c r="C1673" s="62"/>
      <c r="D1673" s="105"/>
      <c r="E1673" s="105"/>
      <c r="F1673" s="60"/>
      <c r="G1673" s="92"/>
      <c r="H1673" s="60"/>
      <c r="I1673" s="60"/>
      <c r="J1673" s="60"/>
      <c r="K1673" s="71" t="str">
        <f>VLOOKUP(E1673,'HEAD OF THE FAMILY'!$B$6:$J1851,9,FALSE)</f>
        <v>#N/A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</row>
    <row r="1674">
      <c r="A1674" s="60" t="str">
        <f t="shared" si="5"/>
        <v/>
      </c>
      <c r="B1674" s="62"/>
      <c r="C1674" s="62"/>
      <c r="D1674" s="105"/>
      <c r="E1674" s="105"/>
      <c r="F1674" s="60"/>
      <c r="G1674" s="92"/>
      <c r="H1674" s="60"/>
      <c r="I1674" s="60"/>
      <c r="J1674" s="60"/>
      <c r="K1674" s="71" t="str">
        <f>VLOOKUP(E1674,'HEAD OF THE FAMILY'!$B$6:$J1851,9,FALSE)</f>
        <v>#N/A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</row>
    <row r="1675">
      <c r="A1675" s="60" t="str">
        <f t="shared" si="5"/>
        <v/>
      </c>
      <c r="B1675" s="62"/>
      <c r="C1675" s="62"/>
      <c r="D1675" s="105"/>
      <c r="E1675" s="105"/>
      <c r="F1675" s="60"/>
      <c r="G1675" s="92"/>
      <c r="H1675" s="60"/>
      <c r="I1675" s="60"/>
      <c r="J1675" s="60"/>
      <c r="K1675" s="71" t="str">
        <f>VLOOKUP(E1675,'HEAD OF THE FAMILY'!$B$6:$J1851,9,FALSE)</f>
        <v>#N/A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</row>
    <row r="1676">
      <c r="A1676" s="60" t="str">
        <f t="shared" si="5"/>
        <v/>
      </c>
      <c r="B1676" s="62"/>
      <c r="C1676" s="62"/>
      <c r="D1676" s="105"/>
      <c r="E1676" s="105"/>
      <c r="F1676" s="60"/>
      <c r="G1676" s="92"/>
      <c r="H1676" s="60"/>
      <c r="I1676" s="60"/>
      <c r="J1676" s="60"/>
      <c r="K1676" s="71" t="str">
        <f>VLOOKUP(E1676,'HEAD OF THE FAMILY'!$B$6:$J1851,9,FALSE)</f>
        <v>#N/A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</row>
    <row r="1677">
      <c r="A1677" s="60" t="str">
        <f t="shared" si="5"/>
        <v/>
      </c>
      <c r="B1677" s="62"/>
      <c r="C1677" s="62"/>
      <c r="D1677" s="105"/>
      <c r="E1677" s="105"/>
      <c r="F1677" s="60"/>
      <c r="G1677" s="92"/>
      <c r="H1677" s="60"/>
      <c r="I1677" s="60"/>
      <c r="J1677" s="60"/>
      <c r="K1677" s="71" t="str">
        <f>VLOOKUP(E1677,'HEAD OF THE FAMILY'!$B$6:$J1851,9,FALSE)</f>
        <v>#N/A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</row>
    <row r="1678">
      <c r="A1678" s="60" t="str">
        <f t="shared" si="5"/>
        <v/>
      </c>
      <c r="B1678" s="62"/>
      <c r="C1678" s="62"/>
      <c r="D1678" s="105"/>
      <c r="E1678" s="105"/>
      <c r="F1678" s="60"/>
      <c r="G1678" s="92"/>
      <c r="H1678" s="60"/>
      <c r="I1678" s="60"/>
      <c r="J1678" s="60"/>
      <c r="K1678" s="71" t="str">
        <f>VLOOKUP(E1678,'HEAD OF THE FAMILY'!$B$6:$J1851,9,FALSE)</f>
        <v>#N/A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</row>
    <row r="1679">
      <c r="A1679" s="60" t="str">
        <f t="shared" si="5"/>
        <v/>
      </c>
      <c r="B1679" s="62"/>
      <c r="C1679" s="62"/>
      <c r="D1679" s="105"/>
      <c r="E1679" s="105"/>
      <c r="F1679" s="60"/>
      <c r="G1679" s="92"/>
      <c r="H1679" s="60"/>
      <c r="I1679" s="60"/>
      <c r="J1679" s="60"/>
      <c r="K1679" s="71" t="str">
        <f>VLOOKUP(E1679,'HEAD OF THE FAMILY'!$B$6:$J1851,9,FALSE)</f>
        <v>#N/A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</row>
    <row r="1680">
      <c r="A1680" s="60" t="str">
        <f t="shared" si="5"/>
        <v/>
      </c>
      <c r="B1680" s="62"/>
      <c r="C1680" s="62"/>
      <c r="D1680" s="105"/>
      <c r="E1680" s="105"/>
      <c r="F1680" s="60"/>
      <c r="G1680" s="92"/>
      <c r="H1680" s="60"/>
      <c r="I1680" s="60"/>
      <c r="J1680" s="60"/>
      <c r="K1680" s="71" t="str">
        <f>VLOOKUP(E1680,'HEAD OF THE FAMILY'!$B$6:$J1851,9,FALSE)</f>
        <v>#N/A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</row>
    <row r="1681">
      <c r="A1681" s="60" t="str">
        <f t="shared" si="5"/>
        <v/>
      </c>
      <c r="B1681" s="62"/>
      <c r="C1681" s="62"/>
      <c r="D1681" s="105"/>
      <c r="E1681" s="105"/>
      <c r="F1681" s="60"/>
      <c r="G1681" s="92"/>
      <c r="H1681" s="60"/>
      <c r="I1681" s="60"/>
      <c r="J1681" s="60"/>
      <c r="K1681" s="71" t="str">
        <f>VLOOKUP(E1681,'HEAD OF THE FAMILY'!$B$6:$J1851,9,FALSE)</f>
        <v>#N/A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</row>
    <row r="1682">
      <c r="A1682" s="60" t="str">
        <f t="shared" si="5"/>
        <v/>
      </c>
      <c r="B1682" s="62"/>
      <c r="C1682" s="62"/>
      <c r="D1682" s="105"/>
      <c r="E1682" s="105"/>
      <c r="F1682" s="60"/>
      <c r="G1682" s="92"/>
      <c r="H1682" s="60"/>
      <c r="I1682" s="60"/>
      <c r="J1682" s="60"/>
      <c r="K1682" s="71" t="str">
        <f>VLOOKUP(E1682,'HEAD OF THE FAMILY'!$B$6:$J1851,9,FALSE)</f>
        <v>#N/A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</row>
    <row r="1683">
      <c r="A1683" s="60" t="str">
        <f t="shared" si="5"/>
        <v/>
      </c>
      <c r="B1683" s="62"/>
      <c r="C1683" s="62"/>
      <c r="D1683" s="105"/>
      <c r="E1683" s="105"/>
      <c r="F1683" s="60"/>
      <c r="G1683" s="92"/>
      <c r="H1683" s="60"/>
      <c r="I1683" s="60"/>
      <c r="J1683" s="60"/>
      <c r="K1683" s="71" t="str">
        <f>VLOOKUP(E1683,'HEAD OF THE FAMILY'!$B$6:$J1851,9,FALSE)</f>
        <v>#N/A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</row>
    <row r="1684">
      <c r="A1684" s="60" t="str">
        <f t="shared" si="5"/>
        <v/>
      </c>
      <c r="B1684" s="62"/>
      <c r="C1684" s="62"/>
      <c r="D1684" s="105"/>
      <c r="E1684" s="105"/>
      <c r="F1684" s="60"/>
      <c r="G1684" s="92"/>
      <c r="H1684" s="60"/>
      <c r="I1684" s="60"/>
      <c r="J1684" s="60"/>
      <c r="K1684" s="71" t="str">
        <f>VLOOKUP(E1684,'HEAD OF THE FAMILY'!$B$6:$J1851,9,FALSE)</f>
        <v>#N/A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</row>
    <row r="1685">
      <c r="A1685" s="60" t="str">
        <f t="shared" si="5"/>
        <v/>
      </c>
      <c r="B1685" s="62"/>
      <c r="C1685" s="62"/>
      <c r="D1685" s="105"/>
      <c r="E1685" s="105"/>
      <c r="F1685" s="60"/>
      <c r="G1685" s="92"/>
      <c r="H1685" s="60"/>
      <c r="I1685" s="60"/>
      <c r="J1685" s="60"/>
      <c r="K1685" s="71" t="str">
        <f>VLOOKUP(E1685,'HEAD OF THE FAMILY'!$B$6:$J1851,9,FALSE)</f>
        <v>#N/A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</row>
    <row r="1686">
      <c r="A1686" s="60" t="str">
        <f t="shared" si="5"/>
        <v/>
      </c>
      <c r="B1686" s="62"/>
      <c r="C1686" s="62"/>
      <c r="D1686" s="105"/>
      <c r="E1686" s="105"/>
      <c r="F1686" s="60"/>
      <c r="G1686" s="92"/>
      <c r="H1686" s="60"/>
      <c r="I1686" s="60"/>
      <c r="J1686" s="60"/>
      <c r="K1686" s="71" t="str">
        <f>VLOOKUP(E1686,'HEAD OF THE FAMILY'!$B$6:$J1851,9,FALSE)</f>
        <v>#N/A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</row>
    <row r="1687">
      <c r="A1687" s="60" t="str">
        <f t="shared" si="5"/>
        <v/>
      </c>
      <c r="B1687" s="62"/>
      <c r="C1687" s="62"/>
      <c r="D1687" s="105"/>
      <c r="E1687" s="105"/>
      <c r="F1687" s="60"/>
      <c r="G1687" s="92"/>
      <c r="H1687" s="60"/>
      <c r="I1687" s="60"/>
      <c r="J1687" s="60"/>
      <c r="K1687" s="71" t="str">
        <f>VLOOKUP(E1687,'HEAD OF THE FAMILY'!$B$6:$J1851,9,FALSE)</f>
        <v>#N/A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</row>
    <row r="1688">
      <c r="A1688" s="60" t="str">
        <f t="shared" si="5"/>
        <v/>
      </c>
      <c r="B1688" s="62"/>
      <c r="C1688" s="62"/>
      <c r="D1688" s="105"/>
      <c r="E1688" s="105"/>
      <c r="F1688" s="60"/>
      <c r="G1688" s="92"/>
      <c r="H1688" s="60"/>
      <c r="I1688" s="60"/>
      <c r="J1688" s="60"/>
      <c r="K1688" s="71" t="str">
        <f>VLOOKUP(E1688,'HEAD OF THE FAMILY'!$B$6:$J1851,9,FALSE)</f>
        <v>#N/A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</row>
    <row r="1689">
      <c r="A1689" s="60" t="str">
        <f t="shared" si="5"/>
        <v/>
      </c>
      <c r="B1689" s="62"/>
      <c r="C1689" s="62"/>
      <c r="D1689" s="105"/>
      <c r="E1689" s="105"/>
      <c r="F1689" s="60"/>
      <c r="G1689" s="92"/>
      <c r="H1689" s="60"/>
      <c r="I1689" s="60"/>
      <c r="J1689" s="60"/>
      <c r="K1689" s="71" t="str">
        <f>VLOOKUP(E1689,'HEAD OF THE FAMILY'!$B$6:$J1851,9,FALSE)</f>
        <v>#N/A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</row>
    <row r="1690">
      <c r="A1690" s="60" t="str">
        <f t="shared" si="5"/>
        <v/>
      </c>
      <c r="B1690" s="62"/>
      <c r="C1690" s="62"/>
      <c r="D1690" s="105"/>
      <c r="E1690" s="105"/>
      <c r="F1690" s="60"/>
      <c r="G1690" s="92"/>
      <c r="H1690" s="60"/>
      <c r="I1690" s="60"/>
      <c r="J1690" s="60"/>
      <c r="K1690" s="71" t="str">
        <f>VLOOKUP(E1690,'HEAD OF THE FAMILY'!$B$6:$J1851,9,FALSE)</f>
        <v>#N/A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</row>
    <row r="1691">
      <c r="A1691" s="60" t="str">
        <f t="shared" si="5"/>
        <v/>
      </c>
      <c r="B1691" s="62"/>
      <c r="C1691" s="62"/>
      <c r="D1691" s="105"/>
      <c r="E1691" s="105"/>
      <c r="F1691" s="60"/>
      <c r="G1691" s="92"/>
      <c r="H1691" s="60"/>
      <c r="I1691" s="60"/>
      <c r="J1691" s="60"/>
      <c r="K1691" s="71" t="str">
        <f>VLOOKUP(E1691,'HEAD OF THE FAMILY'!$B$6:$J1851,9,FALSE)</f>
        <v>#N/A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</row>
    <row r="1692">
      <c r="A1692" s="60" t="str">
        <f t="shared" si="5"/>
        <v/>
      </c>
      <c r="B1692" s="62"/>
      <c r="C1692" s="62"/>
      <c r="D1692" s="105"/>
      <c r="E1692" s="105"/>
      <c r="F1692" s="60"/>
      <c r="G1692" s="92"/>
      <c r="H1692" s="60"/>
      <c r="I1692" s="60"/>
      <c r="J1692" s="60"/>
      <c r="K1692" s="71" t="str">
        <f>VLOOKUP(E1692,'HEAD OF THE FAMILY'!$B$6:$J1851,9,FALSE)</f>
        <v>#N/A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</row>
    <row r="1693">
      <c r="A1693" s="60" t="str">
        <f t="shared" si="5"/>
        <v/>
      </c>
      <c r="B1693" s="62"/>
      <c r="C1693" s="62"/>
      <c r="D1693" s="105"/>
      <c r="E1693" s="105"/>
      <c r="F1693" s="60"/>
      <c r="G1693" s="92"/>
      <c r="H1693" s="60"/>
      <c r="I1693" s="60"/>
      <c r="J1693" s="60"/>
      <c r="K1693" s="71" t="str">
        <f>VLOOKUP(E1693,'HEAD OF THE FAMILY'!$B$6:$J1851,9,FALSE)</f>
        <v>#N/A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</row>
    <row r="1694">
      <c r="A1694" s="60" t="str">
        <f t="shared" si="5"/>
        <v/>
      </c>
      <c r="B1694" s="62"/>
      <c r="C1694" s="62"/>
      <c r="D1694" s="105"/>
      <c r="E1694" s="105"/>
      <c r="F1694" s="60"/>
      <c r="G1694" s="92"/>
      <c r="H1694" s="60"/>
      <c r="I1694" s="60"/>
      <c r="J1694" s="60"/>
      <c r="K1694" s="71" t="str">
        <f>VLOOKUP(E1694,'HEAD OF THE FAMILY'!$B$6:$J1851,9,FALSE)</f>
        <v>#N/A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</row>
    <row r="1695">
      <c r="A1695" s="60" t="str">
        <f t="shared" si="5"/>
        <v/>
      </c>
      <c r="B1695" s="62"/>
      <c r="C1695" s="62"/>
      <c r="D1695" s="105"/>
      <c r="E1695" s="105"/>
      <c r="F1695" s="60"/>
      <c r="G1695" s="92"/>
      <c r="H1695" s="60"/>
      <c r="I1695" s="60"/>
      <c r="J1695" s="60"/>
      <c r="K1695" s="71" t="str">
        <f>VLOOKUP(E1695,'HEAD OF THE FAMILY'!$B$6:$J1851,9,FALSE)</f>
        <v>#N/A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</row>
    <row r="1696">
      <c r="A1696" s="60" t="str">
        <f t="shared" si="5"/>
        <v/>
      </c>
      <c r="B1696" s="62"/>
      <c r="C1696" s="62"/>
      <c r="D1696" s="105"/>
      <c r="E1696" s="105"/>
      <c r="F1696" s="60"/>
      <c r="G1696" s="92"/>
      <c r="H1696" s="60"/>
      <c r="I1696" s="60"/>
      <c r="J1696" s="60"/>
      <c r="K1696" s="71" t="str">
        <f>VLOOKUP(E1696,'HEAD OF THE FAMILY'!$B$6:$J1851,9,FALSE)</f>
        <v>#N/A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</row>
    <row r="1697">
      <c r="A1697" s="60" t="str">
        <f t="shared" si="5"/>
        <v/>
      </c>
      <c r="B1697" s="62"/>
      <c r="C1697" s="62"/>
      <c r="D1697" s="105"/>
      <c r="E1697" s="105"/>
      <c r="F1697" s="60"/>
      <c r="G1697" s="92"/>
      <c r="H1697" s="60"/>
      <c r="I1697" s="60"/>
      <c r="J1697" s="60"/>
      <c r="K1697" s="71" t="str">
        <f>VLOOKUP(E1697,'HEAD OF THE FAMILY'!$B$6:$J1851,9,FALSE)</f>
        <v>#N/A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</row>
    <row r="1698">
      <c r="A1698" s="60" t="str">
        <f t="shared" si="5"/>
        <v/>
      </c>
      <c r="B1698" s="62"/>
      <c r="C1698" s="62"/>
      <c r="D1698" s="105"/>
      <c r="E1698" s="105"/>
      <c r="F1698" s="60"/>
      <c r="G1698" s="92"/>
      <c r="H1698" s="60"/>
      <c r="I1698" s="60"/>
      <c r="J1698" s="60"/>
      <c r="K1698" s="71" t="str">
        <f>VLOOKUP(E1698,'HEAD OF THE FAMILY'!$B$6:$J1851,9,FALSE)</f>
        <v>#N/A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</row>
    <row r="1699">
      <c r="A1699" s="60" t="str">
        <f t="shared" si="5"/>
        <v/>
      </c>
      <c r="B1699" s="62"/>
      <c r="C1699" s="62"/>
      <c r="D1699" s="105"/>
      <c r="E1699" s="105"/>
      <c r="F1699" s="60"/>
      <c r="G1699" s="92"/>
      <c r="H1699" s="60"/>
      <c r="I1699" s="60"/>
      <c r="J1699" s="60"/>
      <c r="K1699" s="71" t="str">
        <f>VLOOKUP(E1699,'HEAD OF THE FAMILY'!$B$6:$J1851,9,FALSE)</f>
        <v>#N/A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</row>
    <row r="1700">
      <c r="A1700" s="60" t="str">
        <f t="shared" si="5"/>
        <v/>
      </c>
      <c r="B1700" s="62"/>
      <c r="C1700" s="62"/>
      <c r="D1700" s="105"/>
      <c r="E1700" s="105"/>
      <c r="F1700" s="60"/>
      <c r="G1700" s="92"/>
      <c r="H1700" s="60"/>
      <c r="I1700" s="60"/>
      <c r="J1700" s="60"/>
      <c r="K1700" s="71" t="str">
        <f>VLOOKUP(E1700,'HEAD OF THE FAMILY'!$B$6:$J1851,9,FALSE)</f>
        <v>#N/A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</row>
    <row r="1701">
      <c r="A1701" s="60" t="str">
        <f t="shared" si="5"/>
        <v/>
      </c>
      <c r="B1701" s="62"/>
      <c r="C1701" s="62"/>
      <c r="D1701" s="105"/>
      <c r="E1701" s="105"/>
      <c r="F1701" s="60"/>
      <c r="G1701" s="92"/>
      <c r="H1701" s="60"/>
      <c r="I1701" s="60"/>
      <c r="J1701" s="60"/>
      <c r="K1701" s="71" t="str">
        <f>VLOOKUP(E1701,'HEAD OF THE FAMILY'!$B$6:$J1851,9,FALSE)</f>
        <v>#N/A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</row>
    <row r="1702">
      <c r="A1702" s="60" t="str">
        <f t="shared" si="5"/>
        <v/>
      </c>
      <c r="B1702" s="62"/>
      <c r="C1702" s="62"/>
      <c r="D1702" s="105"/>
      <c r="E1702" s="105"/>
      <c r="F1702" s="60"/>
      <c r="G1702" s="92"/>
      <c r="H1702" s="60"/>
      <c r="I1702" s="60"/>
      <c r="J1702" s="60"/>
      <c r="K1702" s="71" t="str">
        <f>VLOOKUP(E1702,'HEAD OF THE FAMILY'!$B$6:$J1851,9,FALSE)</f>
        <v>#N/A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</row>
    <row r="1703">
      <c r="A1703" s="60" t="str">
        <f t="shared" si="5"/>
        <v/>
      </c>
      <c r="B1703" s="62"/>
      <c r="C1703" s="62"/>
      <c r="D1703" s="105"/>
      <c r="E1703" s="105"/>
      <c r="F1703" s="60"/>
      <c r="G1703" s="92"/>
      <c r="H1703" s="60"/>
      <c r="I1703" s="60"/>
      <c r="J1703" s="60"/>
      <c r="K1703" s="71" t="str">
        <f>VLOOKUP(E1703,'HEAD OF THE FAMILY'!$B$6:$J1851,9,FALSE)</f>
        <v>#N/A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</row>
    <row r="1704">
      <c r="A1704" s="60" t="str">
        <f t="shared" si="5"/>
        <v/>
      </c>
      <c r="B1704" s="62"/>
      <c r="C1704" s="62"/>
      <c r="D1704" s="105"/>
      <c r="E1704" s="105"/>
      <c r="F1704" s="60"/>
      <c r="G1704" s="92"/>
      <c r="H1704" s="60"/>
      <c r="I1704" s="60"/>
      <c r="J1704" s="60"/>
      <c r="K1704" s="71" t="str">
        <f>VLOOKUP(E1704,'HEAD OF THE FAMILY'!$B$6:$J1851,9,FALSE)</f>
        <v>#N/A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</row>
    <row r="1705">
      <c r="A1705" s="60" t="str">
        <f t="shared" si="5"/>
        <v/>
      </c>
      <c r="B1705" s="62"/>
      <c r="C1705" s="62"/>
      <c r="D1705" s="105"/>
      <c r="E1705" s="105"/>
      <c r="F1705" s="60"/>
      <c r="G1705" s="92"/>
      <c r="H1705" s="60"/>
      <c r="I1705" s="60"/>
      <c r="J1705" s="60"/>
      <c r="K1705" s="71" t="str">
        <f>VLOOKUP(E1705,'HEAD OF THE FAMILY'!$B$6:$J1851,9,FALSE)</f>
        <v>#N/A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</row>
    <row r="1706">
      <c r="A1706" s="60" t="str">
        <f t="shared" si="5"/>
        <v/>
      </c>
      <c r="B1706" s="62"/>
      <c r="C1706" s="62"/>
      <c r="D1706" s="105"/>
      <c r="E1706" s="105"/>
      <c r="F1706" s="60"/>
      <c r="G1706" s="92"/>
      <c r="H1706" s="60"/>
      <c r="I1706" s="60"/>
      <c r="J1706" s="60"/>
      <c r="K1706" s="71" t="str">
        <f>VLOOKUP(E1706,'HEAD OF THE FAMILY'!$B$6:$J1851,9,FALSE)</f>
        <v>#N/A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</row>
    <row r="1707">
      <c r="A1707" s="60" t="str">
        <f t="shared" si="5"/>
        <v/>
      </c>
      <c r="B1707" s="62"/>
      <c r="C1707" s="62"/>
      <c r="D1707" s="105"/>
      <c r="E1707" s="105"/>
      <c r="F1707" s="60"/>
      <c r="G1707" s="92"/>
      <c r="H1707" s="60"/>
      <c r="I1707" s="60"/>
      <c r="J1707" s="60"/>
      <c r="K1707" s="71" t="str">
        <f>VLOOKUP(E1707,'HEAD OF THE FAMILY'!$B$6:$J1851,9,FALSE)</f>
        <v>#N/A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</row>
    <row r="1708">
      <c r="A1708" s="60" t="str">
        <f t="shared" si="5"/>
        <v/>
      </c>
      <c r="B1708" s="62"/>
      <c r="C1708" s="62"/>
      <c r="D1708" s="105"/>
      <c r="E1708" s="105"/>
      <c r="F1708" s="60"/>
      <c r="G1708" s="92"/>
      <c r="H1708" s="60"/>
      <c r="I1708" s="60"/>
      <c r="J1708" s="60"/>
      <c r="K1708" s="71" t="str">
        <f>VLOOKUP(E1708,'HEAD OF THE FAMILY'!$B$6:$J1851,9,FALSE)</f>
        <v>#N/A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</row>
    <row r="1709">
      <c r="A1709" s="60" t="str">
        <f t="shared" si="5"/>
        <v/>
      </c>
      <c r="B1709" s="62"/>
      <c r="C1709" s="62"/>
      <c r="D1709" s="105"/>
      <c r="E1709" s="105"/>
      <c r="F1709" s="60"/>
      <c r="G1709" s="92"/>
      <c r="H1709" s="60"/>
      <c r="I1709" s="60"/>
      <c r="J1709" s="60"/>
      <c r="K1709" s="71" t="str">
        <f>VLOOKUP(E1709,'HEAD OF THE FAMILY'!$B$6:$J1851,9,FALSE)</f>
        <v>#N/A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</row>
    <row r="1710">
      <c r="A1710" s="60" t="str">
        <f t="shared" si="5"/>
        <v/>
      </c>
      <c r="B1710" s="62"/>
      <c r="C1710" s="62"/>
      <c r="D1710" s="105"/>
      <c r="E1710" s="105"/>
      <c r="F1710" s="60"/>
      <c r="G1710" s="92"/>
      <c r="H1710" s="60"/>
      <c r="I1710" s="60"/>
      <c r="J1710" s="60"/>
      <c r="K1710" s="71" t="str">
        <f>VLOOKUP(E1710,'HEAD OF THE FAMILY'!$B$6:$J1851,9,FALSE)</f>
        <v>#N/A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</row>
    <row r="1711">
      <c r="A1711" s="60" t="str">
        <f t="shared" si="5"/>
        <v/>
      </c>
      <c r="B1711" s="62"/>
      <c r="C1711" s="62"/>
      <c r="D1711" s="105"/>
      <c r="E1711" s="105"/>
      <c r="F1711" s="60"/>
      <c r="G1711" s="92"/>
      <c r="H1711" s="60"/>
      <c r="I1711" s="60"/>
      <c r="J1711" s="60"/>
      <c r="K1711" s="71" t="str">
        <f>VLOOKUP(E1711,'HEAD OF THE FAMILY'!$B$6:$J1851,9,FALSE)</f>
        <v>#N/A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</row>
    <row r="1712">
      <c r="A1712" s="60" t="str">
        <f t="shared" si="5"/>
        <v/>
      </c>
      <c r="B1712" s="62"/>
      <c r="C1712" s="62"/>
      <c r="D1712" s="105"/>
      <c r="E1712" s="105"/>
      <c r="F1712" s="60"/>
      <c r="G1712" s="92"/>
      <c r="H1712" s="60"/>
      <c r="I1712" s="60"/>
      <c r="J1712" s="60"/>
      <c r="K1712" s="71" t="str">
        <f>VLOOKUP(E1712,'HEAD OF THE FAMILY'!$B$6:$J1851,9,FALSE)</f>
        <v>#N/A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</row>
    <row r="1713">
      <c r="A1713" s="60" t="str">
        <f t="shared" si="5"/>
        <v/>
      </c>
      <c r="B1713" s="62"/>
      <c r="C1713" s="62"/>
      <c r="D1713" s="105"/>
      <c r="E1713" s="105"/>
      <c r="F1713" s="60"/>
      <c r="G1713" s="92"/>
      <c r="H1713" s="60"/>
      <c r="I1713" s="60"/>
      <c r="J1713" s="60"/>
      <c r="K1713" s="71" t="str">
        <f>VLOOKUP(E1713,'HEAD OF THE FAMILY'!$B$6:$J1851,9,FALSE)</f>
        <v>#N/A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</row>
    <row r="1714">
      <c r="A1714" s="60" t="str">
        <f t="shared" si="5"/>
        <v/>
      </c>
      <c r="B1714" s="62"/>
      <c r="C1714" s="62"/>
      <c r="D1714" s="105"/>
      <c r="E1714" s="105"/>
      <c r="F1714" s="60"/>
      <c r="G1714" s="92"/>
      <c r="H1714" s="60"/>
      <c r="I1714" s="60"/>
      <c r="J1714" s="60"/>
      <c r="K1714" s="71" t="str">
        <f>VLOOKUP(E1714,'HEAD OF THE FAMILY'!$B$6:$J1851,9,FALSE)</f>
        <v>#N/A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</row>
    <row r="1715">
      <c r="A1715" s="60" t="str">
        <f t="shared" si="5"/>
        <v/>
      </c>
      <c r="B1715" s="62"/>
      <c r="C1715" s="62"/>
      <c r="D1715" s="105"/>
      <c r="E1715" s="105"/>
      <c r="F1715" s="60"/>
      <c r="G1715" s="92"/>
      <c r="H1715" s="60"/>
      <c r="I1715" s="60"/>
      <c r="J1715" s="60"/>
      <c r="K1715" s="71" t="str">
        <f>VLOOKUP(E1715,'HEAD OF THE FAMILY'!$B$6:$J1851,9,FALSE)</f>
        <v>#N/A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</row>
    <row r="1716">
      <c r="A1716" s="60" t="str">
        <f t="shared" si="5"/>
        <v/>
      </c>
      <c r="B1716" s="62"/>
      <c r="C1716" s="62"/>
      <c r="D1716" s="105"/>
      <c r="E1716" s="105"/>
      <c r="F1716" s="60"/>
      <c r="G1716" s="92"/>
      <c r="H1716" s="60"/>
      <c r="I1716" s="60"/>
      <c r="J1716" s="60"/>
      <c r="K1716" s="71" t="str">
        <f>VLOOKUP(E1716,'HEAD OF THE FAMILY'!$B$6:$J1851,9,FALSE)</f>
        <v>#N/A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</row>
    <row r="1717">
      <c r="A1717" s="60" t="str">
        <f t="shared" si="5"/>
        <v/>
      </c>
      <c r="B1717" s="62"/>
      <c r="C1717" s="62"/>
      <c r="D1717" s="105"/>
      <c r="E1717" s="105"/>
      <c r="F1717" s="60"/>
      <c r="G1717" s="92"/>
      <c r="H1717" s="60"/>
      <c r="I1717" s="60"/>
      <c r="J1717" s="60"/>
      <c r="K1717" s="71" t="str">
        <f>VLOOKUP(E1717,'HEAD OF THE FAMILY'!$B$6:$J1851,9,FALSE)</f>
        <v>#N/A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</row>
    <row r="1718">
      <c r="A1718" s="60" t="str">
        <f t="shared" si="5"/>
        <v/>
      </c>
      <c r="B1718" s="62"/>
      <c r="C1718" s="62"/>
      <c r="D1718" s="105"/>
      <c r="E1718" s="105"/>
      <c r="F1718" s="60"/>
      <c r="G1718" s="92"/>
      <c r="H1718" s="60"/>
      <c r="I1718" s="60"/>
      <c r="J1718" s="60"/>
      <c r="K1718" s="71" t="str">
        <f>VLOOKUP(E1718,'HEAD OF THE FAMILY'!$B$6:$J1851,9,FALSE)</f>
        <v>#N/A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</row>
    <row r="1719">
      <c r="A1719" s="60" t="str">
        <f t="shared" si="5"/>
        <v/>
      </c>
      <c r="B1719" s="62"/>
      <c r="C1719" s="62"/>
      <c r="D1719" s="105"/>
      <c r="E1719" s="105"/>
      <c r="F1719" s="60"/>
      <c r="G1719" s="92"/>
      <c r="H1719" s="60"/>
      <c r="I1719" s="60"/>
      <c r="J1719" s="60"/>
      <c r="K1719" s="71" t="str">
        <f>VLOOKUP(E1719,'HEAD OF THE FAMILY'!$B$6:$J1851,9,FALSE)</f>
        <v>#N/A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</row>
    <row r="1720">
      <c r="A1720" s="60" t="str">
        <f t="shared" si="5"/>
        <v/>
      </c>
      <c r="B1720" s="62"/>
      <c r="C1720" s="62"/>
      <c r="D1720" s="105"/>
      <c r="E1720" s="105"/>
      <c r="F1720" s="60"/>
      <c r="G1720" s="92"/>
      <c r="H1720" s="60"/>
      <c r="I1720" s="60"/>
      <c r="J1720" s="60"/>
      <c r="K1720" s="71" t="str">
        <f>VLOOKUP(E1720,'HEAD OF THE FAMILY'!$B$6:$J1851,9,FALSE)</f>
        <v>#N/A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</row>
    <row r="1721">
      <c r="A1721" s="60" t="str">
        <f t="shared" si="5"/>
        <v/>
      </c>
      <c r="B1721" s="62"/>
      <c r="C1721" s="62"/>
      <c r="D1721" s="105"/>
      <c r="E1721" s="105"/>
      <c r="F1721" s="60"/>
      <c r="G1721" s="92"/>
      <c r="H1721" s="60"/>
      <c r="I1721" s="60"/>
      <c r="J1721" s="60"/>
      <c r="K1721" s="71" t="str">
        <f>VLOOKUP(E1721,'HEAD OF THE FAMILY'!$B$6:$J1851,9,FALSE)</f>
        <v>#N/A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</row>
    <row r="1722">
      <c r="A1722" s="60" t="str">
        <f t="shared" si="5"/>
        <v/>
      </c>
      <c r="B1722" s="62"/>
      <c r="C1722" s="62"/>
      <c r="D1722" s="105"/>
      <c r="E1722" s="105"/>
      <c r="F1722" s="60"/>
      <c r="G1722" s="92"/>
      <c r="H1722" s="60"/>
      <c r="I1722" s="60"/>
      <c r="J1722" s="60"/>
      <c r="K1722" s="71" t="str">
        <f>VLOOKUP(E1722,'HEAD OF THE FAMILY'!$B$6:$J1851,9,FALSE)</f>
        <v>#N/A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</row>
    <row r="1723">
      <c r="A1723" s="60" t="str">
        <f t="shared" si="5"/>
        <v/>
      </c>
      <c r="B1723" s="62"/>
      <c r="C1723" s="62"/>
      <c r="D1723" s="105"/>
      <c r="E1723" s="105"/>
      <c r="F1723" s="60"/>
      <c r="G1723" s="92"/>
      <c r="H1723" s="60"/>
      <c r="I1723" s="60"/>
      <c r="J1723" s="60"/>
      <c r="K1723" s="71" t="str">
        <f>VLOOKUP(E1723,'HEAD OF THE FAMILY'!$B$6:$J1851,9,FALSE)</f>
        <v>#N/A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</row>
    <row r="1724">
      <c r="A1724" s="60" t="str">
        <f t="shared" si="5"/>
        <v/>
      </c>
      <c r="B1724" s="62"/>
      <c r="C1724" s="62"/>
      <c r="D1724" s="105"/>
      <c r="E1724" s="105"/>
      <c r="F1724" s="60"/>
      <c r="G1724" s="92"/>
      <c r="H1724" s="60"/>
      <c r="I1724" s="60"/>
      <c r="J1724" s="60"/>
      <c r="K1724" s="71" t="str">
        <f>VLOOKUP(E1724,'HEAD OF THE FAMILY'!$B$6:$J1851,9,FALSE)</f>
        <v>#N/A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</row>
    <row r="1725">
      <c r="A1725" s="60" t="str">
        <f t="shared" si="5"/>
        <v/>
      </c>
      <c r="B1725" s="62"/>
      <c r="C1725" s="62"/>
      <c r="D1725" s="105"/>
      <c r="E1725" s="105"/>
      <c r="F1725" s="60"/>
      <c r="G1725" s="92"/>
      <c r="H1725" s="60"/>
      <c r="I1725" s="60"/>
      <c r="J1725" s="60"/>
      <c r="K1725" s="71" t="str">
        <f>VLOOKUP(E1725,'HEAD OF THE FAMILY'!$B$6:$J1851,9,FALSE)</f>
        <v>#N/A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</row>
    <row r="1726">
      <c r="A1726" s="60" t="str">
        <f t="shared" si="5"/>
        <v/>
      </c>
      <c r="B1726" s="62"/>
      <c r="C1726" s="62"/>
      <c r="D1726" s="105"/>
      <c r="E1726" s="105"/>
      <c r="F1726" s="60"/>
      <c r="G1726" s="92"/>
      <c r="H1726" s="60"/>
      <c r="I1726" s="60"/>
      <c r="J1726" s="60"/>
      <c r="K1726" s="71" t="str">
        <f>VLOOKUP(E1726,'HEAD OF THE FAMILY'!$B$6:$J1851,9,FALSE)</f>
        <v>#N/A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</row>
    <row r="1727">
      <c r="A1727" s="60" t="str">
        <f t="shared" si="5"/>
        <v/>
      </c>
      <c r="B1727" s="62"/>
      <c r="C1727" s="62"/>
      <c r="D1727" s="105"/>
      <c r="E1727" s="105"/>
      <c r="F1727" s="60"/>
      <c r="G1727" s="92"/>
      <c r="H1727" s="60"/>
      <c r="I1727" s="60"/>
      <c r="J1727" s="60"/>
      <c r="K1727" s="71" t="str">
        <f>VLOOKUP(E1727,'HEAD OF THE FAMILY'!$B$6:$J1851,9,FALSE)</f>
        <v>#N/A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</row>
    <row r="1728">
      <c r="A1728" s="60" t="str">
        <f t="shared" si="5"/>
        <v/>
      </c>
      <c r="B1728" s="62"/>
      <c r="C1728" s="62"/>
      <c r="D1728" s="105"/>
      <c r="E1728" s="105"/>
      <c r="F1728" s="60"/>
      <c r="G1728" s="92"/>
      <c r="H1728" s="60"/>
      <c r="I1728" s="60"/>
      <c r="J1728" s="60"/>
      <c r="K1728" s="71" t="str">
        <f>VLOOKUP(E1728,'HEAD OF THE FAMILY'!$B$6:$J1851,9,FALSE)</f>
        <v>#N/A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</row>
    <row r="1729">
      <c r="A1729" s="60" t="str">
        <f t="shared" si="5"/>
        <v/>
      </c>
      <c r="B1729" s="62"/>
      <c r="C1729" s="62"/>
      <c r="D1729" s="105"/>
      <c r="E1729" s="105"/>
      <c r="F1729" s="60"/>
      <c r="G1729" s="92"/>
      <c r="H1729" s="60"/>
      <c r="I1729" s="60"/>
      <c r="J1729" s="60"/>
      <c r="K1729" s="71" t="str">
        <f>VLOOKUP(E1729,'HEAD OF THE FAMILY'!$B$6:$J1851,9,FALSE)</f>
        <v>#N/A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</row>
    <row r="1730">
      <c r="A1730" s="60" t="str">
        <f t="shared" si="5"/>
        <v/>
      </c>
      <c r="B1730" s="62"/>
      <c r="C1730" s="62"/>
      <c r="D1730" s="105"/>
      <c r="E1730" s="105"/>
      <c r="F1730" s="60"/>
      <c r="G1730" s="92"/>
      <c r="H1730" s="60"/>
      <c r="I1730" s="60"/>
      <c r="J1730" s="60"/>
      <c r="K1730" s="71" t="str">
        <f>VLOOKUP(E1730,'HEAD OF THE FAMILY'!$B$6:$J1851,9,FALSE)</f>
        <v>#N/A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</row>
    <row r="1731">
      <c r="A1731" s="60" t="str">
        <f t="shared" si="5"/>
        <v/>
      </c>
      <c r="B1731" s="62"/>
      <c r="C1731" s="62"/>
      <c r="D1731" s="105"/>
      <c r="E1731" s="105"/>
      <c r="F1731" s="60"/>
      <c r="G1731" s="92"/>
      <c r="H1731" s="60"/>
      <c r="I1731" s="60"/>
      <c r="J1731" s="60"/>
      <c r="K1731" s="71" t="str">
        <f>VLOOKUP(E1731,'HEAD OF THE FAMILY'!$B$6:$J1851,9,FALSE)</f>
        <v>#N/A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</row>
    <row r="1732">
      <c r="A1732" s="60" t="str">
        <f t="shared" si="5"/>
        <v/>
      </c>
      <c r="B1732" s="62"/>
      <c r="C1732" s="62"/>
      <c r="D1732" s="105"/>
      <c r="E1732" s="105"/>
      <c r="F1732" s="60"/>
      <c r="G1732" s="92"/>
      <c r="H1732" s="60"/>
      <c r="I1732" s="60"/>
      <c r="J1732" s="60"/>
      <c r="K1732" s="71" t="str">
        <f>VLOOKUP(E1732,'HEAD OF THE FAMILY'!$B$6:$J1851,9,FALSE)</f>
        <v>#N/A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</row>
    <row r="1733">
      <c r="A1733" s="60" t="str">
        <f t="shared" si="5"/>
        <v/>
      </c>
      <c r="B1733" s="62"/>
      <c r="C1733" s="62"/>
      <c r="D1733" s="105"/>
      <c r="E1733" s="105"/>
      <c r="F1733" s="60"/>
      <c r="G1733" s="92"/>
      <c r="H1733" s="60"/>
      <c r="I1733" s="60"/>
      <c r="J1733" s="60"/>
      <c r="K1733" s="71" t="str">
        <f>VLOOKUP(E1733,'HEAD OF THE FAMILY'!$B$6:$J1851,9,FALSE)</f>
        <v>#N/A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</row>
    <row r="1734">
      <c r="A1734" s="60" t="str">
        <f t="shared" si="5"/>
        <v/>
      </c>
      <c r="B1734" s="62"/>
      <c r="C1734" s="62"/>
      <c r="D1734" s="105"/>
      <c r="E1734" s="105"/>
      <c r="F1734" s="60"/>
      <c r="G1734" s="92"/>
      <c r="H1734" s="60"/>
      <c r="I1734" s="60"/>
      <c r="J1734" s="60"/>
      <c r="K1734" s="71" t="str">
        <f>VLOOKUP(E1734,'HEAD OF THE FAMILY'!$B$6:$J1851,9,FALSE)</f>
        <v>#N/A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</row>
    <row r="1735">
      <c r="A1735" s="60" t="str">
        <f t="shared" si="5"/>
        <v/>
      </c>
      <c r="B1735" s="62"/>
      <c r="C1735" s="62"/>
      <c r="D1735" s="105"/>
      <c r="E1735" s="105"/>
      <c r="F1735" s="60"/>
      <c r="G1735" s="92"/>
      <c r="H1735" s="60"/>
      <c r="I1735" s="60"/>
      <c r="J1735" s="60"/>
      <c r="K1735" s="71" t="str">
        <f>VLOOKUP(E1735,'HEAD OF THE FAMILY'!$B$6:$J1851,9,FALSE)</f>
        <v>#N/A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</row>
    <row r="1736">
      <c r="A1736" s="60" t="str">
        <f t="shared" si="5"/>
        <v/>
      </c>
      <c r="B1736" s="62"/>
      <c r="C1736" s="62"/>
      <c r="D1736" s="105"/>
      <c r="E1736" s="105"/>
      <c r="F1736" s="60"/>
      <c r="G1736" s="92"/>
      <c r="H1736" s="60"/>
      <c r="I1736" s="60"/>
      <c r="J1736" s="60"/>
      <c r="K1736" s="71" t="str">
        <f>VLOOKUP(E1736,'HEAD OF THE FAMILY'!$B$6:$J1851,9,FALSE)</f>
        <v>#N/A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</row>
    <row r="1737">
      <c r="A1737" s="60" t="str">
        <f t="shared" si="5"/>
        <v/>
      </c>
      <c r="B1737" s="62"/>
      <c r="C1737" s="62"/>
      <c r="D1737" s="105"/>
      <c r="E1737" s="105"/>
      <c r="F1737" s="60"/>
      <c r="G1737" s="92"/>
      <c r="H1737" s="60"/>
      <c r="I1737" s="60"/>
      <c r="J1737" s="60"/>
      <c r="K1737" s="71" t="str">
        <f>VLOOKUP(E1737,'HEAD OF THE FAMILY'!$B$6:$J1851,9,FALSE)</f>
        <v>#N/A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</row>
    <row r="1738">
      <c r="A1738" s="60" t="str">
        <f t="shared" si="5"/>
        <v/>
      </c>
      <c r="B1738" s="62"/>
      <c r="C1738" s="62"/>
      <c r="D1738" s="105"/>
      <c r="E1738" s="105"/>
      <c r="F1738" s="60"/>
      <c r="G1738" s="92"/>
      <c r="H1738" s="60"/>
      <c r="I1738" s="60"/>
      <c r="J1738" s="60"/>
      <c r="K1738" s="71" t="str">
        <f>VLOOKUP(E1738,'HEAD OF THE FAMILY'!$B$6:$J1851,9,FALSE)</f>
        <v>#N/A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</row>
    <row r="1739">
      <c r="A1739" s="60" t="str">
        <f t="shared" si="5"/>
        <v/>
      </c>
      <c r="B1739" s="62"/>
      <c r="C1739" s="62"/>
      <c r="D1739" s="105"/>
      <c r="E1739" s="105"/>
      <c r="F1739" s="60"/>
      <c r="G1739" s="92"/>
      <c r="H1739" s="60"/>
      <c r="I1739" s="60"/>
      <c r="J1739" s="60"/>
      <c r="K1739" s="71" t="str">
        <f>VLOOKUP(E1739,'HEAD OF THE FAMILY'!$B$6:$J1851,9,FALSE)</f>
        <v>#N/A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</row>
    <row r="1740">
      <c r="A1740" s="60" t="str">
        <f t="shared" si="5"/>
        <v/>
      </c>
      <c r="B1740" s="62"/>
      <c r="C1740" s="62"/>
      <c r="D1740" s="105"/>
      <c r="E1740" s="105"/>
      <c r="F1740" s="60"/>
      <c r="G1740" s="92"/>
      <c r="H1740" s="60"/>
      <c r="I1740" s="60"/>
      <c r="J1740" s="60"/>
      <c r="K1740" s="71" t="str">
        <f>VLOOKUP(E1740,'HEAD OF THE FAMILY'!$B$6:$J1851,9,FALSE)</f>
        <v>#N/A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</row>
    <row r="1741">
      <c r="A1741" s="60" t="str">
        <f t="shared" si="5"/>
        <v/>
      </c>
      <c r="B1741" s="62"/>
      <c r="C1741" s="62"/>
      <c r="D1741" s="105"/>
      <c r="E1741" s="105"/>
      <c r="F1741" s="60"/>
      <c r="G1741" s="92"/>
      <c r="H1741" s="60"/>
      <c r="I1741" s="60"/>
      <c r="J1741" s="60"/>
      <c r="K1741" s="71" t="str">
        <f>VLOOKUP(E1741,'HEAD OF THE FAMILY'!$B$6:$J1851,9,FALSE)</f>
        <v>#N/A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</row>
    <row r="1742">
      <c r="A1742" s="60" t="str">
        <f t="shared" si="5"/>
        <v/>
      </c>
      <c r="B1742" s="62"/>
      <c r="C1742" s="62"/>
      <c r="D1742" s="105"/>
      <c r="E1742" s="105"/>
      <c r="F1742" s="60"/>
      <c r="G1742" s="92"/>
      <c r="H1742" s="60"/>
      <c r="I1742" s="60"/>
      <c r="J1742" s="60"/>
      <c r="K1742" s="71" t="str">
        <f>VLOOKUP(E1742,'HEAD OF THE FAMILY'!$B$6:$J1851,9,FALSE)</f>
        <v>#N/A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</row>
    <row r="1743">
      <c r="A1743" s="60" t="str">
        <f t="shared" si="5"/>
        <v/>
      </c>
      <c r="B1743" s="62"/>
      <c r="C1743" s="62"/>
      <c r="D1743" s="105"/>
      <c r="E1743" s="105"/>
      <c r="F1743" s="60"/>
      <c r="G1743" s="92"/>
      <c r="H1743" s="60"/>
      <c r="I1743" s="60"/>
      <c r="J1743" s="60"/>
      <c r="K1743" s="71" t="str">
        <f>VLOOKUP(E1743,'HEAD OF THE FAMILY'!$B$6:$J1851,9,FALSE)</f>
        <v>#N/A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</row>
    <row r="1744">
      <c r="A1744" s="60" t="str">
        <f t="shared" si="5"/>
        <v/>
      </c>
      <c r="B1744" s="62"/>
      <c r="C1744" s="62"/>
      <c r="D1744" s="105"/>
      <c r="E1744" s="105"/>
      <c r="F1744" s="60"/>
      <c r="G1744" s="92"/>
      <c r="H1744" s="60"/>
      <c r="I1744" s="60"/>
      <c r="J1744" s="60"/>
      <c r="K1744" s="71" t="str">
        <f>VLOOKUP(E1744,'HEAD OF THE FAMILY'!$B$6:$J1851,9,FALSE)</f>
        <v>#N/A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</row>
    <row r="1745">
      <c r="A1745" s="60" t="str">
        <f t="shared" si="5"/>
        <v/>
      </c>
      <c r="B1745" s="62"/>
      <c r="C1745" s="62"/>
      <c r="D1745" s="105"/>
      <c r="E1745" s="105"/>
      <c r="F1745" s="60"/>
      <c r="G1745" s="92"/>
      <c r="H1745" s="60"/>
      <c r="I1745" s="60"/>
      <c r="J1745" s="60"/>
      <c r="K1745" s="71" t="str">
        <f>VLOOKUP(E1745,'HEAD OF THE FAMILY'!$B$6:$J1851,9,FALSE)</f>
        <v>#N/A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</row>
    <row r="1746">
      <c r="A1746" s="60" t="str">
        <f t="shared" si="5"/>
        <v/>
      </c>
      <c r="B1746" s="62"/>
      <c r="C1746" s="62"/>
      <c r="D1746" s="105"/>
      <c r="E1746" s="105"/>
      <c r="F1746" s="60"/>
      <c r="G1746" s="92"/>
      <c r="H1746" s="60"/>
      <c r="I1746" s="60"/>
      <c r="J1746" s="60"/>
      <c r="K1746" s="71" t="str">
        <f>VLOOKUP(E1746,'HEAD OF THE FAMILY'!$B$6:$J1851,9,FALSE)</f>
        <v>#N/A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</row>
    <row r="1747">
      <c r="A1747" s="60" t="str">
        <f t="shared" si="5"/>
        <v/>
      </c>
      <c r="B1747" s="62"/>
      <c r="C1747" s="62"/>
      <c r="D1747" s="105"/>
      <c r="E1747" s="105"/>
      <c r="F1747" s="60"/>
      <c r="G1747" s="92"/>
      <c r="H1747" s="60"/>
      <c r="I1747" s="60"/>
      <c r="J1747" s="60"/>
      <c r="K1747" s="71" t="str">
        <f>VLOOKUP(E1747,'HEAD OF THE FAMILY'!$B$6:$J1851,9,FALSE)</f>
        <v>#N/A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</row>
    <row r="1748">
      <c r="A1748" s="60" t="str">
        <f t="shared" si="5"/>
        <v/>
      </c>
      <c r="B1748" s="62"/>
      <c r="C1748" s="62"/>
      <c r="D1748" s="105"/>
      <c r="E1748" s="105"/>
      <c r="F1748" s="60"/>
      <c r="G1748" s="92"/>
      <c r="H1748" s="60"/>
      <c r="I1748" s="60"/>
      <c r="J1748" s="60"/>
      <c r="K1748" s="71" t="str">
        <f>VLOOKUP(E1748,'HEAD OF THE FAMILY'!$B$6:$J1851,9,FALSE)</f>
        <v>#N/A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</row>
    <row r="1749">
      <c r="A1749" s="60" t="str">
        <f t="shared" si="5"/>
        <v/>
      </c>
      <c r="B1749" s="62"/>
      <c r="C1749" s="62"/>
      <c r="D1749" s="105"/>
      <c r="E1749" s="105"/>
      <c r="F1749" s="60"/>
      <c r="G1749" s="92"/>
      <c r="H1749" s="60"/>
      <c r="I1749" s="60"/>
      <c r="J1749" s="60"/>
      <c r="K1749" s="71" t="str">
        <f>VLOOKUP(E1749,'HEAD OF THE FAMILY'!$B$6:$J1851,9,FALSE)</f>
        <v>#N/A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</row>
    <row r="1750">
      <c r="A1750" s="60" t="str">
        <f t="shared" si="5"/>
        <v/>
      </c>
      <c r="B1750" s="62"/>
      <c r="C1750" s="62"/>
      <c r="D1750" s="105"/>
      <c r="E1750" s="105"/>
      <c r="F1750" s="60"/>
      <c r="G1750" s="92"/>
      <c r="H1750" s="60"/>
      <c r="I1750" s="60"/>
      <c r="J1750" s="60"/>
      <c r="K1750" s="71" t="str">
        <f>VLOOKUP(E1750,'HEAD OF THE FAMILY'!$B$6:$J1851,9,FALSE)</f>
        <v>#N/A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</row>
    <row r="1751">
      <c r="A1751" s="60" t="str">
        <f t="shared" si="5"/>
        <v/>
      </c>
      <c r="B1751" s="62"/>
      <c r="C1751" s="62"/>
      <c r="D1751" s="105"/>
      <c r="E1751" s="105"/>
      <c r="F1751" s="60"/>
      <c r="G1751" s="92"/>
      <c r="H1751" s="60"/>
      <c r="I1751" s="60"/>
      <c r="J1751" s="60"/>
      <c r="K1751" s="71" t="str">
        <f>VLOOKUP(E1751,'HEAD OF THE FAMILY'!$B$6:$J1851,9,FALSE)</f>
        <v>#N/A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</row>
    <row r="1752">
      <c r="A1752" s="60" t="str">
        <f t="shared" si="5"/>
        <v/>
      </c>
      <c r="B1752" s="62"/>
      <c r="C1752" s="62"/>
      <c r="D1752" s="105"/>
      <c r="E1752" s="105"/>
      <c r="F1752" s="60"/>
      <c r="G1752" s="92"/>
      <c r="H1752" s="60"/>
      <c r="I1752" s="60"/>
      <c r="J1752" s="60"/>
      <c r="K1752" s="71" t="str">
        <f>VLOOKUP(E1752,'HEAD OF THE FAMILY'!$B$6:$J1851,9,FALSE)</f>
        <v>#N/A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</row>
    <row r="1753">
      <c r="A1753" s="60" t="str">
        <f t="shared" si="5"/>
        <v/>
      </c>
      <c r="B1753" s="62"/>
      <c r="C1753" s="62"/>
      <c r="D1753" s="105"/>
      <c r="E1753" s="105"/>
      <c r="F1753" s="60"/>
      <c r="G1753" s="92"/>
      <c r="H1753" s="60"/>
      <c r="I1753" s="60"/>
      <c r="J1753" s="60"/>
      <c r="K1753" s="71" t="str">
        <f>VLOOKUP(E1753,'HEAD OF THE FAMILY'!$B$6:$J1851,9,FALSE)</f>
        <v>#N/A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</row>
    <row r="1754">
      <c r="A1754" s="60" t="str">
        <f t="shared" si="5"/>
        <v/>
      </c>
      <c r="B1754" s="62"/>
      <c r="C1754" s="62"/>
      <c r="D1754" s="105"/>
      <c r="E1754" s="105"/>
      <c r="F1754" s="60"/>
      <c r="G1754" s="92"/>
      <c r="H1754" s="60"/>
      <c r="I1754" s="60"/>
      <c r="J1754" s="60"/>
      <c r="K1754" s="71" t="str">
        <f>VLOOKUP(E1754,'HEAD OF THE FAMILY'!$B$6:$J1851,9,FALSE)</f>
        <v>#N/A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</row>
    <row r="1755">
      <c r="A1755" s="60" t="str">
        <f t="shared" si="5"/>
        <v/>
      </c>
      <c r="B1755" s="62"/>
      <c r="C1755" s="62"/>
      <c r="D1755" s="105"/>
      <c r="E1755" s="105"/>
      <c r="F1755" s="60"/>
      <c r="G1755" s="92"/>
      <c r="H1755" s="60"/>
      <c r="I1755" s="60"/>
      <c r="J1755" s="60"/>
      <c r="K1755" s="71" t="str">
        <f>VLOOKUP(E1755,'HEAD OF THE FAMILY'!$B$6:$J1851,9,FALSE)</f>
        <v>#N/A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</row>
    <row r="1756">
      <c r="A1756" s="60" t="str">
        <f t="shared" si="5"/>
        <v/>
      </c>
      <c r="B1756" s="62"/>
      <c r="C1756" s="62"/>
      <c r="D1756" s="105"/>
      <c r="E1756" s="105"/>
      <c r="F1756" s="60"/>
      <c r="G1756" s="92"/>
      <c r="H1756" s="60"/>
      <c r="I1756" s="60"/>
      <c r="J1756" s="60"/>
      <c r="K1756" s="71" t="str">
        <f>VLOOKUP(E1756,'HEAD OF THE FAMILY'!$B$6:$J1851,9,FALSE)</f>
        <v>#N/A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</row>
    <row r="1757">
      <c r="A1757" s="60" t="str">
        <f t="shared" si="5"/>
        <v/>
      </c>
      <c r="B1757" s="62"/>
      <c r="C1757" s="62"/>
      <c r="D1757" s="105"/>
      <c r="E1757" s="105"/>
      <c r="F1757" s="60"/>
      <c r="G1757" s="92"/>
      <c r="H1757" s="60"/>
      <c r="I1757" s="60"/>
      <c r="J1757" s="60"/>
      <c r="K1757" s="71" t="str">
        <f>VLOOKUP(E1757,'HEAD OF THE FAMILY'!$B$6:$J1851,9,FALSE)</f>
        <v>#N/A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</row>
    <row r="1758">
      <c r="A1758" s="60" t="str">
        <f t="shared" si="5"/>
        <v/>
      </c>
      <c r="B1758" s="62"/>
      <c r="C1758" s="62"/>
      <c r="D1758" s="105"/>
      <c r="E1758" s="105"/>
      <c r="F1758" s="60"/>
      <c r="G1758" s="92"/>
      <c r="H1758" s="60"/>
      <c r="I1758" s="60"/>
      <c r="J1758" s="60"/>
      <c r="K1758" s="71" t="str">
        <f>VLOOKUP(E1758,'HEAD OF THE FAMILY'!$B$6:$J1851,9,FALSE)</f>
        <v>#N/A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</row>
    <row r="1759">
      <c r="A1759" s="60" t="str">
        <f t="shared" si="5"/>
        <v/>
      </c>
      <c r="B1759" s="62"/>
      <c r="C1759" s="62"/>
      <c r="D1759" s="105"/>
      <c r="E1759" s="105"/>
      <c r="F1759" s="60"/>
      <c r="G1759" s="92"/>
      <c r="H1759" s="60"/>
      <c r="I1759" s="60"/>
      <c r="J1759" s="60"/>
      <c r="K1759" s="71" t="str">
        <f>VLOOKUP(E1759,'HEAD OF THE FAMILY'!$B$6:$J1851,9,FALSE)</f>
        <v>#N/A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</row>
    <row r="1760">
      <c r="A1760" s="60" t="str">
        <f t="shared" si="5"/>
        <v/>
      </c>
      <c r="B1760" s="62"/>
      <c r="C1760" s="62"/>
      <c r="D1760" s="105"/>
      <c r="E1760" s="105"/>
      <c r="F1760" s="60"/>
      <c r="G1760" s="92"/>
      <c r="H1760" s="60"/>
      <c r="I1760" s="60"/>
      <c r="J1760" s="60"/>
      <c r="K1760" s="71" t="str">
        <f>VLOOKUP(E1760,'HEAD OF THE FAMILY'!$B$6:$J1851,9,FALSE)</f>
        <v>#N/A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</row>
    <row r="1761">
      <c r="A1761" s="60" t="str">
        <f t="shared" si="5"/>
        <v/>
      </c>
      <c r="B1761" s="62"/>
      <c r="C1761" s="62"/>
      <c r="D1761" s="105"/>
      <c r="E1761" s="105"/>
      <c r="F1761" s="60"/>
      <c r="G1761" s="92"/>
      <c r="H1761" s="60"/>
      <c r="I1761" s="60"/>
      <c r="J1761" s="60"/>
      <c r="K1761" s="71" t="str">
        <f>VLOOKUP(E1761,'HEAD OF THE FAMILY'!$B$6:$J1851,9,FALSE)</f>
        <v>#N/A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</row>
    <row r="1762">
      <c r="A1762" s="60" t="str">
        <f t="shared" si="5"/>
        <v/>
      </c>
      <c r="B1762" s="62"/>
      <c r="C1762" s="62"/>
      <c r="D1762" s="105"/>
      <c r="E1762" s="105"/>
      <c r="F1762" s="60"/>
      <c r="G1762" s="92"/>
      <c r="H1762" s="60"/>
      <c r="I1762" s="60"/>
      <c r="J1762" s="60"/>
      <c r="K1762" s="71" t="str">
        <f>VLOOKUP(E1762,'HEAD OF THE FAMILY'!$B$6:$J1851,9,FALSE)</f>
        <v>#N/A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</row>
    <row r="1763">
      <c r="A1763" s="60" t="str">
        <f t="shared" si="5"/>
        <v/>
      </c>
      <c r="B1763" s="62"/>
      <c r="C1763" s="62"/>
      <c r="D1763" s="105"/>
      <c r="E1763" s="105"/>
      <c r="F1763" s="60"/>
      <c r="G1763" s="92"/>
      <c r="H1763" s="60"/>
      <c r="I1763" s="60"/>
      <c r="J1763" s="60"/>
      <c r="K1763" s="71" t="str">
        <f>VLOOKUP(E1763,'HEAD OF THE FAMILY'!$B$6:$J1851,9,FALSE)</f>
        <v>#N/A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</row>
    <row r="1764">
      <c r="A1764" s="60" t="str">
        <f t="shared" si="5"/>
        <v/>
      </c>
      <c r="B1764" s="62"/>
      <c r="C1764" s="62"/>
      <c r="D1764" s="105"/>
      <c r="E1764" s="105"/>
      <c r="F1764" s="60"/>
      <c r="G1764" s="92"/>
      <c r="H1764" s="60"/>
      <c r="I1764" s="60"/>
      <c r="J1764" s="60"/>
      <c r="K1764" s="71" t="str">
        <f>VLOOKUP(E1764,'HEAD OF THE FAMILY'!$B$6:$J1851,9,FALSE)</f>
        <v>#N/A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</row>
    <row r="1765">
      <c r="A1765" s="60" t="str">
        <f t="shared" si="5"/>
        <v/>
      </c>
      <c r="B1765" s="62"/>
      <c r="C1765" s="62"/>
      <c r="D1765" s="105"/>
      <c r="E1765" s="105"/>
      <c r="F1765" s="60"/>
      <c r="G1765" s="92"/>
      <c r="H1765" s="60"/>
      <c r="I1765" s="60"/>
      <c r="J1765" s="60"/>
      <c r="K1765" s="71" t="str">
        <f>VLOOKUP(E1765,'HEAD OF THE FAMILY'!$B$6:$J1851,9,FALSE)</f>
        <v>#N/A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</row>
    <row r="1766">
      <c r="A1766" s="60" t="str">
        <f t="shared" si="5"/>
        <v/>
      </c>
      <c r="B1766" s="62"/>
      <c r="C1766" s="62"/>
      <c r="D1766" s="105"/>
      <c r="E1766" s="105"/>
      <c r="F1766" s="60"/>
      <c r="G1766" s="92"/>
      <c r="H1766" s="60"/>
      <c r="I1766" s="60"/>
      <c r="J1766" s="60"/>
      <c r="K1766" s="71" t="str">
        <f>VLOOKUP(E1766,'HEAD OF THE FAMILY'!$B$6:$J1851,9,FALSE)</f>
        <v>#N/A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</row>
    <row r="1767">
      <c r="A1767" s="60" t="str">
        <f t="shared" si="5"/>
        <v/>
      </c>
      <c r="B1767" s="62"/>
      <c r="C1767" s="62"/>
      <c r="D1767" s="105"/>
      <c r="E1767" s="105"/>
      <c r="F1767" s="60"/>
      <c r="G1767" s="92"/>
      <c r="H1767" s="60"/>
      <c r="I1767" s="60"/>
      <c r="J1767" s="60"/>
      <c r="K1767" s="71" t="str">
        <f>VLOOKUP(E1767,'HEAD OF THE FAMILY'!$B$6:$J1851,9,FALSE)</f>
        <v>#N/A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</row>
    <row r="1768">
      <c r="A1768" s="60" t="str">
        <f t="shared" si="5"/>
        <v/>
      </c>
      <c r="B1768" s="62"/>
      <c r="C1768" s="62"/>
      <c r="D1768" s="105"/>
      <c r="E1768" s="105"/>
      <c r="F1768" s="60"/>
      <c r="G1768" s="92"/>
      <c r="H1768" s="60"/>
      <c r="I1768" s="60"/>
      <c r="J1768" s="60"/>
      <c r="K1768" s="71" t="str">
        <f>VLOOKUP(E1768,'HEAD OF THE FAMILY'!$B$6:$J1851,9,FALSE)</f>
        <v>#N/A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</row>
    <row r="1769">
      <c r="A1769" s="60" t="str">
        <f t="shared" si="5"/>
        <v/>
      </c>
      <c r="B1769" s="62"/>
      <c r="C1769" s="62"/>
      <c r="D1769" s="105"/>
      <c r="E1769" s="105"/>
      <c r="F1769" s="60"/>
      <c r="G1769" s="92"/>
      <c r="H1769" s="60"/>
      <c r="I1769" s="60"/>
      <c r="J1769" s="60"/>
      <c r="K1769" s="71" t="str">
        <f>VLOOKUP(E1769,'HEAD OF THE FAMILY'!$B$6:$J1851,9,FALSE)</f>
        <v>#N/A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</row>
    <row r="1770">
      <c r="A1770" s="60" t="str">
        <f t="shared" si="5"/>
        <v/>
      </c>
      <c r="B1770" s="62"/>
      <c r="C1770" s="62"/>
      <c r="D1770" s="105"/>
      <c r="E1770" s="105"/>
      <c r="F1770" s="60"/>
      <c r="G1770" s="92"/>
      <c r="H1770" s="60"/>
      <c r="I1770" s="60"/>
      <c r="J1770" s="60"/>
      <c r="K1770" s="71" t="str">
        <f>VLOOKUP(E1770,'HEAD OF THE FAMILY'!$B$6:$J1851,9,FALSE)</f>
        <v>#N/A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</row>
    <row r="1771">
      <c r="A1771" s="60" t="str">
        <f t="shared" si="5"/>
        <v/>
      </c>
      <c r="B1771" s="62"/>
      <c r="C1771" s="62"/>
      <c r="D1771" s="105"/>
      <c r="E1771" s="105"/>
      <c r="F1771" s="60"/>
      <c r="G1771" s="92"/>
      <c r="H1771" s="60"/>
      <c r="I1771" s="60"/>
      <c r="J1771" s="60"/>
      <c r="K1771" s="71" t="str">
        <f>VLOOKUP(E1771,'HEAD OF THE FAMILY'!$B$6:$J1851,9,FALSE)</f>
        <v>#N/A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</row>
    <row r="1772">
      <c r="A1772" s="60" t="str">
        <f t="shared" si="5"/>
        <v/>
      </c>
      <c r="B1772" s="62"/>
      <c r="C1772" s="62"/>
      <c r="D1772" s="105"/>
      <c r="E1772" s="105"/>
      <c r="F1772" s="60"/>
      <c r="G1772" s="92"/>
      <c r="H1772" s="60"/>
      <c r="I1772" s="60"/>
      <c r="J1772" s="60"/>
      <c r="K1772" s="71" t="str">
        <f>VLOOKUP(E1772,'HEAD OF THE FAMILY'!$B$6:$J1851,9,FALSE)</f>
        <v>#N/A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</row>
    <row r="1773">
      <c r="A1773" s="60" t="str">
        <f t="shared" si="5"/>
        <v/>
      </c>
      <c r="B1773" s="62"/>
      <c r="C1773" s="62"/>
      <c r="D1773" s="105"/>
      <c r="E1773" s="105"/>
      <c r="F1773" s="60"/>
      <c r="G1773" s="92"/>
      <c r="H1773" s="60"/>
      <c r="I1773" s="60"/>
      <c r="J1773" s="60"/>
      <c r="K1773" s="71" t="str">
        <f>VLOOKUP(E1773,'HEAD OF THE FAMILY'!$B$6:$J1851,9,FALSE)</f>
        <v>#N/A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</row>
    <row r="1774">
      <c r="A1774" s="60" t="str">
        <f t="shared" si="5"/>
        <v/>
      </c>
      <c r="B1774" s="62"/>
      <c r="C1774" s="62"/>
      <c r="D1774" s="105"/>
      <c r="E1774" s="105"/>
      <c r="F1774" s="60"/>
      <c r="G1774" s="92"/>
      <c r="H1774" s="60"/>
      <c r="I1774" s="60"/>
      <c r="J1774" s="60"/>
      <c r="K1774" s="71" t="str">
        <f>VLOOKUP(E1774,'HEAD OF THE FAMILY'!$B$6:$J1851,9,FALSE)</f>
        <v>#N/A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</row>
    <row r="1775">
      <c r="A1775" s="60" t="str">
        <f t="shared" si="5"/>
        <v/>
      </c>
      <c r="B1775" s="62"/>
      <c r="C1775" s="62"/>
      <c r="D1775" s="105"/>
      <c r="E1775" s="105"/>
      <c r="F1775" s="60"/>
      <c r="G1775" s="92"/>
      <c r="H1775" s="60"/>
      <c r="I1775" s="60"/>
      <c r="J1775" s="60"/>
      <c r="K1775" s="71" t="str">
        <f>VLOOKUP(E1775,'HEAD OF THE FAMILY'!$B$6:$J1851,9,FALSE)</f>
        <v>#N/A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</row>
    <row r="1776">
      <c r="A1776" s="60" t="str">
        <f t="shared" si="5"/>
        <v/>
      </c>
      <c r="B1776" s="62"/>
      <c r="C1776" s="62"/>
      <c r="D1776" s="105"/>
      <c r="E1776" s="105"/>
      <c r="F1776" s="60"/>
      <c r="G1776" s="92"/>
      <c r="H1776" s="60"/>
      <c r="I1776" s="60"/>
      <c r="J1776" s="60"/>
      <c r="K1776" s="71" t="str">
        <f>VLOOKUP(E1776,'HEAD OF THE FAMILY'!$B$6:$J1851,9,FALSE)</f>
        <v>#N/A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</row>
    <row r="1777">
      <c r="A1777" s="60" t="str">
        <f t="shared" si="5"/>
        <v/>
      </c>
      <c r="B1777" s="62"/>
      <c r="C1777" s="62"/>
      <c r="D1777" s="105"/>
      <c r="E1777" s="105"/>
      <c r="F1777" s="60"/>
      <c r="G1777" s="92"/>
      <c r="H1777" s="60"/>
      <c r="I1777" s="60"/>
      <c r="J1777" s="60"/>
      <c r="K1777" s="71" t="str">
        <f>VLOOKUP(E1777,'HEAD OF THE FAMILY'!$B$6:$J1851,9,FALSE)</f>
        <v>#N/A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</row>
    <row r="1778">
      <c r="A1778" s="60" t="str">
        <f t="shared" si="5"/>
        <v/>
      </c>
      <c r="B1778" s="62"/>
      <c r="C1778" s="62"/>
      <c r="D1778" s="105"/>
      <c r="E1778" s="105"/>
      <c r="F1778" s="60"/>
      <c r="G1778" s="92"/>
      <c r="H1778" s="60"/>
      <c r="I1778" s="60"/>
      <c r="J1778" s="60"/>
      <c r="K1778" s="71" t="str">
        <f>VLOOKUP(E1778,'HEAD OF THE FAMILY'!$B$6:$J1851,9,FALSE)</f>
        <v>#N/A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</row>
    <row r="1779">
      <c r="A1779" s="60" t="str">
        <f t="shared" si="5"/>
        <v/>
      </c>
      <c r="B1779" s="62"/>
      <c r="C1779" s="62"/>
      <c r="D1779" s="105"/>
      <c r="E1779" s="105"/>
      <c r="F1779" s="60"/>
      <c r="G1779" s="92"/>
      <c r="H1779" s="60"/>
      <c r="I1779" s="60"/>
      <c r="J1779" s="60"/>
      <c r="K1779" s="71" t="str">
        <f>VLOOKUP(E1779,'HEAD OF THE FAMILY'!$B$6:$J1851,9,FALSE)</f>
        <v>#N/A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</row>
    <row r="1780">
      <c r="A1780" s="60" t="str">
        <f t="shared" si="5"/>
        <v/>
      </c>
      <c r="B1780" s="62"/>
      <c r="C1780" s="62"/>
      <c r="D1780" s="105"/>
      <c r="E1780" s="105"/>
      <c r="F1780" s="60"/>
      <c r="G1780" s="92"/>
      <c r="H1780" s="60"/>
      <c r="I1780" s="60"/>
      <c r="J1780" s="60"/>
      <c r="K1780" s="71" t="str">
        <f>VLOOKUP(E1780,'HEAD OF THE FAMILY'!$B$6:$J1851,9,FALSE)</f>
        <v>#N/A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</row>
    <row r="1781">
      <c r="A1781" s="60" t="str">
        <f t="shared" si="5"/>
        <v/>
      </c>
      <c r="B1781" s="62"/>
      <c r="C1781" s="62"/>
      <c r="D1781" s="105"/>
      <c r="E1781" s="105"/>
      <c r="F1781" s="60"/>
      <c r="G1781" s="92"/>
      <c r="H1781" s="60"/>
      <c r="I1781" s="60"/>
      <c r="J1781" s="60"/>
      <c r="K1781" s="71" t="str">
        <f>VLOOKUP(E1781,'HEAD OF THE FAMILY'!$B$6:$J1851,9,FALSE)</f>
        <v>#N/A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</row>
    <row r="1782">
      <c r="A1782" s="60" t="str">
        <f t="shared" si="5"/>
        <v/>
      </c>
      <c r="B1782" s="62"/>
      <c r="C1782" s="62"/>
      <c r="D1782" s="105"/>
      <c r="E1782" s="105"/>
      <c r="F1782" s="60"/>
      <c r="G1782" s="92"/>
      <c r="H1782" s="60"/>
      <c r="I1782" s="60"/>
      <c r="J1782" s="60"/>
      <c r="K1782" s="71" t="str">
        <f>VLOOKUP(E1782,'HEAD OF THE FAMILY'!$B$6:$J1851,9,FALSE)</f>
        <v>#N/A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</row>
    <row r="1783">
      <c r="A1783" s="60" t="str">
        <f t="shared" si="5"/>
        <v/>
      </c>
      <c r="B1783" s="62"/>
      <c r="C1783" s="62"/>
      <c r="D1783" s="105"/>
      <c r="E1783" s="105"/>
      <c r="F1783" s="60"/>
      <c r="G1783" s="92"/>
      <c r="H1783" s="60"/>
      <c r="I1783" s="60"/>
      <c r="J1783" s="60"/>
      <c r="K1783" s="71" t="str">
        <f>VLOOKUP(E1783,'HEAD OF THE FAMILY'!$B$6:$J1851,9,FALSE)</f>
        <v>#N/A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</row>
    <row r="1784">
      <c r="A1784" s="60" t="str">
        <f t="shared" si="5"/>
        <v/>
      </c>
      <c r="B1784" s="62"/>
      <c r="C1784" s="62"/>
      <c r="D1784" s="105"/>
      <c r="E1784" s="105"/>
      <c r="F1784" s="60"/>
      <c r="G1784" s="92"/>
      <c r="H1784" s="60"/>
      <c r="I1784" s="60"/>
      <c r="J1784" s="60"/>
      <c r="K1784" s="71" t="str">
        <f>VLOOKUP(E1784,'HEAD OF THE FAMILY'!$B$6:$J1851,9,FALSE)</f>
        <v>#N/A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</row>
    <row r="1785">
      <c r="A1785" s="60" t="str">
        <f t="shared" si="5"/>
        <v/>
      </c>
      <c r="B1785" s="62"/>
      <c r="C1785" s="62"/>
      <c r="D1785" s="105"/>
      <c r="E1785" s="105"/>
      <c r="F1785" s="60"/>
      <c r="G1785" s="92"/>
      <c r="H1785" s="60"/>
      <c r="I1785" s="60"/>
      <c r="J1785" s="60"/>
      <c r="K1785" s="71" t="str">
        <f>VLOOKUP(E1785,'HEAD OF THE FAMILY'!$B$6:$J1851,9,FALSE)</f>
        <v>#N/A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</row>
    <row r="1786">
      <c r="A1786" s="60" t="str">
        <f t="shared" si="5"/>
        <v/>
      </c>
      <c r="B1786" s="62"/>
      <c r="C1786" s="62"/>
      <c r="D1786" s="105"/>
      <c r="E1786" s="105"/>
      <c r="F1786" s="60"/>
      <c r="G1786" s="92"/>
      <c r="H1786" s="60"/>
      <c r="I1786" s="60"/>
      <c r="J1786" s="60"/>
      <c r="K1786" s="71" t="str">
        <f>VLOOKUP(E1786,'HEAD OF THE FAMILY'!$B$6:$J1851,9,FALSE)</f>
        <v>#N/A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</row>
    <row r="1787">
      <c r="A1787" s="60" t="str">
        <f t="shared" si="5"/>
        <v/>
      </c>
      <c r="B1787" s="62"/>
      <c r="C1787" s="62"/>
      <c r="D1787" s="105"/>
      <c r="E1787" s="105"/>
      <c r="F1787" s="60"/>
      <c r="G1787" s="92"/>
      <c r="H1787" s="60"/>
      <c r="I1787" s="60"/>
      <c r="J1787" s="60"/>
      <c r="K1787" s="71" t="str">
        <f>VLOOKUP(E1787,'HEAD OF THE FAMILY'!$B$6:$J1851,9,FALSE)</f>
        <v>#N/A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</row>
    <row r="1788">
      <c r="A1788" s="60" t="str">
        <f t="shared" si="5"/>
        <v/>
      </c>
      <c r="B1788" s="62"/>
      <c r="C1788" s="62"/>
      <c r="D1788" s="105"/>
      <c r="E1788" s="105"/>
      <c r="F1788" s="60"/>
      <c r="G1788" s="92"/>
      <c r="H1788" s="60"/>
      <c r="I1788" s="60"/>
      <c r="J1788" s="60"/>
      <c r="K1788" s="71" t="str">
        <f>VLOOKUP(E1788,'HEAD OF THE FAMILY'!$B$6:$J1851,9,FALSE)</f>
        <v>#N/A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</row>
    <row r="1789">
      <c r="A1789" s="60" t="str">
        <f t="shared" si="5"/>
        <v/>
      </c>
      <c r="B1789" s="62"/>
      <c r="C1789" s="62"/>
      <c r="D1789" s="105"/>
      <c r="E1789" s="105"/>
      <c r="F1789" s="60"/>
      <c r="G1789" s="92"/>
      <c r="H1789" s="60"/>
      <c r="I1789" s="60"/>
      <c r="J1789" s="60"/>
      <c r="K1789" s="71" t="str">
        <f>VLOOKUP(E1789,'HEAD OF THE FAMILY'!$B$6:$J1851,9,FALSE)</f>
        <v>#N/A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</row>
    <row r="1790">
      <c r="A1790" s="60" t="str">
        <f t="shared" si="5"/>
        <v/>
      </c>
      <c r="B1790" s="62"/>
      <c r="C1790" s="62"/>
      <c r="D1790" s="105"/>
      <c r="E1790" s="105"/>
      <c r="F1790" s="60"/>
      <c r="G1790" s="92"/>
      <c r="H1790" s="60"/>
      <c r="I1790" s="60"/>
      <c r="J1790" s="60"/>
      <c r="K1790" s="71" t="str">
        <f>VLOOKUP(E1790,'HEAD OF THE FAMILY'!$B$6:$J1851,9,FALSE)</f>
        <v>#N/A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</row>
    <row r="1791">
      <c r="A1791" s="60" t="str">
        <f t="shared" si="5"/>
        <v/>
      </c>
      <c r="B1791" s="62"/>
      <c r="C1791" s="62"/>
      <c r="D1791" s="105"/>
      <c r="E1791" s="105"/>
      <c r="F1791" s="60"/>
      <c r="G1791" s="92"/>
      <c r="H1791" s="60"/>
      <c r="I1791" s="60"/>
      <c r="J1791" s="60"/>
      <c r="K1791" s="71" t="str">
        <f>VLOOKUP(E1791,'HEAD OF THE FAMILY'!$B$6:$J1851,9,FALSE)</f>
        <v>#N/A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</row>
    <row r="1792">
      <c r="A1792" s="60" t="str">
        <f t="shared" si="5"/>
        <v/>
      </c>
      <c r="B1792" s="62"/>
      <c r="C1792" s="62"/>
      <c r="D1792" s="105"/>
      <c r="E1792" s="105"/>
      <c r="F1792" s="60"/>
      <c r="G1792" s="92"/>
      <c r="H1792" s="60"/>
      <c r="I1792" s="60"/>
      <c r="J1792" s="60"/>
      <c r="K1792" s="71" t="str">
        <f>VLOOKUP(E1792,'HEAD OF THE FAMILY'!$B$6:$J1851,9,FALSE)</f>
        <v>#N/A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</row>
    <row r="1793">
      <c r="A1793" s="60" t="str">
        <f t="shared" si="5"/>
        <v/>
      </c>
      <c r="B1793" s="62"/>
      <c r="C1793" s="62"/>
      <c r="D1793" s="105"/>
      <c r="E1793" s="105"/>
      <c r="F1793" s="60"/>
      <c r="G1793" s="92"/>
      <c r="H1793" s="60"/>
      <c r="I1793" s="60"/>
      <c r="J1793" s="60"/>
      <c r="K1793" s="71" t="str">
        <f>VLOOKUP(E1793,'HEAD OF THE FAMILY'!$B$6:$J1851,9,FALSE)</f>
        <v>#N/A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</row>
    <row r="1794">
      <c r="A1794" s="60" t="str">
        <f t="shared" si="5"/>
        <v/>
      </c>
      <c r="B1794" s="62"/>
      <c r="C1794" s="62"/>
      <c r="D1794" s="105"/>
      <c r="E1794" s="105"/>
      <c r="F1794" s="60"/>
      <c r="G1794" s="92"/>
      <c r="H1794" s="60"/>
      <c r="I1794" s="60"/>
      <c r="J1794" s="60"/>
      <c r="K1794" s="71" t="str">
        <f>VLOOKUP(E1794,'HEAD OF THE FAMILY'!$B$6:$J1851,9,FALSE)</f>
        <v>#N/A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</row>
    <row r="1795">
      <c r="A1795" s="60" t="str">
        <f t="shared" si="5"/>
        <v/>
      </c>
      <c r="B1795" s="62"/>
      <c r="C1795" s="62"/>
      <c r="D1795" s="105"/>
      <c r="E1795" s="105"/>
      <c r="F1795" s="60"/>
      <c r="G1795" s="92"/>
      <c r="H1795" s="60"/>
      <c r="I1795" s="60"/>
      <c r="J1795" s="60"/>
      <c r="K1795" s="71" t="str">
        <f>VLOOKUP(E1795,'HEAD OF THE FAMILY'!$B$6:$J1851,9,FALSE)</f>
        <v>#N/A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</row>
    <row r="1796">
      <c r="A1796" s="60" t="str">
        <f t="shared" si="5"/>
        <v/>
      </c>
      <c r="B1796" s="62"/>
      <c r="C1796" s="62"/>
      <c r="D1796" s="105"/>
      <c r="E1796" s="105"/>
      <c r="F1796" s="60"/>
      <c r="G1796" s="92"/>
      <c r="H1796" s="60"/>
      <c r="I1796" s="60"/>
      <c r="J1796" s="60"/>
      <c r="K1796" s="71" t="str">
        <f>VLOOKUP(E1796,'HEAD OF THE FAMILY'!$B$6:$J1851,9,FALSE)</f>
        <v>#N/A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</row>
    <row r="1797">
      <c r="A1797" s="60" t="str">
        <f t="shared" si="5"/>
        <v/>
      </c>
      <c r="B1797" s="62"/>
      <c r="C1797" s="62"/>
      <c r="D1797" s="105"/>
      <c r="E1797" s="105"/>
      <c r="F1797" s="60"/>
      <c r="G1797" s="92"/>
      <c r="H1797" s="60"/>
      <c r="I1797" s="60"/>
      <c r="J1797" s="60"/>
      <c r="K1797" s="71" t="str">
        <f>VLOOKUP(E1797,'HEAD OF THE FAMILY'!$B$6:$J1851,9,FALSE)</f>
        <v>#N/A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</row>
    <row r="1798">
      <c r="A1798" s="60" t="str">
        <f t="shared" si="5"/>
        <v/>
      </c>
      <c r="B1798" s="62"/>
      <c r="C1798" s="62"/>
      <c r="D1798" s="105"/>
      <c r="E1798" s="105"/>
      <c r="F1798" s="60"/>
      <c r="G1798" s="92"/>
      <c r="H1798" s="60"/>
      <c r="I1798" s="60"/>
      <c r="J1798" s="60"/>
      <c r="K1798" s="71" t="str">
        <f>VLOOKUP(E1798,'HEAD OF THE FAMILY'!$B$6:$J1851,9,FALSE)</f>
        <v>#N/A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</row>
    <row r="1799">
      <c r="A1799" s="60" t="str">
        <f t="shared" si="5"/>
        <v/>
      </c>
      <c r="B1799" s="62"/>
      <c r="C1799" s="62"/>
      <c r="D1799" s="105"/>
      <c r="E1799" s="105"/>
      <c r="F1799" s="60"/>
      <c r="G1799" s="92"/>
      <c r="H1799" s="60"/>
      <c r="I1799" s="60"/>
      <c r="J1799" s="60"/>
      <c r="K1799" s="71" t="str">
        <f>VLOOKUP(E1799,'HEAD OF THE FAMILY'!$B$6:$J1851,9,FALSE)</f>
        <v>#N/A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</row>
    <row r="1800">
      <c r="A1800" s="60" t="str">
        <f t="shared" si="5"/>
        <v/>
      </c>
      <c r="B1800" s="62"/>
      <c r="C1800" s="62"/>
      <c r="D1800" s="105"/>
      <c r="E1800" s="105"/>
      <c r="F1800" s="60"/>
      <c r="G1800" s="92"/>
      <c r="H1800" s="60"/>
      <c r="I1800" s="60"/>
      <c r="J1800" s="60"/>
      <c r="K1800" s="71" t="str">
        <f>VLOOKUP(E1800,'HEAD OF THE FAMILY'!$B$6:$J1851,9,FALSE)</f>
        <v>#N/A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</row>
    <row r="1801">
      <c r="A1801" s="60" t="str">
        <f t="shared" si="5"/>
        <v/>
      </c>
      <c r="B1801" s="62"/>
      <c r="C1801" s="62"/>
      <c r="D1801" s="105"/>
      <c r="E1801" s="105"/>
      <c r="F1801" s="60"/>
      <c r="G1801" s="92"/>
      <c r="H1801" s="60"/>
      <c r="I1801" s="60"/>
      <c r="J1801" s="60"/>
      <c r="K1801" s="71" t="str">
        <f>VLOOKUP(E1801,'HEAD OF THE FAMILY'!$B$6:$J1851,9,FALSE)</f>
        <v>#N/A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</row>
    <row r="1802">
      <c r="A1802" s="60" t="str">
        <f t="shared" si="5"/>
        <v/>
      </c>
      <c r="B1802" s="62"/>
      <c r="C1802" s="62"/>
      <c r="D1802" s="105"/>
      <c r="E1802" s="105"/>
      <c r="F1802" s="60"/>
      <c r="G1802" s="92"/>
      <c r="H1802" s="60"/>
      <c r="I1802" s="60"/>
      <c r="J1802" s="60"/>
      <c r="K1802" s="71" t="str">
        <f>VLOOKUP(E1802,'HEAD OF THE FAMILY'!$B$6:$J1851,9,FALSE)</f>
        <v>#N/A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</row>
    <row r="1803">
      <c r="A1803" s="60" t="str">
        <f t="shared" si="5"/>
        <v/>
      </c>
      <c r="B1803" s="62"/>
      <c r="C1803" s="62"/>
      <c r="D1803" s="105"/>
      <c r="E1803" s="105"/>
      <c r="F1803" s="60"/>
      <c r="G1803" s="92"/>
      <c r="H1803" s="60"/>
      <c r="I1803" s="60"/>
      <c r="J1803" s="60"/>
      <c r="K1803" s="71" t="str">
        <f>VLOOKUP(E1803,'HEAD OF THE FAMILY'!$B$6:$J1851,9,FALSE)</f>
        <v>#N/A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</row>
    <row r="1804">
      <c r="A1804" s="60" t="str">
        <f t="shared" si="5"/>
        <v/>
      </c>
      <c r="B1804" s="62"/>
      <c r="C1804" s="62"/>
      <c r="D1804" s="105"/>
      <c r="E1804" s="105"/>
      <c r="F1804" s="60"/>
      <c r="G1804" s="92"/>
      <c r="H1804" s="60"/>
      <c r="I1804" s="60"/>
      <c r="J1804" s="60"/>
      <c r="K1804" s="71" t="str">
        <f>VLOOKUP(E1804,'HEAD OF THE FAMILY'!$B$6:$J1851,9,FALSE)</f>
        <v>#N/A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</row>
    <row r="1805">
      <c r="A1805" s="60" t="str">
        <f t="shared" si="5"/>
        <v/>
      </c>
      <c r="B1805" s="62"/>
      <c r="C1805" s="62"/>
      <c r="D1805" s="105"/>
      <c r="E1805" s="105"/>
      <c r="F1805" s="60"/>
      <c r="G1805" s="92"/>
      <c r="H1805" s="60"/>
      <c r="I1805" s="60"/>
      <c r="J1805" s="60"/>
      <c r="K1805" s="71" t="str">
        <f>VLOOKUP(E1805,'HEAD OF THE FAMILY'!$B$6:$J1851,9,FALSE)</f>
        <v>#N/A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</row>
    <row r="1806">
      <c r="A1806" s="60" t="str">
        <f t="shared" si="5"/>
        <v/>
      </c>
      <c r="B1806" s="62"/>
      <c r="C1806" s="62"/>
      <c r="D1806" s="105"/>
      <c r="E1806" s="105"/>
      <c r="F1806" s="60"/>
      <c r="G1806" s="92"/>
      <c r="H1806" s="60"/>
      <c r="I1806" s="60"/>
      <c r="J1806" s="60"/>
      <c r="K1806" s="71" t="str">
        <f>VLOOKUP(E1806,'HEAD OF THE FAMILY'!$B$6:$J1851,9,FALSE)</f>
        <v>#N/A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</row>
    <row r="1807">
      <c r="A1807" s="60" t="str">
        <f t="shared" si="5"/>
        <v/>
      </c>
      <c r="B1807" s="62"/>
      <c r="C1807" s="62"/>
      <c r="D1807" s="105"/>
      <c r="E1807" s="105"/>
      <c r="F1807" s="60"/>
      <c r="G1807" s="92"/>
      <c r="H1807" s="60"/>
      <c r="I1807" s="60"/>
      <c r="J1807" s="60"/>
      <c r="K1807" s="71" t="str">
        <f>VLOOKUP(E1807,'HEAD OF THE FAMILY'!$B$6:$J1851,9,FALSE)</f>
        <v>#N/A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</row>
    <row r="1808">
      <c r="A1808" s="60" t="str">
        <f t="shared" si="5"/>
        <v/>
      </c>
      <c r="B1808" s="62"/>
      <c r="C1808" s="62"/>
      <c r="D1808" s="105"/>
      <c r="E1808" s="105"/>
      <c r="F1808" s="60"/>
      <c r="G1808" s="92"/>
      <c r="H1808" s="60"/>
      <c r="I1808" s="60"/>
      <c r="J1808" s="60"/>
      <c r="K1808" s="71" t="str">
        <f>VLOOKUP(E1808,'HEAD OF THE FAMILY'!$B$6:$J1851,9,FALSE)</f>
        <v>#N/A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</row>
    <row r="1809">
      <c r="A1809" s="60" t="str">
        <f t="shared" si="5"/>
        <v/>
      </c>
      <c r="B1809" s="62"/>
      <c r="C1809" s="62"/>
      <c r="D1809" s="105"/>
      <c r="E1809" s="105"/>
      <c r="F1809" s="60"/>
      <c r="G1809" s="92"/>
      <c r="H1809" s="60"/>
      <c r="I1809" s="60"/>
      <c r="J1809" s="60"/>
      <c r="K1809" s="71" t="str">
        <f>VLOOKUP(E1809,'HEAD OF THE FAMILY'!$B$6:$J1851,9,FALSE)</f>
        <v>#N/A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</row>
    <row r="1810">
      <c r="A1810" s="60" t="str">
        <f t="shared" si="5"/>
        <v/>
      </c>
      <c r="B1810" s="62"/>
      <c r="C1810" s="62"/>
      <c r="D1810" s="105"/>
      <c r="E1810" s="105"/>
      <c r="F1810" s="60"/>
      <c r="G1810" s="92"/>
      <c r="H1810" s="60"/>
      <c r="I1810" s="60"/>
      <c r="J1810" s="60"/>
      <c r="K1810" s="71" t="str">
        <f>VLOOKUP(E1810,'HEAD OF THE FAMILY'!$B$6:$J1851,9,FALSE)</f>
        <v>#N/A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</row>
    <row r="1811">
      <c r="A1811" s="60" t="str">
        <f t="shared" si="5"/>
        <v/>
      </c>
      <c r="B1811" s="62"/>
      <c r="C1811" s="62"/>
      <c r="D1811" s="105"/>
      <c r="E1811" s="105"/>
      <c r="F1811" s="60"/>
      <c r="G1811" s="92"/>
      <c r="H1811" s="60"/>
      <c r="I1811" s="60"/>
      <c r="J1811" s="60"/>
      <c r="K1811" s="71" t="str">
        <f>VLOOKUP(E1811,'HEAD OF THE FAMILY'!$B$6:$J1851,9,FALSE)</f>
        <v>#N/A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</row>
    <row r="1812">
      <c r="A1812" s="60" t="str">
        <f t="shared" si="5"/>
        <v/>
      </c>
      <c r="B1812" s="62"/>
      <c r="C1812" s="62"/>
      <c r="D1812" s="105"/>
      <c r="E1812" s="105"/>
      <c r="F1812" s="60"/>
      <c r="G1812" s="92"/>
      <c r="H1812" s="60"/>
      <c r="I1812" s="60"/>
      <c r="J1812" s="60"/>
      <c r="K1812" s="71" t="str">
        <f>VLOOKUP(E1812,'HEAD OF THE FAMILY'!$B$6:$J1851,9,FALSE)</f>
        <v>#N/A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</row>
    <row r="1813">
      <c r="A1813" s="60" t="str">
        <f t="shared" si="5"/>
        <v/>
      </c>
      <c r="B1813" s="62"/>
      <c r="C1813" s="62"/>
      <c r="D1813" s="105"/>
      <c r="E1813" s="105"/>
      <c r="F1813" s="60"/>
      <c r="G1813" s="92"/>
      <c r="H1813" s="60"/>
      <c r="I1813" s="60"/>
      <c r="J1813" s="60"/>
      <c r="K1813" s="71" t="str">
        <f>VLOOKUP(E1813,'HEAD OF THE FAMILY'!$B$6:$J1851,9,FALSE)</f>
        <v>#N/A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</row>
    <row r="1814">
      <c r="A1814" s="60" t="str">
        <f t="shared" si="5"/>
        <v/>
      </c>
      <c r="B1814" s="62"/>
      <c r="C1814" s="62"/>
      <c r="D1814" s="105"/>
      <c r="E1814" s="105"/>
      <c r="F1814" s="60"/>
      <c r="G1814" s="92"/>
      <c r="H1814" s="60"/>
      <c r="I1814" s="60"/>
      <c r="J1814" s="60"/>
      <c r="K1814" s="71" t="str">
        <f>VLOOKUP(E1814,'HEAD OF THE FAMILY'!$B$6:$J1851,9,FALSE)</f>
        <v>#N/A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</row>
    <row r="1815">
      <c r="A1815" s="60" t="str">
        <f t="shared" si="5"/>
        <v/>
      </c>
      <c r="B1815" s="62"/>
      <c r="C1815" s="62"/>
      <c r="D1815" s="105"/>
      <c r="E1815" s="105"/>
      <c r="F1815" s="60"/>
      <c r="G1815" s="92"/>
      <c r="H1815" s="60"/>
      <c r="I1815" s="60"/>
      <c r="J1815" s="60"/>
      <c r="K1815" s="71" t="str">
        <f>VLOOKUP(E1815,'HEAD OF THE FAMILY'!$B$6:$J1851,9,FALSE)</f>
        <v>#N/A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</row>
    <row r="1816">
      <c r="A1816" s="60" t="str">
        <f t="shared" si="5"/>
        <v/>
      </c>
      <c r="B1816" s="62"/>
      <c r="C1816" s="62"/>
      <c r="D1816" s="105"/>
      <c r="E1816" s="105"/>
      <c r="F1816" s="60"/>
      <c r="G1816" s="92"/>
      <c r="H1816" s="60"/>
      <c r="I1816" s="60"/>
      <c r="J1816" s="60"/>
      <c r="K1816" s="71" t="str">
        <f>VLOOKUP(E1816,'HEAD OF THE FAMILY'!$B$6:$J1851,9,FALSE)</f>
        <v>#N/A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</row>
    <row r="1817">
      <c r="A1817" s="60" t="str">
        <f t="shared" si="5"/>
        <v/>
      </c>
      <c r="B1817" s="62"/>
      <c r="C1817" s="62"/>
      <c r="D1817" s="105"/>
      <c r="E1817" s="105"/>
      <c r="F1817" s="60"/>
      <c r="G1817" s="92"/>
      <c r="H1817" s="60"/>
      <c r="I1817" s="60"/>
      <c r="J1817" s="60"/>
      <c r="K1817" s="71" t="str">
        <f>VLOOKUP(E1817,'HEAD OF THE FAMILY'!$B$6:$J1851,9,FALSE)</f>
        <v>#N/A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</row>
    <row r="1818">
      <c r="A1818" s="60" t="str">
        <f t="shared" si="5"/>
        <v/>
      </c>
      <c r="B1818" s="62"/>
      <c r="C1818" s="62"/>
      <c r="D1818" s="105"/>
      <c r="E1818" s="105"/>
      <c r="F1818" s="60"/>
      <c r="G1818" s="92"/>
      <c r="H1818" s="60"/>
      <c r="I1818" s="60"/>
      <c r="J1818" s="60"/>
      <c r="K1818" s="71" t="str">
        <f>VLOOKUP(E1818,'HEAD OF THE FAMILY'!$B$6:$J1851,9,FALSE)</f>
        <v>#N/A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</row>
    <row r="1819">
      <c r="A1819" s="60" t="str">
        <f t="shared" si="5"/>
        <v/>
      </c>
      <c r="B1819" s="62"/>
      <c r="C1819" s="62"/>
      <c r="D1819" s="105"/>
      <c r="E1819" s="105"/>
      <c r="F1819" s="60"/>
      <c r="G1819" s="92"/>
      <c r="H1819" s="60"/>
      <c r="I1819" s="60"/>
      <c r="J1819" s="60"/>
      <c r="K1819" s="71" t="str">
        <f>VLOOKUP(E1819,'HEAD OF THE FAMILY'!$B$6:$J1851,9,FALSE)</f>
        <v>#N/A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</row>
    <row r="1820">
      <c r="A1820" s="60" t="str">
        <f t="shared" si="5"/>
        <v/>
      </c>
      <c r="B1820" s="62"/>
      <c r="C1820" s="62"/>
      <c r="D1820" s="105"/>
      <c r="E1820" s="105"/>
      <c r="F1820" s="60"/>
      <c r="G1820" s="92"/>
      <c r="H1820" s="60"/>
      <c r="I1820" s="60"/>
      <c r="J1820" s="60"/>
      <c r="K1820" s="71" t="str">
        <f>VLOOKUP(E1820,'HEAD OF THE FAMILY'!$B$6:$J1851,9,FALSE)</f>
        <v>#N/A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</row>
    <row r="1821">
      <c r="A1821" s="60" t="str">
        <f t="shared" si="5"/>
        <v/>
      </c>
      <c r="B1821" s="62"/>
      <c r="C1821" s="62"/>
      <c r="D1821" s="105"/>
      <c r="E1821" s="105"/>
      <c r="F1821" s="60"/>
      <c r="G1821" s="92"/>
      <c r="H1821" s="60"/>
      <c r="I1821" s="60"/>
      <c r="J1821" s="60"/>
      <c r="K1821" s="71" t="str">
        <f>VLOOKUP(E1821,'HEAD OF THE FAMILY'!$B$6:$J1851,9,FALSE)</f>
        <v>#N/A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</row>
    <row r="1822">
      <c r="A1822" s="60" t="str">
        <f t="shared" si="5"/>
        <v/>
      </c>
      <c r="B1822" s="62"/>
      <c r="C1822" s="62"/>
      <c r="D1822" s="105"/>
      <c r="E1822" s="105"/>
      <c r="F1822" s="60"/>
      <c r="G1822" s="92"/>
      <c r="H1822" s="60"/>
      <c r="I1822" s="60"/>
      <c r="J1822" s="60"/>
      <c r="K1822" s="71" t="str">
        <f>VLOOKUP(E1822,'HEAD OF THE FAMILY'!$B$6:$J1851,9,FALSE)</f>
        <v>#N/A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</row>
    <row r="1823">
      <c r="A1823" s="60" t="str">
        <f t="shared" si="5"/>
        <v/>
      </c>
      <c r="B1823" s="62"/>
      <c r="C1823" s="62"/>
      <c r="D1823" s="105"/>
      <c r="E1823" s="105"/>
      <c r="F1823" s="60"/>
      <c r="G1823" s="92"/>
      <c r="H1823" s="60"/>
      <c r="I1823" s="60"/>
      <c r="J1823" s="60"/>
      <c r="K1823" s="71" t="str">
        <f>VLOOKUP(E1823,'HEAD OF THE FAMILY'!$B$6:$J1851,9,FALSE)</f>
        <v>#N/A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</row>
    <row r="1824">
      <c r="A1824" s="60" t="str">
        <f t="shared" si="5"/>
        <v/>
      </c>
      <c r="B1824" s="62"/>
      <c r="C1824" s="62"/>
      <c r="D1824" s="105"/>
      <c r="E1824" s="105"/>
      <c r="F1824" s="60"/>
      <c r="G1824" s="92"/>
      <c r="H1824" s="60"/>
      <c r="I1824" s="60"/>
      <c r="J1824" s="60"/>
      <c r="K1824" s="71" t="str">
        <f>VLOOKUP(E1824,'HEAD OF THE FAMILY'!$B$6:$J1851,9,FALSE)</f>
        <v>#N/A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</row>
    <row r="1825">
      <c r="A1825" s="60" t="str">
        <f t="shared" si="5"/>
        <v/>
      </c>
      <c r="B1825" s="62"/>
      <c r="C1825" s="62"/>
      <c r="D1825" s="105"/>
      <c r="E1825" s="105"/>
      <c r="F1825" s="60"/>
      <c r="G1825" s="92"/>
      <c r="H1825" s="60"/>
      <c r="I1825" s="60"/>
      <c r="J1825" s="60"/>
      <c r="K1825" s="71" t="str">
        <f>VLOOKUP(E1825,'HEAD OF THE FAMILY'!$B$6:$J1851,9,FALSE)</f>
        <v>#N/A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</row>
    <row r="1826">
      <c r="A1826" s="60" t="str">
        <f t="shared" si="5"/>
        <v/>
      </c>
      <c r="B1826" s="62"/>
      <c r="C1826" s="62"/>
      <c r="D1826" s="105"/>
      <c r="E1826" s="105"/>
      <c r="F1826" s="60"/>
      <c r="G1826" s="92"/>
      <c r="H1826" s="60"/>
      <c r="I1826" s="60"/>
      <c r="J1826" s="60"/>
      <c r="K1826" s="71" t="str">
        <f>VLOOKUP(E1826,'HEAD OF THE FAMILY'!$B$6:$J1851,9,FALSE)</f>
        <v>#N/A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</row>
    <row r="1827">
      <c r="A1827" s="60" t="str">
        <f t="shared" si="5"/>
        <v/>
      </c>
      <c r="B1827" s="62"/>
      <c r="C1827" s="62"/>
      <c r="D1827" s="105"/>
      <c r="E1827" s="105"/>
      <c r="F1827" s="60"/>
      <c r="G1827" s="92"/>
      <c r="H1827" s="60"/>
      <c r="I1827" s="60"/>
      <c r="J1827" s="60"/>
      <c r="K1827" s="71" t="str">
        <f>VLOOKUP(E1827,'HEAD OF THE FAMILY'!$B$6:$J1851,9,FALSE)</f>
        <v>#N/A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</row>
    <row r="1828">
      <c r="A1828" s="60" t="str">
        <f t="shared" si="5"/>
        <v/>
      </c>
      <c r="B1828" s="62"/>
      <c r="C1828" s="62"/>
      <c r="D1828" s="105"/>
      <c r="E1828" s="105"/>
      <c r="F1828" s="60"/>
      <c r="G1828" s="92"/>
      <c r="H1828" s="60"/>
      <c r="I1828" s="60"/>
      <c r="J1828" s="60"/>
      <c r="K1828" s="71" t="str">
        <f>VLOOKUP(E1828,'HEAD OF THE FAMILY'!$B$6:$J1851,9,FALSE)</f>
        <v>#N/A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</row>
    <row r="1829">
      <c r="A1829" s="60" t="str">
        <f t="shared" si="5"/>
        <v/>
      </c>
      <c r="B1829" s="62"/>
      <c r="C1829" s="62"/>
      <c r="D1829" s="105"/>
      <c r="E1829" s="105"/>
      <c r="F1829" s="60"/>
      <c r="G1829" s="92"/>
      <c r="H1829" s="60"/>
      <c r="I1829" s="60"/>
      <c r="J1829" s="60"/>
      <c r="K1829" s="71" t="str">
        <f>VLOOKUP(E1829,'HEAD OF THE FAMILY'!$B$6:$J1851,9,FALSE)</f>
        <v>#N/A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</row>
    <row r="1830">
      <c r="A1830" s="60" t="str">
        <f t="shared" si="5"/>
        <v/>
      </c>
      <c r="B1830" s="62"/>
      <c r="C1830" s="62"/>
      <c r="D1830" s="105"/>
      <c r="E1830" s="105"/>
      <c r="F1830" s="60"/>
      <c r="G1830" s="92"/>
      <c r="H1830" s="60"/>
      <c r="I1830" s="60"/>
      <c r="J1830" s="60"/>
      <c r="K1830" s="71" t="str">
        <f>VLOOKUP(E1830,'HEAD OF THE FAMILY'!$B$6:$J1851,9,FALSE)</f>
        <v>#N/A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</row>
    <row r="1831">
      <c r="A1831" s="60" t="str">
        <f t="shared" si="5"/>
        <v/>
      </c>
      <c r="B1831" s="62"/>
      <c r="C1831" s="62"/>
      <c r="D1831" s="105"/>
      <c r="E1831" s="105"/>
      <c r="F1831" s="60"/>
      <c r="G1831" s="92"/>
      <c r="H1831" s="60"/>
      <c r="I1831" s="60"/>
      <c r="J1831" s="60"/>
      <c r="K1831" s="71" t="str">
        <f>VLOOKUP(E1831,'HEAD OF THE FAMILY'!$B$6:$J1851,9,FALSE)</f>
        <v>#N/A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</row>
    <row r="1832">
      <c r="A1832" s="60" t="str">
        <f t="shared" si="5"/>
        <v/>
      </c>
      <c r="B1832" s="62"/>
      <c r="C1832" s="62"/>
      <c r="D1832" s="105"/>
      <c r="E1832" s="105"/>
      <c r="F1832" s="60"/>
      <c r="G1832" s="92"/>
      <c r="H1832" s="60"/>
      <c r="I1832" s="60"/>
      <c r="J1832" s="60"/>
      <c r="K1832" s="71" t="str">
        <f>VLOOKUP(E1832,'HEAD OF THE FAMILY'!$B$6:$J1851,9,FALSE)</f>
        <v>#N/A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</row>
    <row r="1833">
      <c r="A1833" s="60" t="str">
        <f t="shared" si="5"/>
        <v/>
      </c>
      <c r="B1833" s="62"/>
      <c r="C1833" s="62"/>
      <c r="D1833" s="105"/>
      <c r="E1833" s="105"/>
      <c r="F1833" s="60"/>
      <c r="G1833" s="92"/>
      <c r="H1833" s="60"/>
      <c r="I1833" s="60"/>
      <c r="J1833" s="60"/>
      <c r="K1833" s="71" t="str">
        <f>VLOOKUP(E1833,'HEAD OF THE FAMILY'!$B$6:$J1851,9,FALSE)</f>
        <v>#N/A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</row>
    <row r="1834">
      <c r="A1834" s="60" t="str">
        <f t="shared" si="5"/>
        <v/>
      </c>
      <c r="B1834" s="62"/>
      <c r="C1834" s="62"/>
      <c r="D1834" s="105"/>
      <c r="E1834" s="105"/>
      <c r="F1834" s="60"/>
      <c r="G1834" s="92"/>
      <c r="H1834" s="60"/>
      <c r="I1834" s="60"/>
      <c r="J1834" s="60"/>
      <c r="K1834" s="71" t="str">
        <f>VLOOKUP(E1834,'HEAD OF THE FAMILY'!$B$6:$J1851,9,FALSE)</f>
        <v>#N/A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</row>
    <row r="1835">
      <c r="A1835" s="60" t="str">
        <f t="shared" si="5"/>
        <v/>
      </c>
      <c r="B1835" s="62"/>
      <c r="C1835" s="62"/>
      <c r="D1835" s="105"/>
      <c r="E1835" s="105"/>
      <c r="F1835" s="60"/>
      <c r="G1835" s="92"/>
      <c r="H1835" s="60"/>
      <c r="I1835" s="60"/>
      <c r="J1835" s="60"/>
      <c r="K1835" s="71" t="str">
        <f>VLOOKUP(E1835,'HEAD OF THE FAMILY'!$B$6:$J1851,9,FALSE)</f>
        <v>#N/A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</row>
    <row r="1836">
      <c r="A1836" s="60" t="str">
        <f t="shared" si="5"/>
        <v/>
      </c>
      <c r="B1836" s="62"/>
      <c r="C1836" s="62"/>
      <c r="D1836" s="105"/>
      <c r="E1836" s="105"/>
      <c r="F1836" s="60"/>
      <c r="G1836" s="92"/>
      <c r="H1836" s="60"/>
      <c r="I1836" s="60"/>
      <c r="J1836" s="60"/>
      <c r="K1836" s="71" t="str">
        <f>VLOOKUP(E1836,'HEAD OF THE FAMILY'!$B$6:$J1851,9,FALSE)</f>
        <v>#N/A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</row>
    <row r="1837">
      <c r="A1837" s="60" t="str">
        <f t="shared" si="5"/>
        <v/>
      </c>
      <c r="B1837" s="62"/>
      <c r="C1837" s="62"/>
      <c r="D1837" s="105"/>
      <c r="E1837" s="105"/>
      <c r="F1837" s="60"/>
      <c r="G1837" s="92"/>
      <c r="H1837" s="60"/>
      <c r="I1837" s="60"/>
      <c r="J1837" s="60"/>
      <c r="K1837" s="71" t="str">
        <f>VLOOKUP(E1837,'HEAD OF THE FAMILY'!$B$6:$J1851,9,FALSE)</f>
        <v>#N/A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</row>
    <row r="1838">
      <c r="A1838" s="60" t="str">
        <f t="shared" si="5"/>
        <v/>
      </c>
      <c r="B1838" s="62"/>
      <c r="C1838" s="62"/>
      <c r="D1838" s="105"/>
      <c r="E1838" s="105"/>
      <c r="F1838" s="60"/>
      <c r="G1838" s="92"/>
      <c r="H1838" s="60"/>
      <c r="I1838" s="60"/>
      <c r="J1838" s="60"/>
      <c r="K1838" s="71" t="str">
        <f>VLOOKUP(E1838,'HEAD OF THE FAMILY'!$B$6:$J1851,9,FALSE)</f>
        <v>#N/A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</row>
    <row r="1839">
      <c r="A1839" s="60" t="str">
        <f t="shared" si="5"/>
        <v/>
      </c>
      <c r="B1839" s="62"/>
      <c r="C1839" s="62"/>
      <c r="D1839" s="105"/>
      <c r="E1839" s="105"/>
      <c r="F1839" s="60"/>
      <c r="G1839" s="92"/>
      <c r="H1839" s="60"/>
      <c r="I1839" s="60"/>
      <c r="J1839" s="60"/>
      <c r="K1839" s="71" t="str">
        <f>VLOOKUP(E1839,'HEAD OF THE FAMILY'!$B$6:$J1851,9,FALSE)</f>
        <v>#N/A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</row>
    <row r="1840">
      <c r="A1840" s="60" t="str">
        <f t="shared" si="5"/>
        <v/>
      </c>
      <c r="B1840" s="62"/>
      <c r="C1840" s="62"/>
      <c r="D1840" s="105"/>
      <c r="E1840" s="105"/>
      <c r="F1840" s="60"/>
      <c r="G1840" s="92"/>
      <c r="H1840" s="60"/>
      <c r="I1840" s="60"/>
      <c r="J1840" s="60"/>
      <c r="K1840" s="71" t="str">
        <f>VLOOKUP(E1840,'HEAD OF THE FAMILY'!$B$6:$J1851,9,FALSE)</f>
        <v>#N/A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</row>
    <row r="1841">
      <c r="A1841" s="60" t="str">
        <f t="shared" si="5"/>
        <v/>
      </c>
      <c r="B1841" s="62"/>
      <c r="C1841" s="62"/>
      <c r="D1841" s="105"/>
      <c r="E1841" s="105"/>
      <c r="F1841" s="60"/>
      <c r="G1841" s="92"/>
      <c r="H1841" s="60"/>
      <c r="I1841" s="60"/>
      <c r="J1841" s="60"/>
      <c r="K1841" s="71" t="str">
        <f>VLOOKUP(E1841,'HEAD OF THE FAMILY'!$B$6:$J1851,9,FALSE)</f>
        <v>#N/A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</row>
    <row r="1842">
      <c r="A1842" s="60" t="str">
        <f t="shared" si="5"/>
        <v/>
      </c>
      <c r="B1842" s="62"/>
      <c r="C1842" s="62"/>
      <c r="D1842" s="105"/>
      <c r="E1842" s="105"/>
      <c r="F1842" s="60"/>
      <c r="G1842" s="92"/>
      <c r="H1842" s="60"/>
      <c r="I1842" s="60"/>
      <c r="J1842" s="60"/>
      <c r="K1842" s="71" t="str">
        <f>VLOOKUP(E1842,'HEAD OF THE FAMILY'!$B$6:$J1851,9,FALSE)</f>
        <v>#N/A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</row>
    <row r="1843">
      <c r="A1843" s="60" t="str">
        <f t="shared" si="5"/>
        <v/>
      </c>
      <c r="B1843" s="62"/>
      <c r="C1843" s="62"/>
      <c r="D1843" s="105"/>
      <c r="E1843" s="105"/>
      <c r="F1843" s="60"/>
      <c r="G1843" s="92"/>
      <c r="H1843" s="60"/>
      <c r="I1843" s="60"/>
      <c r="J1843" s="60"/>
      <c r="K1843" s="71" t="str">
        <f>VLOOKUP(E1843,'HEAD OF THE FAMILY'!$B$6:$J1851,9,FALSE)</f>
        <v>#N/A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</row>
    <row r="1844">
      <c r="A1844" s="60" t="str">
        <f t="shared" si="5"/>
        <v/>
      </c>
      <c r="B1844" s="62"/>
      <c r="C1844" s="62"/>
      <c r="D1844" s="105"/>
      <c r="E1844" s="105"/>
      <c r="F1844" s="60"/>
      <c r="G1844" s="92"/>
      <c r="H1844" s="60"/>
      <c r="I1844" s="60"/>
      <c r="J1844" s="60"/>
      <c r="K1844" s="71" t="str">
        <f>VLOOKUP(E1844,'HEAD OF THE FAMILY'!$B$6:$J1851,9,FALSE)</f>
        <v>#N/A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</row>
    <row r="1845">
      <c r="A1845" s="60" t="str">
        <f t="shared" si="5"/>
        <v/>
      </c>
      <c r="B1845" s="62"/>
      <c r="C1845" s="62"/>
      <c r="D1845" s="105"/>
      <c r="E1845" s="105"/>
      <c r="F1845" s="60"/>
      <c r="G1845" s="92"/>
      <c r="H1845" s="60"/>
      <c r="I1845" s="60"/>
      <c r="J1845" s="60"/>
      <c r="K1845" s="71" t="str">
        <f>VLOOKUP(E1845,'HEAD OF THE FAMILY'!$B$6:$J1851,9,FALSE)</f>
        <v>#N/A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</row>
    <row r="1846">
      <c r="A1846" s="60" t="str">
        <f t="shared" si="5"/>
        <v/>
      </c>
      <c r="B1846" s="62"/>
      <c r="C1846" s="62"/>
      <c r="D1846" s="105"/>
      <c r="E1846" s="105"/>
      <c r="F1846" s="60"/>
      <c r="G1846" s="92"/>
      <c r="H1846" s="60"/>
      <c r="I1846" s="60"/>
      <c r="J1846" s="60"/>
      <c r="K1846" s="71" t="str">
        <f>VLOOKUP(E1846,'HEAD OF THE FAMILY'!$B$6:$J1851,9,FALSE)</f>
        <v>#N/A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</row>
    <row r="1847">
      <c r="A1847" s="60" t="str">
        <f t="shared" si="5"/>
        <v/>
      </c>
      <c r="B1847" s="62"/>
      <c r="C1847" s="62"/>
      <c r="D1847" s="105"/>
      <c r="E1847" s="105"/>
      <c r="F1847" s="60"/>
      <c r="G1847" s="92"/>
      <c r="H1847" s="60"/>
      <c r="I1847" s="60"/>
      <c r="J1847" s="60"/>
      <c r="K1847" s="71" t="str">
        <f>VLOOKUP(E1847,'HEAD OF THE FAMILY'!$B$6:$J1851,9,FALSE)</f>
        <v>#N/A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</row>
    <row r="1848">
      <c r="A1848" s="60" t="str">
        <f t="shared" si="5"/>
        <v/>
      </c>
      <c r="B1848" s="62"/>
      <c r="C1848" s="62"/>
      <c r="D1848" s="105"/>
      <c r="E1848" s="105"/>
      <c r="F1848" s="60"/>
      <c r="G1848" s="92"/>
      <c r="H1848" s="60"/>
      <c r="I1848" s="60"/>
      <c r="J1848" s="60"/>
      <c r="K1848" s="71" t="str">
        <f>VLOOKUP(E1848,'HEAD OF THE FAMILY'!$B$6:$J1851,9,FALSE)</f>
        <v>#N/A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</row>
    <row r="1849">
      <c r="A1849" s="60" t="str">
        <f t="shared" si="5"/>
        <v/>
      </c>
      <c r="B1849" s="62"/>
      <c r="C1849" s="62"/>
      <c r="D1849" s="105"/>
      <c r="E1849" s="105"/>
      <c r="F1849" s="60"/>
      <c r="G1849" s="92"/>
      <c r="H1849" s="60"/>
      <c r="I1849" s="60"/>
      <c r="J1849" s="60"/>
      <c r="K1849" s="71" t="str">
        <f>VLOOKUP(E1849,'HEAD OF THE FAMILY'!$B$6:$J1851,9,FALSE)</f>
        <v>#N/A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</row>
    <row r="1850">
      <c r="A1850" s="60" t="str">
        <f t="shared" si="5"/>
        <v/>
      </c>
      <c r="B1850" s="62"/>
      <c r="C1850" s="62"/>
      <c r="D1850" s="105"/>
      <c r="E1850" s="105"/>
      <c r="F1850" s="60"/>
      <c r="G1850" s="92"/>
      <c r="H1850" s="60"/>
      <c r="I1850" s="60"/>
      <c r="J1850" s="60"/>
      <c r="K1850" s="71" t="str">
        <f>VLOOKUP(E1850,'HEAD OF THE FAMILY'!$B$6:$J1851,9,FALSE)</f>
        <v>#N/A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</row>
    <row r="1851">
      <c r="A1851" s="60" t="str">
        <f t="shared" si="5"/>
        <v/>
      </c>
      <c r="B1851" s="62"/>
      <c r="C1851" s="62"/>
      <c r="D1851" s="105"/>
      <c r="E1851" s="105"/>
      <c r="F1851" s="60"/>
      <c r="G1851" s="92"/>
      <c r="H1851" s="60"/>
      <c r="I1851" s="60"/>
      <c r="J1851" s="60"/>
      <c r="K1851" s="71" t="str">
        <f>VLOOKUP(E1851,'HEAD OF THE FAMILY'!$B$6:$J1851,9,FALSE)</f>
        <v>#N/A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</row>
  </sheetData>
  <mergeCells count="4">
    <mergeCell ref="A1:K3"/>
    <mergeCell ref="B4:D4"/>
    <mergeCell ref="H4:I4"/>
    <mergeCell ref="K4:K5"/>
  </mergeCells>
  <dataValidations>
    <dataValidation type="list" allowBlank="1" showErrorMessage="1" sqref="E6:E1851">
      <formula1>'HEAD OF THE FAMILY'!$B$6:$B$805</formula1>
    </dataValidation>
    <dataValidation type="list" allowBlank="1" showErrorMessage="1" sqref="F6:F1381 F1383:F1851">
      <formula1>"BRGY. OFFICIALS,4PS,SOLO PARENT,PWD,KDBM,THIRD GEN"</formula1>
    </dataValidation>
    <dataValidation type="list" allowBlank="1" showErrorMessage="1" sqref="I6:I1851">
      <formula1>"ACTIVE,INACTIVE,DISEASE,UNREGISTERED"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8.88"/>
    <col customWidth="1" min="3" max="3" width="17.88"/>
    <col customWidth="1" min="4" max="4" width="16.63"/>
    <col customWidth="1" min="5" max="5" width="15.13"/>
    <col customWidth="1" min="6" max="7" width="23.25"/>
    <col customWidth="1" min="8" max="8" width="17.88"/>
    <col customWidth="1" min="9" max="9" width="16.0"/>
    <col customWidth="1" min="10" max="10" width="11.25"/>
    <col customWidth="1" min="11" max="11" width="22.63"/>
    <col customWidth="1" min="12" max="12" width="13.25"/>
    <col customWidth="1" min="14" max="14" width="22.38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6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11" t="s">
        <v>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6" t="s">
        <v>4</v>
      </c>
      <c r="C4" s="17"/>
      <c r="D4" s="19"/>
      <c r="E4" s="19"/>
      <c r="F4" s="19"/>
      <c r="G4" s="19"/>
      <c r="H4" s="2"/>
      <c r="I4" s="7"/>
      <c r="J4" s="2"/>
      <c r="K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23" t="s">
        <v>7</v>
      </c>
      <c r="C5" s="36">
        <f>COUNT('HEAD OF THE FAMILY'!A6:A1007)</f>
        <v>819</v>
      </c>
      <c r="D5" s="2"/>
      <c r="E5" s="19"/>
      <c r="F5" s="19"/>
      <c r="G5" s="19"/>
      <c r="H5" s="2"/>
      <c r="I5" s="7"/>
      <c r="J5" s="2"/>
      <c r="K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23" t="s">
        <v>23</v>
      </c>
      <c r="C6" s="47">
        <f>COUNT(CHILDREN!A6:A1007)</f>
        <v>1430</v>
      </c>
      <c r="D6" s="2"/>
      <c r="E6" s="19"/>
      <c r="F6" s="19"/>
      <c r="G6" s="19"/>
      <c r="H6" s="2"/>
      <c r="I6" s="7"/>
      <c r="J6" s="2"/>
      <c r="K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52"/>
      <c r="B7" s="55" t="s">
        <v>37</v>
      </c>
      <c r="C7" s="64">
        <f>SUM(D13:E14,D20:E21,D27:E28,D34:E35,I13:J14,I20:J21,I27:J28,I34:J35)</f>
        <v>232</v>
      </c>
      <c r="D7" s="66"/>
      <c r="E7" s="66"/>
      <c r="F7" s="66"/>
      <c r="G7" s="66"/>
      <c r="H7" s="66"/>
      <c r="I7" s="66"/>
      <c r="J7" s="66"/>
      <c r="K7" s="66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69"/>
      <c r="B8" s="70"/>
      <c r="C8" s="72"/>
      <c r="D8" s="19" t="s">
        <v>43</v>
      </c>
      <c r="E8" s="2"/>
      <c r="F8" s="2"/>
      <c r="G8" s="2"/>
      <c r="H8" s="2"/>
      <c r="I8" s="2"/>
      <c r="J8" s="2"/>
      <c r="K8" s="2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69"/>
      <c r="B9" s="16" t="s">
        <v>4</v>
      </c>
      <c r="C9" s="26"/>
      <c r="D9" s="16" t="s">
        <v>44</v>
      </c>
      <c r="E9" s="17"/>
      <c r="F9" s="19"/>
      <c r="G9" s="16" t="s">
        <v>4</v>
      </c>
      <c r="H9" s="26"/>
      <c r="I9" s="16" t="s">
        <v>44</v>
      </c>
      <c r="J9" s="17"/>
      <c r="K9" s="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69"/>
      <c r="B10" s="23" t="s">
        <v>45</v>
      </c>
      <c r="C10" s="47" t="s">
        <v>47</v>
      </c>
      <c r="D10" s="79" t="s">
        <v>48</v>
      </c>
      <c r="E10" s="80" t="s">
        <v>24</v>
      </c>
      <c r="F10" s="81"/>
      <c r="G10" s="23" t="s">
        <v>45</v>
      </c>
      <c r="H10" s="47" t="s">
        <v>51</v>
      </c>
      <c r="I10" s="79" t="s">
        <v>48</v>
      </c>
      <c r="J10" s="80" t="s">
        <v>24</v>
      </c>
      <c r="K10" s="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69"/>
      <c r="B11" s="23" t="s">
        <v>7</v>
      </c>
      <c r="C11" s="36">
        <f>COUNTIF('HEAD OF THE FAMILY'!$J$6:$J1007,C10)</f>
        <v>69</v>
      </c>
      <c r="D11" s="88">
        <f>COUNTIFS('HEAD OF THE FAMILY'!$J$6:$J1007,C10,'HEAD OF THE FAMILY'!$F$6:$F1007,$D$8)</f>
        <v>62</v>
      </c>
      <c r="E11" s="90">
        <f>COUNTIFS('HEAD OF THE FAMILY'!$J$6:$J1007,C10,'HEAD OF THE FAMILY'!$N$6:$N1007,$D$8)</f>
        <v>14</v>
      </c>
      <c r="F11" s="81"/>
      <c r="G11" s="23" t="s">
        <v>7</v>
      </c>
      <c r="H11" s="36">
        <f>COUNTIF('HEAD OF THE FAMILY'!$J$6:$J1007,H10)</f>
        <v>93</v>
      </c>
      <c r="I11" s="88">
        <f>COUNTIFS('HEAD OF THE FAMILY'!$J$6:$J1007,H10,'HEAD OF THE FAMILY'!$F$6:$F1007,$D$8)</f>
        <v>82</v>
      </c>
      <c r="J11" s="90">
        <f>COUNTIFS('HEAD OF THE FAMILY'!$J$6:$J1007,H10,'HEAD OF THE FAMILY'!$N$6:$N1007,$D$8)</f>
        <v>38</v>
      </c>
      <c r="K11" s="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69"/>
      <c r="B12" s="23" t="s">
        <v>23</v>
      </c>
      <c r="C12" s="47">
        <f>COUNTIF(CHILDREN!$K$6:$K1007,C10)</f>
        <v>102</v>
      </c>
      <c r="D12" s="88"/>
      <c r="E12" s="100"/>
      <c r="F12" s="81"/>
      <c r="G12" s="23" t="s">
        <v>23</v>
      </c>
      <c r="H12" s="47">
        <f>COUNTIF(CHILDREN!$K$6:$K1007,H10)</f>
        <v>157</v>
      </c>
      <c r="I12" s="88"/>
      <c r="J12" s="90"/>
      <c r="K12" s="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69"/>
      <c r="C13" s="23" t="s">
        <v>5</v>
      </c>
      <c r="D13" s="88">
        <f>COUNTIFS('HEAD OF THE FAMILY'!$J$6:$J1007,C10,'HEAD OF THE FAMILY'!$C$6:$C1007,C13)</f>
        <v>19</v>
      </c>
      <c r="E13" s="88">
        <f>COUNTIFS('HEAD OF THE FAMILY'!$J$6:$J1007,C10,'HEAD OF THE FAMILY'!$I$6:$I1007,C13)</f>
        <v>4</v>
      </c>
      <c r="F13" s="2"/>
      <c r="G13" s="2"/>
      <c r="H13" s="23" t="s">
        <v>5</v>
      </c>
      <c r="I13" s="88">
        <f>COUNTIFS('HEAD OF THE FAMILY'!$J$6:$J1007,H10,'HEAD OF THE FAMILY'!$C$6:$C1007,H13)</f>
        <v>25</v>
      </c>
      <c r="J13" s="88">
        <f>COUNTIFS('HEAD OF THE FAMILY'!$J$6:$J1007,H10,'HEAD OF THE FAMILY'!$I$6:$I1007,H13)</f>
        <v>6</v>
      </c>
      <c r="K13" s="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69"/>
      <c r="B14" s="72"/>
      <c r="C14" s="106" t="s">
        <v>81</v>
      </c>
      <c r="D14" s="88">
        <f>COUNTIFS('HEAD OF THE FAMILY'!$J$6:$J1007,C10,'HEAD OF THE FAMILY'!$C$6:$C1007,C14)</f>
        <v>0</v>
      </c>
      <c r="E14" s="88">
        <f>COUNTIFS('HEAD OF THE FAMILY'!$J$6:$J1007,C10,'HEAD OF THE FAMILY'!$I$6:$I1007,C14)</f>
        <v>0</v>
      </c>
      <c r="F14" s="2"/>
      <c r="G14" s="2"/>
      <c r="H14" s="106" t="s">
        <v>81</v>
      </c>
      <c r="I14" s="88">
        <f>COUNTIFS('HEAD OF THE FAMILY'!$J$6:$J1007,H10,'HEAD OF THE FAMILY'!$C$6:$C1007,H14)</f>
        <v>0</v>
      </c>
      <c r="J14" s="88">
        <f>COUNTIFS('HEAD OF THE FAMILY'!$J$6:$J1007,H10,'HEAD OF THE FAMILY'!$I$6:$I1007,H14)</f>
        <v>0</v>
      </c>
      <c r="K14" s="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69"/>
      <c r="B15" s="72"/>
      <c r="C15" s="72"/>
      <c r="D15" s="2"/>
      <c r="E15" s="2"/>
      <c r="F15" s="2"/>
      <c r="G15" s="2"/>
      <c r="H15" s="2"/>
      <c r="I15" s="2"/>
      <c r="J15" s="2"/>
      <c r="K15" s="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69"/>
      <c r="B16" s="16" t="s">
        <v>4</v>
      </c>
      <c r="C16" s="26"/>
      <c r="D16" s="16" t="s">
        <v>44</v>
      </c>
      <c r="E16" s="17"/>
      <c r="F16" s="19"/>
      <c r="G16" s="16" t="s">
        <v>4</v>
      </c>
      <c r="H16" s="26"/>
      <c r="I16" s="16" t="s">
        <v>44</v>
      </c>
      <c r="J16" s="17"/>
      <c r="K16" s="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69"/>
      <c r="B17" s="23" t="s">
        <v>45</v>
      </c>
      <c r="C17" s="47" t="s">
        <v>99</v>
      </c>
      <c r="D17" s="79" t="s">
        <v>48</v>
      </c>
      <c r="E17" s="80" t="s">
        <v>24</v>
      </c>
      <c r="F17" s="81"/>
      <c r="G17" s="23" t="s">
        <v>45</v>
      </c>
      <c r="H17" s="47" t="s">
        <v>96</v>
      </c>
      <c r="I17" s="79" t="s">
        <v>48</v>
      </c>
      <c r="J17" s="80" t="s">
        <v>24</v>
      </c>
      <c r="K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69"/>
      <c r="B18" s="23" t="s">
        <v>7</v>
      </c>
      <c r="C18" s="36">
        <f>COUNTIF('HEAD OF THE FAMILY'!$J$6:$J1007,C17)</f>
        <v>113</v>
      </c>
      <c r="D18" s="88">
        <f>COUNTIFS('HEAD OF THE FAMILY'!$J$6:$J1007,C17,'HEAD OF THE FAMILY'!$F$6:$F1007,$D$8)</f>
        <v>88</v>
      </c>
      <c r="E18" s="90">
        <f>COUNTIFS('HEAD OF THE FAMILY'!$J$6:$J1007,C17,'HEAD OF THE FAMILY'!$N$6:$N1007,$D$8)</f>
        <v>54</v>
      </c>
      <c r="F18" s="81"/>
      <c r="G18" s="23" t="s">
        <v>7</v>
      </c>
      <c r="H18" s="36">
        <f>COUNTIF('HEAD OF THE FAMILY'!$J$6:$J1007,H17)</f>
        <v>130</v>
      </c>
      <c r="I18" s="88">
        <f>COUNTIFS('HEAD OF THE FAMILY'!$J$6:$J1007,H17,'HEAD OF THE FAMILY'!$F$6:$F1007,$D$8)</f>
        <v>107</v>
      </c>
      <c r="J18" s="90">
        <f>COUNTIFS('HEAD OF THE FAMILY'!$J$6:$J1007,H17,'HEAD OF THE FAMILY'!$N$6:$N1007,$D$8)</f>
        <v>55</v>
      </c>
      <c r="K18" s="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69"/>
      <c r="B19" s="23" t="s">
        <v>23</v>
      </c>
      <c r="C19" s="47">
        <f>COUNTIF(CHILDREN!$K$6:$K1007,C17)</f>
        <v>191</v>
      </c>
      <c r="D19" s="88"/>
      <c r="E19" s="100"/>
      <c r="F19" s="81"/>
      <c r="G19" s="23" t="s">
        <v>23</v>
      </c>
      <c r="H19" s="47">
        <f>COUNTIF(CHILDREN!$K$6:$K1007,H17)</f>
        <v>191</v>
      </c>
      <c r="I19" s="88"/>
      <c r="J19" s="90"/>
      <c r="K19" s="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69"/>
      <c r="B20" s="72"/>
      <c r="C20" s="23" t="s">
        <v>5</v>
      </c>
      <c r="D20" s="88">
        <f>COUNTIFS('HEAD OF THE FAMILY'!$J$6:$J1007,C17,'HEAD OF THE FAMILY'!$C$6:$C1007,C20)</f>
        <v>29</v>
      </c>
      <c r="E20" s="88">
        <f>COUNTIFS('HEAD OF THE FAMILY'!$J$6:$J1007,C17,'HEAD OF THE FAMILY'!$I$6:$I1007,C20)</f>
        <v>10</v>
      </c>
      <c r="F20" s="2"/>
      <c r="G20" s="2"/>
      <c r="H20" s="23" t="s">
        <v>5</v>
      </c>
      <c r="I20" s="88">
        <f>COUNTIFS('HEAD OF THE FAMILY'!$J$6:$J1007,H17,'HEAD OF THE FAMILY'!$C$6:$C1007,H20)</f>
        <v>27</v>
      </c>
      <c r="J20" s="88">
        <f>COUNTIFS('HEAD OF THE FAMILY'!$J$6:$J1007,H17,'HEAD OF THE FAMILY'!$I$6:$I1007,H20)</f>
        <v>5</v>
      </c>
      <c r="K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69"/>
      <c r="B21" s="72"/>
      <c r="C21" s="106" t="s">
        <v>81</v>
      </c>
      <c r="D21" s="88">
        <f>COUNTIFS('HEAD OF THE FAMILY'!$J$6:$J1007,C17,'HEAD OF THE FAMILY'!$C$6:$C1007,C21)</f>
        <v>2</v>
      </c>
      <c r="E21" s="88">
        <f>COUNTIFS('HEAD OF THE FAMILY'!$J$6:$J1007,C17,'HEAD OF THE FAMILY'!$I$6:$I1007,C21)</f>
        <v>0</v>
      </c>
      <c r="F21" s="2"/>
      <c r="G21" s="2"/>
      <c r="H21" s="106" t="s">
        <v>81</v>
      </c>
      <c r="I21" s="88">
        <f>COUNTIFS('HEAD OF THE FAMILY'!$J$6:$J1007,H17,'HEAD OF THE FAMILY'!$C$6:$C1007,H21)</f>
        <v>1</v>
      </c>
      <c r="J21" s="88">
        <f>COUNTIFS('HEAD OF THE FAMILY'!$J$6:$J1007,H17,'HEAD OF THE FAMILY'!$I$6:$I1007,H21)</f>
        <v>0</v>
      </c>
      <c r="K21" s="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69"/>
      <c r="B22" s="72"/>
      <c r="C22" s="72"/>
      <c r="D22" s="2"/>
      <c r="E22" s="2"/>
      <c r="F22" s="2"/>
      <c r="G22" s="2"/>
      <c r="H22" s="2"/>
      <c r="I22" s="2"/>
      <c r="J22" s="2"/>
      <c r="K22" s="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69"/>
      <c r="B23" s="16" t="s">
        <v>4</v>
      </c>
      <c r="C23" s="26"/>
      <c r="D23" s="16" t="s">
        <v>44</v>
      </c>
      <c r="E23" s="17"/>
      <c r="F23" s="19"/>
      <c r="G23" s="16" t="s">
        <v>4</v>
      </c>
      <c r="H23" s="26"/>
      <c r="I23" s="16" t="s">
        <v>44</v>
      </c>
      <c r="J23" s="17"/>
      <c r="K23" s="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69"/>
      <c r="B24" s="23" t="s">
        <v>45</v>
      </c>
      <c r="C24" s="47" t="s">
        <v>55</v>
      </c>
      <c r="D24" s="79" t="s">
        <v>48</v>
      </c>
      <c r="E24" s="80" t="s">
        <v>24</v>
      </c>
      <c r="F24" s="81"/>
      <c r="G24" s="23" t="s">
        <v>45</v>
      </c>
      <c r="H24" s="47" t="s">
        <v>89</v>
      </c>
      <c r="I24" s="79" t="s">
        <v>48</v>
      </c>
      <c r="J24" s="80" t="s">
        <v>24</v>
      </c>
      <c r="K24" s="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69"/>
      <c r="B25" s="23" t="s">
        <v>7</v>
      </c>
      <c r="C25" s="36">
        <f>COUNTIF('HEAD OF THE FAMILY'!$J$6:$J1007,C24)</f>
        <v>85</v>
      </c>
      <c r="D25" s="88">
        <f>COUNTIFS('HEAD OF THE FAMILY'!$J$6:$J1007,C24,'HEAD OF THE FAMILY'!$F$6:$F1007,$D$8)</f>
        <v>65</v>
      </c>
      <c r="E25" s="90">
        <f>COUNTIFS('HEAD OF THE FAMILY'!$J$6:$J1007,C24,'HEAD OF THE FAMILY'!$N$6:$N1007,$D$8)</f>
        <v>37</v>
      </c>
      <c r="F25" s="81"/>
      <c r="G25" s="23" t="s">
        <v>7</v>
      </c>
      <c r="H25" s="36">
        <f>COUNTIF('HEAD OF THE FAMILY'!$J$6:$J1007,H24)</f>
        <v>133</v>
      </c>
      <c r="I25" s="88">
        <f>COUNTIFS('HEAD OF THE FAMILY'!$J$6:$J1007,H24,'HEAD OF THE FAMILY'!$F$6:$F1007,$D$8)</f>
        <v>110</v>
      </c>
      <c r="J25" s="90">
        <f>COUNTIFS('HEAD OF THE FAMILY'!$J$6:$J1007,H24,'HEAD OF THE FAMILY'!$N$6:$N1007,$D$8)</f>
        <v>56</v>
      </c>
      <c r="K25" s="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69"/>
      <c r="B26" s="23" t="s">
        <v>23</v>
      </c>
      <c r="C26" s="47">
        <f>COUNTIF(CHILDREN!$K$6:$K1007,C24)</f>
        <v>154</v>
      </c>
      <c r="D26" s="88"/>
      <c r="E26" s="100"/>
      <c r="F26" s="81"/>
      <c r="G26" s="23" t="s">
        <v>23</v>
      </c>
      <c r="H26" s="47">
        <f>COUNTIF(CHILDREN!$K$6:$K1007,H24)</f>
        <v>242</v>
      </c>
      <c r="I26" s="88"/>
      <c r="J26" s="90"/>
      <c r="K26" s="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69"/>
      <c r="B27" s="72"/>
      <c r="C27" s="23" t="s">
        <v>5</v>
      </c>
      <c r="D27" s="88">
        <f>COUNTIFS('HEAD OF THE FAMILY'!$J$6:$J1007,C24,'HEAD OF THE FAMILY'!$C$6:$C1007,C27)</f>
        <v>14</v>
      </c>
      <c r="E27" s="88">
        <f>COUNTIFS('HEAD OF THE FAMILY'!$J$6:$J1007,C24,'HEAD OF THE FAMILY'!$I$6:$I1007,C27)</f>
        <v>4</v>
      </c>
      <c r="F27" s="2"/>
      <c r="G27" s="2"/>
      <c r="H27" s="23" t="s">
        <v>5</v>
      </c>
      <c r="I27" s="88">
        <f>COUNTIFS('HEAD OF THE FAMILY'!$J$6:$J1007,H24,'HEAD OF THE FAMILY'!$C$6:$C1007,H27)</f>
        <v>27</v>
      </c>
      <c r="J27" s="88">
        <f>COUNTIFS('HEAD OF THE FAMILY'!$J$6:$J1007,H24,'HEAD OF THE FAMILY'!$I$6:$I1007,H27)</f>
        <v>6</v>
      </c>
      <c r="K27" s="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69"/>
      <c r="B28" s="72"/>
      <c r="C28" s="106" t="s">
        <v>81</v>
      </c>
      <c r="D28" s="88">
        <f>COUNTIFS('HEAD OF THE FAMILY'!$J$6:$J1007,C24,'HEAD OF THE FAMILY'!$C$6:$C1007,C28)</f>
        <v>0</v>
      </c>
      <c r="E28" s="88">
        <f>COUNTIFS('HEAD OF THE FAMILY'!$J$6:$J1007,C24,'HEAD OF THE FAMILY'!$I$6:$I1007,C28)</f>
        <v>0</v>
      </c>
      <c r="F28" s="2"/>
      <c r="G28" s="2"/>
      <c r="H28" s="106" t="s">
        <v>81</v>
      </c>
      <c r="I28" s="88">
        <f>COUNTIFS('HEAD OF THE FAMILY'!$J$6:$J1007,H24,'HEAD OF THE FAMILY'!$C$6:$C1007,H28)</f>
        <v>1</v>
      </c>
      <c r="J28" s="88">
        <f>COUNTIFS('HEAD OF THE FAMILY'!$J$6:$J1007,H24,'HEAD OF THE FAMILY'!$I$6:$I1007,H28)</f>
        <v>2</v>
      </c>
      <c r="K28" s="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69"/>
      <c r="B29" s="72"/>
      <c r="C29" s="72"/>
      <c r="D29" s="2"/>
      <c r="E29" s="2"/>
      <c r="F29" s="2"/>
      <c r="G29" s="2"/>
      <c r="H29" s="2"/>
      <c r="I29" s="2"/>
      <c r="J29" s="2"/>
      <c r="K29" s="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69"/>
      <c r="B30" s="16" t="s">
        <v>4</v>
      </c>
      <c r="C30" s="26"/>
      <c r="D30" s="16" t="s">
        <v>44</v>
      </c>
      <c r="E30" s="17"/>
      <c r="F30" s="19"/>
      <c r="G30" s="16" t="s">
        <v>4</v>
      </c>
      <c r="H30" s="26"/>
      <c r="I30" s="16" t="s">
        <v>44</v>
      </c>
      <c r="J30" s="17"/>
      <c r="K30" s="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69"/>
      <c r="B31" s="23" t="s">
        <v>45</v>
      </c>
      <c r="C31" s="47" t="s">
        <v>68</v>
      </c>
      <c r="D31" s="79" t="s">
        <v>48</v>
      </c>
      <c r="E31" s="80" t="s">
        <v>24</v>
      </c>
      <c r="F31" s="81"/>
      <c r="G31" s="23" t="s">
        <v>45</v>
      </c>
      <c r="H31" s="47" t="s">
        <v>174</v>
      </c>
      <c r="I31" s="79" t="s">
        <v>48</v>
      </c>
      <c r="J31" s="80" t="s">
        <v>24</v>
      </c>
      <c r="K31" s="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69"/>
      <c r="B32" s="23" t="s">
        <v>7</v>
      </c>
      <c r="C32" s="36">
        <f>COUNTIF('HEAD OF THE FAMILY'!$J$6:$J1007,C31)</f>
        <v>129</v>
      </c>
      <c r="D32" s="88">
        <f>COUNTIFS('HEAD OF THE FAMILY'!$J$6:$J1007,C31,'HEAD OF THE FAMILY'!$F$6:$F1007,$D$8)</f>
        <v>108</v>
      </c>
      <c r="E32" s="90">
        <f>COUNTIFS('HEAD OF THE FAMILY'!$J$6:$J1007,C31,'HEAD OF THE FAMILY'!$N$6:$N1007,$D$8)</f>
        <v>49</v>
      </c>
      <c r="F32" s="81"/>
      <c r="G32" s="23" t="s">
        <v>7</v>
      </c>
      <c r="H32" s="36">
        <f>COUNTIF('HEAD OF THE FAMILY'!$J$6:$J1007,H31)</f>
        <v>66</v>
      </c>
      <c r="I32" s="88">
        <f>COUNTIFS('HEAD OF THE FAMILY'!$J$6:$J1007,H31,'HEAD OF THE FAMILY'!$F$6:$F1007,$D$8)</f>
        <v>52</v>
      </c>
      <c r="J32" s="90">
        <f>COUNTIFS('HEAD OF THE FAMILY'!$J$6:$J1007,H31,'HEAD OF THE FAMILY'!$N$6:$N1007,$D$8)</f>
        <v>25</v>
      </c>
      <c r="K32" s="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69"/>
      <c r="B33" s="23" t="s">
        <v>23</v>
      </c>
      <c r="C33" s="47">
        <f>COUNTIF(CHILDREN!$K$6:$K1007,C31)</f>
        <v>224</v>
      </c>
      <c r="D33" s="88"/>
      <c r="E33" s="100"/>
      <c r="F33" s="81"/>
      <c r="G33" s="23" t="s">
        <v>23</v>
      </c>
      <c r="H33" s="47">
        <f>COUNTIF(CHILDREN!$K$6:$K1007,H31)</f>
        <v>118</v>
      </c>
      <c r="I33" s="88"/>
      <c r="J33" s="90"/>
      <c r="K33" s="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69"/>
      <c r="B34" s="72"/>
      <c r="C34" s="23" t="s">
        <v>5</v>
      </c>
      <c r="D34" s="88">
        <f>COUNTIFS('HEAD OF THE FAMILY'!$J$6:$J1007,C31,'HEAD OF THE FAMILY'!$C$6:$C1007,C34)</f>
        <v>23</v>
      </c>
      <c r="E34" s="88">
        <f>COUNTIFS('HEAD OF THE FAMILY'!$J$6:$J1007,C31,'HEAD OF THE FAMILY'!$I$6:$I1007,C34)</f>
        <v>6</v>
      </c>
      <c r="F34" s="2"/>
      <c r="G34" s="2"/>
      <c r="H34" s="23" t="s">
        <v>5</v>
      </c>
      <c r="I34" s="88">
        <f>COUNTIFS('HEAD OF THE FAMILY'!$J$6:$J1007,H31,'HEAD OF THE FAMILY'!$C$6:$C1007,H34)</f>
        <v>16</v>
      </c>
      <c r="J34" s="88">
        <f>COUNTIFS('HEAD OF THE FAMILY'!$J$6:$J1007,H31,'HEAD OF THE FAMILY'!$I$6:$I1007,H34)</f>
        <v>5</v>
      </c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69"/>
      <c r="B35" s="72"/>
      <c r="C35" s="106" t="s">
        <v>81</v>
      </c>
      <c r="D35" s="88">
        <f>COUNTIFS('HEAD OF THE FAMILY'!$J$6:$J1007,C31,'HEAD OF THE FAMILY'!$C$6:$C1007,C35)</f>
        <v>0</v>
      </c>
      <c r="E35" s="88">
        <f>COUNTIFS('HEAD OF THE FAMILY'!$J$6:$J1007,C31,'HEAD OF THE FAMILY'!$I$6:$I1007,C35)</f>
        <v>0</v>
      </c>
      <c r="F35" s="2"/>
      <c r="G35" s="2"/>
      <c r="H35" s="106" t="s">
        <v>81</v>
      </c>
      <c r="I35" s="88">
        <f>COUNTIFS('HEAD OF THE FAMILY'!$J$6:$J1007,H31,'HEAD OF THE FAMILY'!$C$6:$C1007,H35)</f>
        <v>0</v>
      </c>
      <c r="J35" s="88">
        <f>COUNTIFS('HEAD OF THE FAMILY'!$J$6:$J1007,H31,'HEAD OF THE FAMILY'!$I$6:$I1007,H35)</f>
        <v>0</v>
      </c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69"/>
      <c r="B36" s="72"/>
      <c r="C36" s="7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69"/>
      <c r="B37" s="72"/>
      <c r="C37" s="72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69"/>
      <c r="B38" s="72"/>
      <c r="C38" s="7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69"/>
      <c r="B39" s="72"/>
      <c r="C39" s="7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69"/>
      <c r="B40" s="72"/>
      <c r="C40" s="7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69"/>
      <c r="B41" s="72"/>
      <c r="C41" s="7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69"/>
      <c r="B42" s="72"/>
      <c r="C42" s="7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69"/>
      <c r="B43" s="72"/>
      <c r="C43" s="72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69"/>
      <c r="B44" s="72"/>
      <c r="C44" s="7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69"/>
      <c r="B45" s="72"/>
      <c r="C45" s="7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69"/>
      <c r="B46" s="72"/>
      <c r="C46" s="7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69"/>
      <c r="B47" s="72"/>
      <c r="C47" s="7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69"/>
      <c r="B48" s="72"/>
      <c r="C48" s="7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69"/>
      <c r="B49" s="72"/>
      <c r="C49" s="7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69"/>
      <c r="B50" s="72"/>
      <c r="C50" s="7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69"/>
      <c r="B51" s="72"/>
      <c r="C51" s="7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69"/>
      <c r="B52" s="72"/>
      <c r="C52" s="7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69"/>
      <c r="B53" s="72"/>
      <c r="C53" s="7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69"/>
      <c r="B54" s="72"/>
      <c r="C54" s="7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69"/>
      <c r="B55" s="72"/>
      <c r="C55" s="7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69"/>
      <c r="B56" s="72"/>
      <c r="C56" s="7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69"/>
      <c r="B57" s="72"/>
      <c r="C57" s="7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69"/>
      <c r="B58" s="72"/>
      <c r="C58" s="72"/>
      <c r="D58" s="2"/>
      <c r="E58" s="2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69"/>
      <c r="B59" s="72"/>
      <c r="C59" s="72"/>
      <c r="D59" s="2"/>
      <c r="E59" s="2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69"/>
      <c r="B60" s="72"/>
      <c r="C60" s="72"/>
      <c r="D60" s="2"/>
      <c r="E60" s="2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69"/>
      <c r="B61" s="72"/>
      <c r="C61" s="72"/>
      <c r="D61" s="2"/>
      <c r="E61" s="2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69"/>
      <c r="B62" s="72"/>
      <c r="C62" s="72"/>
      <c r="D62" s="2"/>
      <c r="E62" s="2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69"/>
      <c r="B63" s="72"/>
      <c r="C63" s="72"/>
      <c r="D63" s="2"/>
      <c r="E63" s="2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69"/>
      <c r="B64" s="72"/>
      <c r="C64" s="72"/>
      <c r="D64" s="2"/>
      <c r="E64" s="2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69"/>
      <c r="B65" s="72"/>
      <c r="C65" s="72"/>
      <c r="D65" s="2"/>
      <c r="E65" s="2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69"/>
      <c r="B66" s="72"/>
      <c r="C66" s="72"/>
      <c r="D66" s="2"/>
      <c r="E66" s="2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69"/>
      <c r="B67" s="72"/>
      <c r="C67" s="72"/>
      <c r="D67" s="2"/>
      <c r="E67" s="2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69"/>
      <c r="B68" s="72"/>
      <c r="C68" s="72"/>
      <c r="D68" s="2"/>
      <c r="E68" s="2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69"/>
      <c r="B69" s="72"/>
      <c r="C69" s="7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69"/>
      <c r="B70" s="72"/>
      <c r="C70" s="72"/>
      <c r="D70" s="2"/>
      <c r="E70" s="2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69"/>
      <c r="B71" s="72"/>
      <c r="C71" s="72"/>
      <c r="D71" s="2"/>
      <c r="E71" s="2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69"/>
      <c r="B72" s="72"/>
      <c r="C72" s="72"/>
      <c r="D72" s="2"/>
      <c r="E72" s="2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69"/>
      <c r="B73" s="72"/>
      <c r="C73" s="72"/>
      <c r="D73" s="2"/>
      <c r="E73" s="2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69"/>
      <c r="B74" s="72"/>
      <c r="C74" s="72"/>
      <c r="D74" s="2"/>
      <c r="E74" s="2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69"/>
      <c r="B75" s="72"/>
      <c r="C75" s="72"/>
      <c r="D75" s="2"/>
      <c r="E75" s="2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69"/>
      <c r="B76" s="72"/>
      <c r="C76" s="72"/>
      <c r="D76" s="2"/>
      <c r="E76" s="2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69"/>
      <c r="B77" s="72"/>
      <c r="C77" s="72"/>
      <c r="D77" s="2"/>
      <c r="E77" s="2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69"/>
      <c r="B78" s="72"/>
      <c r="C78" s="72"/>
      <c r="D78" s="2"/>
      <c r="E78" s="2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69"/>
      <c r="B79" s="72"/>
      <c r="C79" s="72"/>
      <c r="D79" s="2"/>
      <c r="E79" s="2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69"/>
      <c r="B80" s="72"/>
      <c r="C80" s="72"/>
      <c r="D80" s="2"/>
      <c r="E80" s="2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69"/>
      <c r="B81" s="72"/>
      <c r="C81" s="72"/>
      <c r="D81" s="2"/>
      <c r="E81" s="2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69"/>
      <c r="B82" s="72"/>
      <c r="C82" s="72"/>
      <c r="D82" s="2"/>
      <c r="E82" s="2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69"/>
      <c r="B83" s="72"/>
      <c r="C83" s="72"/>
      <c r="D83" s="2"/>
      <c r="E83" s="2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69"/>
      <c r="B84" s="72"/>
      <c r="C84" s="72"/>
      <c r="D84" s="2"/>
      <c r="E84" s="2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69"/>
      <c r="B85" s="72"/>
      <c r="C85" s="72"/>
      <c r="D85" s="2"/>
      <c r="E85" s="2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69"/>
      <c r="B86" s="72"/>
      <c r="C86" s="72"/>
      <c r="D86" s="2"/>
      <c r="E86" s="2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69"/>
      <c r="B87" s="72"/>
      <c r="C87" s="72"/>
      <c r="D87" s="2"/>
      <c r="E87" s="2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69"/>
      <c r="B88" s="72"/>
      <c r="C88" s="72"/>
      <c r="D88" s="2"/>
      <c r="E88" s="2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69"/>
      <c r="B89" s="72"/>
      <c r="C89" s="72"/>
      <c r="D89" s="2"/>
      <c r="E89" s="2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69"/>
      <c r="B90" s="72"/>
      <c r="C90" s="72"/>
      <c r="D90" s="2"/>
      <c r="E90" s="2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69"/>
      <c r="B91" s="72"/>
      <c r="C91" s="72"/>
      <c r="D91" s="2"/>
      <c r="E91" s="2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69"/>
      <c r="B92" s="72"/>
      <c r="C92" s="72"/>
      <c r="D92" s="2"/>
      <c r="E92" s="2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69"/>
      <c r="B93" s="72"/>
      <c r="C93" s="72"/>
      <c r="D93" s="2"/>
      <c r="E93" s="2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69"/>
      <c r="B94" s="72"/>
      <c r="C94" s="72"/>
      <c r="D94" s="2"/>
      <c r="E94" s="2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69"/>
      <c r="B95" s="72"/>
      <c r="C95" s="72"/>
      <c r="D95" s="2"/>
      <c r="E95" s="2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69"/>
      <c r="B96" s="72"/>
      <c r="C96" s="72"/>
      <c r="D96" s="2"/>
      <c r="E96" s="2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69"/>
      <c r="B97" s="72"/>
      <c r="C97" s="72"/>
      <c r="D97" s="2"/>
      <c r="E97" s="2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69"/>
      <c r="B98" s="72"/>
      <c r="C98" s="72"/>
      <c r="D98" s="2"/>
      <c r="E98" s="2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69"/>
      <c r="B99" s="72"/>
      <c r="C99" s="72"/>
      <c r="D99" s="2"/>
      <c r="E99" s="2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69"/>
      <c r="B100" s="72"/>
      <c r="C100" s="7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69"/>
      <c r="B101" s="72"/>
      <c r="C101" s="7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69"/>
      <c r="B102" s="72"/>
      <c r="C102" s="7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69"/>
      <c r="B103" s="72"/>
      <c r="C103" s="7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69"/>
      <c r="B104" s="72"/>
      <c r="C104" s="7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69"/>
      <c r="B105" s="72"/>
      <c r="C105" s="7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69"/>
      <c r="B106" s="72"/>
      <c r="C106" s="7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69"/>
      <c r="B107" s="72"/>
      <c r="C107" s="7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69"/>
      <c r="B108" s="72"/>
      <c r="C108" s="7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69"/>
      <c r="B109" s="72"/>
      <c r="C109" s="7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69"/>
      <c r="B110" s="72"/>
      <c r="C110" s="7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69"/>
      <c r="B111" s="72"/>
      <c r="C111" s="7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69"/>
      <c r="B112" s="72"/>
      <c r="C112" s="7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69"/>
      <c r="B113" s="72"/>
      <c r="C113" s="7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69"/>
      <c r="B114" s="72"/>
      <c r="C114" s="7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69"/>
      <c r="B115" s="72"/>
      <c r="C115" s="7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69"/>
      <c r="B116" s="72"/>
      <c r="C116" s="7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69"/>
      <c r="B117" s="72"/>
      <c r="C117" s="7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69"/>
      <c r="B118" s="72"/>
      <c r="C118" s="7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69"/>
      <c r="B119" s="72"/>
      <c r="C119" s="7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69"/>
      <c r="B120" s="72"/>
      <c r="C120" s="7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69"/>
      <c r="B121" s="72"/>
      <c r="C121" s="7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69"/>
      <c r="B122" s="72"/>
      <c r="C122" s="7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69"/>
      <c r="B123" s="72"/>
      <c r="C123" s="7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69"/>
      <c r="B124" s="72"/>
      <c r="C124" s="7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69"/>
      <c r="B125" s="72"/>
      <c r="C125" s="7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69"/>
      <c r="B126" s="72"/>
      <c r="C126" s="7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69"/>
      <c r="B127" s="72"/>
      <c r="C127" s="7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69"/>
      <c r="B128" s="72"/>
      <c r="C128" s="7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69"/>
      <c r="B129" s="72"/>
      <c r="C129" s="7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69"/>
      <c r="B130" s="72"/>
      <c r="C130" s="7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69"/>
      <c r="B131" s="72"/>
      <c r="C131" s="7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69"/>
      <c r="B132" s="72"/>
      <c r="C132" s="7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69"/>
      <c r="B133" s="72"/>
      <c r="C133" s="7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69"/>
      <c r="B134" s="72"/>
      <c r="C134" s="7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69"/>
      <c r="B135" s="72"/>
      <c r="C135" s="7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69"/>
      <c r="B136" s="72"/>
      <c r="C136" s="7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69"/>
      <c r="B137" s="72"/>
      <c r="C137" s="7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69"/>
      <c r="B138" s="72"/>
      <c r="C138" s="7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69"/>
      <c r="B139" s="72"/>
      <c r="C139" s="7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69"/>
      <c r="B140" s="72"/>
      <c r="C140" s="7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69"/>
      <c r="B141" s="72"/>
      <c r="C141" s="7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69"/>
      <c r="B142" s="72"/>
      <c r="C142" s="7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69"/>
      <c r="B143" s="72"/>
      <c r="C143" s="7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69"/>
      <c r="B144" s="72"/>
      <c r="C144" s="7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69"/>
      <c r="B145" s="72"/>
      <c r="C145" s="7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69"/>
      <c r="B146" s="72"/>
      <c r="C146" s="7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69"/>
      <c r="B147" s="72"/>
      <c r="C147" s="7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69"/>
      <c r="B148" s="72"/>
      <c r="C148" s="7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69"/>
      <c r="B149" s="72"/>
      <c r="C149" s="7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69"/>
      <c r="B150" s="72"/>
      <c r="C150" s="7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69"/>
      <c r="B151" s="72"/>
      <c r="C151" s="7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69"/>
      <c r="B152" s="72"/>
      <c r="C152" s="7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69"/>
      <c r="B153" s="72"/>
      <c r="C153" s="7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69"/>
      <c r="B154" s="72"/>
      <c r="C154" s="7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69"/>
      <c r="B155" s="72"/>
      <c r="C155" s="7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69"/>
      <c r="B156" s="72"/>
      <c r="C156" s="7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69"/>
      <c r="B157" s="72"/>
      <c r="C157" s="7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69"/>
      <c r="B158" s="72"/>
      <c r="C158" s="7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69"/>
      <c r="B159" s="72"/>
      <c r="C159" s="7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69"/>
      <c r="B160" s="72"/>
      <c r="C160" s="7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69"/>
      <c r="B161" s="72"/>
      <c r="C161" s="7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69"/>
      <c r="B162" s="72"/>
      <c r="C162" s="7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69"/>
      <c r="B163" s="72"/>
      <c r="C163" s="7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69"/>
      <c r="B164" s="72"/>
      <c r="C164" s="7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69"/>
      <c r="B165" s="72"/>
      <c r="C165" s="7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69"/>
      <c r="B166" s="72"/>
      <c r="C166" s="7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69"/>
      <c r="B167" s="72"/>
      <c r="C167" s="7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69"/>
      <c r="B168" s="72"/>
      <c r="C168" s="7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69"/>
      <c r="B169" s="72"/>
      <c r="C169" s="7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69"/>
      <c r="B170" s="72"/>
      <c r="C170" s="7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69"/>
      <c r="B171" s="72"/>
      <c r="C171" s="7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69"/>
      <c r="B172" s="72"/>
      <c r="C172" s="7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69"/>
      <c r="B173" s="72"/>
      <c r="C173" s="7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69"/>
      <c r="B174" s="72"/>
      <c r="C174" s="7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69"/>
      <c r="B175" s="72"/>
      <c r="C175" s="7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69"/>
      <c r="B176" s="72"/>
      <c r="C176" s="7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69"/>
      <c r="B177" s="72"/>
      <c r="C177" s="7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69"/>
      <c r="B178" s="72"/>
      <c r="C178" s="7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69"/>
      <c r="B179" s="72"/>
      <c r="C179" s="7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69"/>
      <c r="B180" s="72"/>
      <c r="C180" s="7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69"/>
      <c r="B181" s="72"/>
      <c r="C181" s="7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69"/>
      <c r="B182" s="72"/>
      <c r="C182" s="7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69"/>
      <c r="B183" s="72"/>
      <c r="C183" s="7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69"/>
      <c r="B184" s="72"/>
      <c r="C184" s="7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69"/>
      <c r="B185" s="72"/>
      <c r="C185" s="7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69"/>
      <c r="B186" s="72"/>
      <c r="C186" s="7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69"/>
      <c r="B187" s="72"/>
      <c r="C187" s="7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69"/>
      <c r="B188" s="72"/>
      <c r="C188" s="7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69"/>
      <c r="B189" s="72"/>
      <c r="C189" s="7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69"/>
      <c r="B190" s="72"/>
      <c r="C190" s="7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69"/>
      <c r="B191" s="72"/>
      <c r="C191" s="7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69"/>
      <c r="B192" s="72"/>
      <c r="C192" s="7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69"/>
      <c r="B193" s="72"/>
      <c r="C193" s="7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69"/>
      <c r="B194" s="72"/>
      <c r="C194" s="7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69"/>
      <c r="B195" s="72"/>
      <c r="C195" s="7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69"/>
      <c r="B196" s="72"/>
      <c r="C196" s="7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69"/>
      <c r="B197" s="72"/>
      <c r="C197" s="7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69"/>
      <c r="B198" s="72"/>
      <c r="C198" s="7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69"/>
      <c r="B199" s="72"/>
      <c r="C199" s="7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69"/>
      <c r="B200" s="72"/>
      <c r="C200" s="7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69"/>
      <c r="B201" s="72"/>
      <c r="C201" s="7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69"/>
      <c r="B202" s="72"/>
      <c r="C202" s="7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69"/>
      <c r="B203" s="72"/>
      <c r="C203" s="7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69"/>
      <c r="B204" s="72"/>
      <c r="C204" s="7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69"/>
      <c r="B205" s="72"/>
      <c r="C205" s="7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69"/>
      <c r="B206" s="72"/>
      <c r="C206" s="7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69"/>
      <c r="B207" s="72"/>
      <c r="C207" s="7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69"/>
      <c r="B208" s="72"/>
      <c r="C208" s="7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69"/>
      <c r="B209" s="72"/>
      <c r="C209" s="7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69"/>
      <c r="B210" s="72"/>
      <c r="C210" s="7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69"/>
      <c r="B211" s="72"/>
      <c r="C211" s="7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69"/>
      <c r="B212" s="72"/>
      <c r="C212" s="7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69"/>
      <c r="B213" s="72"/>
      <c r="C213" s="7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69"/>
      <c r="B214" s="72"/>
      <c r="C214" s="7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69"/>
      <c r="B215" s="72"/>
      <c r="C215" s="7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69"/>
      <c r="B216" s="72"/>
      <c r="C216" s="7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69"/>
      <c r="B217" s="72"/>
      <c r="C217" s="7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69"/>
      <c r="B218" s="72"/>
      <c r="C218" s="7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69"/>
      <c r="B219" s="72"/>
      <c r="C219" s="7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69"/>
      <c r="B220" s="72"/>
      <c r="C220" s="7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69"/>
      <c r="B221" s="72"/>
      <c r="C221" s="7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69"/>
      <c r="B222" s="72"/>
      <c r="C222" s="7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69"/>
      <c r="B223" s="72"/>
      <c r="C223" s="7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69"/>
      <c r="B224" s="72"/>
      <c r="C224" s="7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69"/>
      <c r="B225" s="72"/>
      <c r="C225" s="7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69"/>
      <c r="B226" s="72"/>
      <c r="C226" s="7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69"/>
      <c r="B227" s="72"/>
      <c r="C227" s="7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69"/>
      <c r="B228" s="72"/>
      <c r="C228" s="7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69"/>
      <c r="B229" s="72"/>
      <c r="C229" s="7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69"/>
      <c r="B230" s="72"/>
      <c r="C230" s="7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69"/>
      <c r="B231" s="72"/>
      <c r="C231" s="7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69"/>
      <c r="B232" s="72"/>
      <c r="C232" s="7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69"/>
      <c r="B233" s="72"/>
      <c r="C233" s="7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69"/>
      <c r="B234" s="72"/>
      <c r="C234" s="7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69"/>
      <c r="B235" s="72"/>
      <c r="C235" s="7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69"/>
      <c r="B236" s="72"/>
      <c r="C236" s="7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69"/>
      <c r="B237" s="72"/>
      <c r="C237" s="7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69"/>
      <c r="B238" s="72"/>
      <c r="C238" s="7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69"/>
      <c r="B239" s="72"/>
      <c r="C239" s="7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69"/>
      <c r="B240" s="72"/>
      <c r="C240" s="7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69"/>
      <c r="B241" s="72"/>
      <c r="C241" s="7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69"/>
      <c r="B242" s="72"/>
      <c r="C242" s="7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69"/>
      <c r="B243" s="72"/>
      <c r="C243" s="7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69"/>
      <c r="B244" s="72"/>
      <c r="C244" s="7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69"/>
      <c r="B245" s="72"/>
      <c r="C245" s="7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69"/>
      <c r="B246" s="72"/>
      <c r="C246" s="7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69"/>
      <c r="B247" s="72"/>
      <c r="C247" s="7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69"/>
      <c r="B248" s="72"/>
      <c r="C248" s="7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69"/>
      <c r="B249" s="72"/>
      <c r="C249" s="7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69"/>
      <c r="B250" s="72"/>
      <c r="C250" s="7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69"/>
      <c r="B251" s="72"/>
      <c r="C251" s="7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69"/>
      <c r="B252" s="72"/>
      <c r="C252" s="7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69"/>
      <c r="B253" s="72"/>
      <c r="C253" s="7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69"/>
      <c r="B254" s="72"/>
      <c r="C254" s="7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69"/>
      <c r="B255" s="72"/>
      <c r="C255" s="7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69"/>
      <c r="B256" s="72"/>
      <c r="C256" s="7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69"/>
      <c r="B257" s="72"/>
      <c r="C257" s="7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69"/>
      <c r="B258" s="72"/>
      <c r="C258" s="7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69"/>
      <c r="B259" s="72"/>
      <c r="C259" s="7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69"/>
      <c r="B260" s="72"/>
      <c r="C260" s="7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69"/>
      <c r="B261" s="72"/>
      <c r="C261" s="7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69"/>
      <c r="B262" s="72"/>
      <c r="C262" s="7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69"/>
      <c r="B263" s="72"/>
      <c r="C263" s="7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69"/>
      <c r="B264" s="72"/>
      <c r="C264" s="7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69"/>
      <c r="B265" s="72"/>
      <c r="C265" s="7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69"/>
      <c r="B266" s="72"/>
      <c r="C266" s="7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69"/>
      <c r="B267" s="72"/>
      <c r="C267" s="7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69"/>
      <c r="B268" s="72"/>
      <c r="C268" s="7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69"/>
      <c r="B269" s="72"/>
      <c r="C269" s="7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69"/>
      <c r="B270" s="72"/>
      <c r="C270" s="7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69"/>
      <c r="B271" s="72"/>
      <c r="C271" s="7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69"/>
      <c r="B272" s="72"/>
      <c r="C272" s="7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69"/>
      <c r="B273" s="72"/>
      <c r="C273" s="7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69"/>
      <c r="B274" s="72"/>
      <c r="C274" s="7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69"/>
      <c r="B275" s="72"/>
      <c r="C275" s="7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69"/>
      <c r="B276" s="72"/>
      <c r="C276" s="7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69"/>
      <c r="B277" s="72"/>
      <c r="C277" s="7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69"/>
      <c r="B278" s="72"/>
      <c r="C278" s="7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69"/>
      <c r="B279" s="72"/>
      <c r="C279" s="7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69"/>
      <c r="B280" s="72"/>
      <c r="C280" s="7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69"/>
      <c r="B281" s="72"/>
      <c r="C281" s="7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69"/>
      <c r="B282" s="72"/>
      <c r="C282" s="7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69"/>
      <c r="B283" s="72"/>
      <c r="C283" s="7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69"/>
      <c r="B284" s="72"/>
      <c r="C284" s="7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69"/>
      <c r="B285" s="72"/>
      <c r="C285" s="7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69"/>
      <c r="B286" s="72"/>
      <c r="C286" s="7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69"/>
      <c r="B287" s="72"/>
      <c r="C287" s="7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69"/>
      <c r="B288" s="72"/>
      <c r="C288" s="7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69"/>
      <c r="B289" s="72"/>
      <c r="C289" s="7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69"/>
      <c r="B290" s="72"/>
      <c r="C290" s="7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69"/>
      <c r="B291" s="72"/>
      <c r="C291" s="7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69"/>
      <c r="B292" s="72"/>
      <c r="C292" s="7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69"/>
      <c r="B293" s="72"/>
      <c r="C293" s="7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69"/>
      <c r="B294" s="72"/>
      <c r="C294" s="7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69"/>
      <c r="B295" s="72"/>
      <c r="C295" s="7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69"/>
      <c r="B296" s="72"/>
      <c r="C296" s="7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69"/>
      <c r="B297" s="72"/>
      <c r="C297" s="7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69"/>
      <c r="B298" s="72"/>
      <c r="C298" s="7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69"/>
      <c r="B299" s="72"/>
      <c r="C299" s="7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69"/>
      <c r="B300" s="72"/>
      <c r="C300" s="7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69"/>
      <c r="B301" s="72"/>
      <c r="C301" s="7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69"/>
      <c r="B302" s="72"/>
      <c r="C302" s="7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69"/>
      <c r="B303" s="72"/>
      <c r="C303" s="7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69"/>
      <c r="B304" s="72"/>
      <c r="C304" s="7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69"/>
      <c r="B305" s="72"/>
      <c r="C305" s="7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69"/>
      <c r="B306" s="72"/>
      <c r="C306" s="7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69"/>
      <c r="B307" s="72"/>
      <c r="C307" s="7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69"/>
      <c r="B308" s="72"/>
      <c r="C308" s="7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69"/>
      <c r="B309" s="72"/>
      <c r="C309" s="7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69"/>
      <c r="B310" s="72"/>
      <c r="C310" s="7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69"/>
      <c r="B311" s="72"/>
      <c r="C311" s="7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69"/>
      <c r="B312" s="72"/>
      <c r="C312" s="7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69"/>
      <c r="B313" s="72"/>
      <c r="C313" s="7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69"/>
      <c r="B314" s="72"/>
      <c r="C314" s="7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69"/>
      <c r="B315" s="72"/>
      <c r="C315" s="7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69"/>
      <c r="B316" s="72"/>
      <c r="C316" s="7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69"/>
      <c r="B317" s="72"/>
      <c r="C317" s="7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69"/>
      <c r="B318" s="72"/>
      <c r="C318" s="7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69"/>
      <c r="B319" s="72"/>
      <c r="C319" s="7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69"/>
      <c r="B320" s="72"/>
      <c r="C320" s="7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69"/>
      <c r="B321" s="72"/>
      <c r="C321" s="7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69"/>
      <c r="B322" s="72"/>
      <c r="C322" s="7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69"/>
      <c r="B323" s="72"/>
      <c r="C323" s="7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69"/>
      <c r="B324" s="72"/>
      <c r="C324" s="7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69"/>
      <c r="B325" s="72"/>
      <c r="C325" s="7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69"/>
      <c r="B326" s="72"/>
      <c r="C326" s="7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69"/>
      <c r="B327" s="72"/>
      <c r="C327" s="7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69"/>
      <c r="B328" s="72"/>
      <c r="C328" s="7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69"/>
      <c r="B329" s="72"/>
      <c r="C329" s="7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69"/>
      <c r="B330" s="72"/>
      <c r="C330" s="7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69"/>
      <c r="B331" s="72"/>
      <c r="C331" s="7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69"/>
      <c r="B332" s="72"/>
      <c r="C332" s="7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69"/>
      <c r="B333" s="72"/>
      <c r="C333" s="7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69"/>
      <c r="B334" s="72"/>
      <c r="C334" s="7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69"/>
      <c r="B335" s="72"/>
      <c r="C335" s="7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69"/>
      <c r="B336" s="72"/>
      <c r="C336" s="7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69"/>
      <c r="B337" s="72"/>
      <c r="C337" s="7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69"/>
      <c r="B338" s="72"/>
      <c r="C338" s="7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69"/>
      <c r="B339" s="72"/>
      <c r="C339" s="7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69"/>
      <c r="B340" s="72"/>
      <c r="C340" s="7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69"/>
      <c r="B341" s="72"/>
      <c r="C341" s="7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69"/>
      <c r="B342" s="72"/>
      <c r="C342" s="7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69"/>
      <c r="B343" s="72"/>
      <c r="C343" s="7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69"/>
      <c r="B344" s="72"/>
      <c r="C344" s="7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69"/>
      <c r="B345" s="72"/>
      <c r="C345" s="7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69"/>
      <c r="B346" s="72"/>
      <c r="C346" s="7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69"/>
      <c r="B347" s="72"/>
      <c r="C347" s="7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69"/>
      <c r="B348" s="72"/>
      <c r="C348" s="7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69"/>
      <c r="B349" s="72"/>
      <c r="C349" s="7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69"/>
      <c r="B350" s="72"/>
      <c r="C350" s="7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69"/>
      <c r="B351" s="72"/>
      <c r="C351" s="7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69"/>
      <c r="B352" s="72"/>
      <c r="C352" s="7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69"/>
      <c r="B353" s="72"/>
      <c r="C353" s="7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69"/>
      <c r="B354" s="72"/>
      <c r="C354" s="7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69"/>
      <c r="B355" s="72"/>
      <c r="C355" s="7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69"/>
      <c r="B356" s="72"/>
      <c r="C356" s="7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69"/>
      <c r="B357" s="72"/>
      <c r="C357" s="7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69"/>
      <c r="B358" s="72"/>
      <c r="C358" s="7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69"/>
      <c r="B359" s="72"/>
      <c r="C359" s="7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69"/>
      <c r="B360" s="72"/>
      <c r="C360" s="7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69"/>
      <c r="B361" s="72"/>
      <c r="C361" s="7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69"/>
      <c r="B362" s="72"/>
      <c r="C362" s="7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69"/>
      <c r="B363" s="72"/>
      <c r="C363" s="7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69"/>
      <c r="B364" s="72"/>
      <c r="C364" s="7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69"/>
      <c r="B365" s="72"/>
      <c r="C365" s="7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69"/>
      <c r="B366" s="72"/>
      <c r="C366" s="7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69"/>
      <c r="B367" s="72"/>
      <c r="C367" s="7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69"/>
      <c r="B368" s="72"/>
      <c r="C368" s="7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69"/>
      <c r="B369" s="72"/>
      <c r="C369" s="7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69"/>
      <c r="B370" s="72"/>
      <c r="C370" s="7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69"/>
      <c r="B371" s="72"/>
      <c r="C371" s="7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69"/>
      <c r="B372" s="72"/>
      <c r="C372" s="7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69"/>
      <c r="B373" s="72"/>
      <c r="C373" s="7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69"/>
      <c r="B374" s="72"/>
      <c r="C374" s="7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69"/>
      <c r="B375" s="72"/>
      <c r="C375" s="7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69"/>
      <c r="B376" s="72"/>
      <c r="C376" s="7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69"/>
      <c r="B377" s="72"/>
      <c r="C377" s="7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69"/>
      <c r="B378" s="72"/>
      <c r="C378" s="7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69"/>
      <c r="B379" s="72"/>
      <c r="C379" s="7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69"/>
      <c r="B380" s="72"/>
      <c r="C380" s="7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69"/>
      <c r="B381" s="72"/>
      <c r="C381" s="7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69"/>
      <c r="B382" s="72"/>
      <c r="C382" s="7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69"/>
      <c r="B383" s="72"/>
      <c r="C383" s="7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69"/>
      <c r="B384" s="72"/>
      <c r="C384" s="7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69"/>
      <c r="B385" s="72"/>
      <c r="C385" s="7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69"/>
      <c r="B386" s="72"/>
      <c r="C386" s="7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69"/>
      <c r="B387" s="72"/>
      <c r="C387" s="7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69"/>
      <c r="B388" s="72"/>
      <c r="C388" s="7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69"/>
      <c r="B389" s="72"/>
      <c r="C389" s="7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69"/>
      <c r="B390" s="72"/>
      <c r="C390" s="7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69"/>
      <c r="B391" s="72"/>
      <c r="C391" s="7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69"/>
      <c r="B392" s="72"/>
      <c r="C392" s="7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69"/>
      <c r="B393" s="72"/>
      <c r="C393" s="7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69"/>
      <c r="B394" s="72"/>
      <c r="C394" s="7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69"/>
      <c r="B395" s="72"/>
      <c r="C395" s="7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69"/>
      <c r="B396" s="72"/>
      <c r="C396" s="7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69"/>
      <c r="B397" s="72"/>
      <c r="C397" s="7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69"/>
      <c r="B398" s="72"/>
      <c r="C398" s="7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69"/>
      <c r="B399" s="72"/>
      <c r="C399" s="7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69"/>
      <c r="B400" s="72"/>
      <c r="C400" s="7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69"/>
      <c r="B401" s="72"/>
      <c r="C401" s="7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69"/>
      <c r="B402" s="72"/>
      <c r="C402" s="7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69"/>
      <c r="B403" s="72"/>
      <c r="C403" s="7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69"/>
      <c r="B404" s="72"/>
      <c r="C404" s="7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69"/>
      <c r="B405" s="72"/>
      <c r="C405" s="7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69"/>
      <c r="B406" s="72"/>
      <c r="C406" s="7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69"/>
      <c r="B407" s="72"/>
      <c r="C407" s="7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69"/>
      <c r="B408" s="72"/>
      <c r="C408" s="7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69"/>
      <c r="B409" s="72"/>
      <c r="C409" s="7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69"/>
      <c r="B410" s="72"/>
      <c r="C410" s="7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69"/>
      <c r="B411" s="72"/>
      <c r="C411" s="7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69"/>
      <c r="B412" s="72"/>
      <c r="C412" s="7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69"/>
      <c r="B413" s="72"/>
      <c r="C413" s="7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69"/>
      <c r="B414" s="72"/>
      <c r="C414" s="7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69"/>
      <c r="B415" s="72"/>
      <c r="C415" s="7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69"/>
      <c r="B416" s="72"/>
      <c r="C416" s="7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69"/>
      <c r="B417" s="72"/>
      <c r="C417" s="7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69"/>
      <c r="B418" s="72"/>
      <c r="C418" s="7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69"/>
      <c r="B419" s="72"/>
      <c r="C419" s="7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69"/>
      <c r="B420" s="72"/>
      <c r="C420" s="7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69"/>
      <c r="B421" s="72"/>
      <c r="C421" s="7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69"/>
      <c r="B422" s="72"/>
      <c r="C422" s="7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69"/>
      <c r="B423" s="72"/>
      <c r="C423" s="7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69"/>
      <c r="B424" s="72"/>
      <c r="C424" s="7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69"/>
      <c r="B425" s="72"/>
      <c r="C425" s="7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69"/>
      <c r="B426" s="72"/>
      <c r="C426" s="7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69"/>
      <c r="B427" s="72"/>
      <c r="C427" s="7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69"/>
      <c r="B428" s="72"/>
      <c r="C428" s="7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69"/>
      <c r="B429" s="72"/>
      <c r="C429" s="7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69"/>
      <c r="B430" s="72"/>
      <c r="C430" s="7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69"/>
      <c r="B431" s="72"/>
      <c r="C431" s="7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69"/>
      <c r="B432" s="72"/>
      <c r="C432" s="7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69"/>
      <c r="B433" s="72"/>
      <c r="C433" s="7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69"/>
      <c r="B434" s="72"/>
      <c r="C434" s="7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69"/>
      <c r="B435" s="72"/>
      <c r="C435" s="7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69"/>
      <c r="B436" s="72"/>
      <c r="C436" s="7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69"/>
      <c r="B437" s="72"/>
      <c r="C437" s="7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69"/>
      <c r="B438" s="72"/>
      <c r="C438" s="7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69"/>
      <c r="B439" s="72"/>
      <c r="C439" s="7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69"/>
      <c r="B440" s="72"/>
      <c r="C440" s="7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69"/>
      <c r="B441" s="72"/>
      <c r="C441" s="7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69"/>
      <c r="B442" s="72"/>
      <c r="C442" s="7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69"/>
      <c r="B443" s="72"/>
      <c r="C443" s="7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69"/>
      <c r="B444" s="72"/>
      <c r="C444" s="7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69"/>
      <c r="B445" s="72"/>
      <c r="C445" s="7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69"/>
      <c r="B446" s="72"/>
      <c r="C446" s="7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69"/>
      <c r="B447" s="72"/>
      <c r="C447" s="7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69"/>
      <c r="B448" s="72"/>
      <c r="C448" s="7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69"/>
      <c r="B449" s="72"/>
      <c r="C449" s="7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69"/>
      <c r="B450" s="72"/>
      <c r="C450" s="7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69"/>
      <c r="B451" s="72"/>
      <c r="C451" s="7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69"/>
      <c r="B452" s="72"/>
      <c r="C452" s="7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69"/>
      <c r="B453" s="72"/>
      <c r="C453" s="7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69"/>
      <c r="B454" s="72"/>
      <c r="C454" s="7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69"/>
      <c r="B455" s="72"/>
      <c r="C455" s="7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69"/>
      <c r="B456" s="72"/>
      <c r="C456" s="7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69"/>
      <c r="B457" s="72"/>
      <c r="C457" s="7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69"/>
      <c r="B458" s="72"/>
      <c r="C458" s="7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69"/>
      <c r="B459" s="72"/>
      <c r="C459" s="7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69"/>
      <c r="B460" s="72"/>
      <c r="C460" s="7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69"/>
      <c r="B461" s="72"/>
      <c r="C461" s="7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69"/>
      <c r="B462" s="72"/>
      <c r="C462" s="7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69"/>
      <c r="B463" s="72"/>
      <c r="C463" s="7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69"/>
      <c r="B464" s="72"/>
      <c r="C464" s="7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69"/>
      <c r="B465" s="72"/>
      <c r="C465" s="7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69"/>
      <c r="B466" s="72"/>
      <c r="C466" s="7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69"/>
      <c r="B467" s="72"/>
      <c r="C467" s="7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69"/>
      <c r="B468" s="72"/>
      <c r="C468" s="7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69"/>
      <c r="B469" s="72"/>
      <c r="C469" s="7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69"/>
      <c r="B470" s="72"/>
      <c r="C470" s="7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69"/>
      <c r="B471" s="72"/>
      <c r="C471" s="7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69"/>
      <c r="B472" s="72"/>
      <c r="C472" s="7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69"/>
      <c r="B473" s="72"/>
      <c r="C473" s="7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69"/>
      <c r="B474" s="72"/>
      <c r="C474" s="7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69"/>
      <c r="B475" s="72"/>
      <c r="C475" s="7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69"/>
      <c r="B476" s="72"/>
      <c r="C476" s="7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69"/>
      <c r="B477" s="72"/>
      <c r="C477" s="7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69"/>
      <c r="B478" s="72"/>
      <c r="C478" s="7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69"/>
      <c r="B479" s="72"/>
      <c r="C479" s="7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69"/>
      <c r="B480" s="72"/>
      <c r="C480" s="7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69"/>
      <c r="B481" s="72"/>
      <c r="C481" s="7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69"/>
      <c r="B482" s="72"/>
      <c r="C482" s="7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69"/>
      <c r="B483" s="72"/>
      <c r="C483" s="7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69"/>
      <c r="B484" s="72"/>
      <c r="C484" s="7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69"/>
      <c r="B485" s="72"/>
      <c r="C485" s="7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69"/>
      <c r="B486" s="72"/>
      <c r="C486" s="7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69"/>
      <c r="B487" s="72"/>
      <c r="C487" s="7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69"/>
      <c r="B488" s="72"/>
      <c r="C488" s="7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69"/>
      <c r="B489" s="72"/>
      <c r="C489" s="7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69"/>
      <c r="B490" s="72"/>
      <c r="C490" s="7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69"/>
      <c r="B491" s="72"/>
      <c r="C491" s="7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69"/>
      <c r="B492" s="72"/>
      <c r="C492" s="7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69"/>
      <c r="B493" s="72"/>
      <c r="C493" s="7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69"/>
      <c r="B494" s="72"/>
      <c r="C494" s="7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69"/>
      <c r="B495" s="72"/>
      <c r="C495" s="7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69"/>
      <c r="B496" s="72"/>
      <c r="C496" s="7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69"/>
      <c r="B497" s="72"/>
      <c r="C497" s="7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69"/>
      <c r="B498" s="72"/>
      <c r="C498" s="7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69"/>
      <c r="B499" s="72"/>
      <c r="C499" s="7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69"/>
      <c r="B500" s="72"/>
      <c r="C500" s="7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69"/>
      <c r="B501" s="72"/>
      <c r="C501" s="7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69"/>
      <c r="B502" s="72"/>
      <c r="C502" s="7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69"/>
      <c r="B503" s="72"/>
      <c r="C503" s="7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69"/>
      <c r="B504" s="72"/>
      <c r="C504" s="7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69"/>
      <c r="B505" s="72"/>
      <c r="C505" s="7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69"/>
      <c r="B506" s="72"/>
      <c r="C506" s="7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69"/>
      <c r="B507" s="72"/>
      <c r="C507" s="7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69"/>
      <c r="B508" s="72"/>
      <c r="C508" s="7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69"/>
      <c r="B509" s="72"/>
      <c r="C509" s="7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69"/>
      <c r="B510" s="72"/>
      <c r="C510" s="7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69"/>
      <c r="B511" s="72"/>
      <c r="C511" s="7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69"/>
      <c r="B512" s="72"/>
      <c r="C512" s="7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69"/>
      <c r="B513" s="72"/>
      <c r="C513" s="7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69"/>
      <c r="B514" s="72"/>
      <c r="C514" s="7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69"/>
      <c r="B515" s="72"/>
      <c r="C515" s="7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69"/>
      <c r="B516" s="72"/>
      <c r="C516" s="7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69"/>
      <c r="B517" s="72"/>
      <c r="C517" s="7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69"/>
      <c r="B518" s="72"/>
      <c r="C518" s="7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69"/>
      <c r="B519" s="72"/>
      <c r="C519" s="7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69"/>
      <c r="B520" s="72"/>
      <c r="C520" s="7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69"/>
      <c r="B521" s="72"/>
      <c r="C521" s="7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69"/>
      <c r="B522" s="72"/>
      <c r="C522" s="7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69"/>
      <c r="B523" s="72"/>
      <c r="C523" s="7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69"/>
      <c r="B524" s="72"/>
      <c r="C524" s="7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69"/>
      <c r="B525" s="72"/>
      <c r="C525" s="7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69"/>
      <c r="B526" s="72"/>
      <c r="C526" s="7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69"/>
      <c r="B527" s="72"/>
      <c r="C527" s="7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69"/>
      <c r="B528" s="72"/>
      <c r="C528" s="7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69"/>
      <c r="B529" s="72"/>
      <c r="C529" s="7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69"/>
      <c r="B530" s="72"/>
      <c r="C530" s="7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69"/>
      <c r="B531" s="72"/>
      <c r="C531" s="7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69"/>
      <c r="B532" s="72"/>
      <c r="C532" s="7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69"/>
      <c r="B533" s="72"/>
      <c r="C533" s="7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69"/>
      <c r="B534" s="72"/>
      <c r="C534" s="7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69"/>
      <c r="B535" s="72"/>
      <c r="C535" s="7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69"/>
      <c r="B536" s="72"/>
      <c r="C536" s="7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69"/>
      <c r="B537" s="72"/>
      <c r="C537" s="7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69"/>
      <c r="B538" s="72"/>
      <c r="C538" s="7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69"/>
      <c r="B539" s="72"/>
      <c r="C539" s="7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69"/>
      <c r="B540" s="72"/>
      <c r="C540" s="7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69"/>
      <c r="B541" s="72"/>
      <c r="C541" s="7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69"/>
      <c r="B542" s="72"/>
      <c r="C542" s="7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69"/>
      <c r="B543" s="72"/>
      <c r="C543" s="7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69"/>
      <c r="B544" s="72"/>
      <c r="C544" s="7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69"/>
      <c r="B545" s="72"/>
      <c r="C545" s="7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69"/>
      <c r="B546" s="72"/>
      <c r="C546" s="7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69"/>
      <c r="B547" s="72"/>
      <c r="C547" s="7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69"/>
      <c r="B548" s="72"/>
      <c r="C548" s="7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69"/>
      <c r="B549" s="72"/>
      <c r="C549" s="7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69"/>
      <c r="B550" s="72"/>
      <c r="C550" s="7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69"/>
      <c r="B551" s="72"/>
      <c r="C551" s="7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69"/>
      <c r="B552" s="72"/>
      <c r="C552" s="7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69"/>
      <c r="B553" s="72"/>
      <c r="C553" s="7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69"/>
      <c r="B554" s="72"/>
      <c r="C554" s="7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69"/>
      <c r="B555" s="72"/>
      <c r="C555" s="7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69"/>
      <c r="B556" s="72"/>
      <c r="C556" s="7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69"/>
      <c r="B557" s="72"/>
      <c r="C557" s="7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69"/>
      <c r="B558" s="72"/>
      <c r="C558" s="7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69"/>
      <c r="B559" s="72"/>
      <c r="C559" s="7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69"/>
      <c r="B560" s="72"/>
      <c r="C560" s="7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69"/>
      <c r="B561" s="72"/>
      <c r="C561" s="7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69"/>
      <c r="B562" s="72"/>
      <c r="C562" s="7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69"/>
      <c r="B563" s="72"/>
      <c r="C563" s="7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69"/>
      <c r="B564" s="72"/>
      <c r="C564" s="7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69"/>
      <c r="B565" s="72"/>
      <c r="C565" s="7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69"/>
      <c r="B566" s="72"/>
      <c r="C566" s="7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69"/>
      <c r="B567" s="72"/>
      <c r="C567" s="7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69"/>
      <c r="B568" s="72"/>
      <c r="C568" s="7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69"/>
      <c r="B569" s="72"/>
      <c r="C569" s="7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69"/>
      <c r="B570" s="72"/>
      <c r="C570" s="7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69"/>
      <c r="B571" s="72"/>
      <c r="C571" s="7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69"/>
      <c r="B572" s="72"/>
      <c r="C572" s="7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69"/>
      <c r="B573" s="72"/>
      <c r="C573" s="7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69"/>
      <c r="B574" s="72"/>
      <c r="C574" s="7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69"/>
      <c r="B575" s="72"/>
      <c r="C575" s="7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69"/>
      <c r="B576" s="72"/>
      <c r="C576" s="7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69"/>
      <c r="B577" s="72"/>
      <c r="C577" s="7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69"/>
      <c r="B578" s="72"/>
      <c r="C578" s="7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69"/>
      <c r="B579" s="72"/>
      <c r="C579" s="7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69"/>
      <c r="B580" s="72"/>
      <c r="C580" s="7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69"/>
      <c r="B581" s="72"/>
      <c r="C581" s="7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69"/>
      <c r="B582" s="72"/>
      <c r="C582" s="7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69"/>
      <c r="B583" s="72"/>
      <c r="C583" s="7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69"/>
      <c r="B584" s="72"/>
      <c r="C584" s="7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69"/>
      <c r="B585" s="72"/>
      <c r="C585" s="7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69"/>
      <c r="B586" s="72"/>
      <c r="C586" s="7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69"/>
      <c r="B587" s="72"/>
      <c r="C587" s="7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69"/>
      <c r="B588" s="72"/>
      <c r="C588" s="7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69"/>
      <c r="B589" s="72"/>
      <c r="C589" s="7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69"/>
      <c r="B590" s="72"/>
      <c r="C590" s="7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69"/>
      <c r="B591" s="72"/>
      <c r="C591" s="7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69"/>
      <c r="B592" s="72"/>
      <c r="C592" s="7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69"/>
      <c r="B593" s="72"/>
      <c r="C593" s="7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69"/>
      <c r="B594" s="72"/>
      <c r="C594" s="7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69"/>
      <c r="B595" s="72"/>
      <c r="C595" s="7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69"/>
      <c r="B596" s="72"/>
      <c r="C596" s="7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69"/>
      <c r="B597" s="72"/>
      <c r="C597" s="7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69"/>
      <c r="B598" s="72"/>
      <c r="C598" s="7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69"/>
      <c r="B599" s="72"/>
      <c r="C599" s="7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69"/>
      <c r="B600" s="72"/>
      <c r="C600" s="7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69"/>
      <c r="B601" s="72"/>
      <c r="C601" s="7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69"/>
      <c r="B602" s="72"/>
      <c r="C602" s="7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69"/>
      <c r="B603" s="72"/>
      <c r="C603" s="7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69"/>
      <c r="B604" s="72"/>
      <c r="C604" s="7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69"/>
      <c r="B605" s="72"/>
      <c r="C605" s="7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69"/>
      <c r="B606" s="72"/>
      <c r="C606" s="7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69"/>
      <c r="B607" s="72"/>
      <c r="C607" s="7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69"/>
      <c r="B608" s="72"/>
      <c r="C608" s="7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69"/>
      <c r="B609" s="72"/>
      <c r="C609" s="7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69"/>
      <c r="B610" s="72"/>
      <c r="C610" s="7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69"/>
      <c r="B611" s="72"/>
      <c r="C611" s="7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69"/>
      <c r="B612" s="72"/>
      <c r="C612" s="7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69"/>
      <c r="B613" s="72"/>
      <c r="C613" s="7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69"/>
      <c r="B614" s="72"/>
      <c r="C614" s="7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69"/>
      <c r="B615" s="72"/>
      <c r="C615" s="7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69"/>
      <c r="B616" s="72"/>
      <c r="C616" s="7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69"/>
      <c r="B617" s="72"/>
      <c r="C617" s="7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69"/>
      <c r="B618" s="72"/>
      <c r="C618" s="7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69"/>
      <c r="B619" s="72"/>
      <c r="C619" s="7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69"/>
      <c r="B620" s="72"/>
      <c r="C620" s="7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69"/>
      <c r="B621" s="72"/>
      <c r="C621" s="7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69"/>
      <c r="B622" s="72"/>
      <c r="C622" s="7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69"/>
      <c r="B623" s="72"/>
      <c r="C623" s="7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69"/>
      <c r="B624" s="72"/>
      <c r="C624" s="7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69"/>
      <c r="B625" s="72"/>
      <c r="C625" s="7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69"/>
      <c r="B626" s="72"/>
      <c r="C626" s="7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69"/>
      <c r="B627" s="72"/>
      <c r="C627" s="7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69"/>
      <c r="B628" s="72"/>
      <c r="C628" s="7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69"/>
      <c r="B629" s="72"/>
      <c r="C629" s="7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69"/>
      <c r="B630" s="72"/>
      <c r="C630" s="7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69"/>
      <c r="B631" s="72"/>
      <c r="C631" s="7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69"/>
      <c r="B632" s="72"/>
      <c r="C632" s="7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69"/>
      <c r="B633" s="72"/>
      <c r="C633" s="7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69"/>
      <c r="B634" s="72"/>
      <c r="C634" s="7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69"/>
      <c r="B635" s="72"/>
      <c r="C635" s="7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69"/>
      <c r="B636" s="72"/>
      <c r="C636" s="7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69"/>
      <c r="B637" s="72"/>
      <c r="C637" s="7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69"/>
      <c r="B638" s="72"/>
      <c r="C638" s="7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69"/>
      <c r="B639" s="72"/>
      <c r="C639" s="7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69"/>
      <c r="B640" s="72"/>
      <c r="C640" s="7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69"/>
      <c r="B641" s="72"/>
      <c r="C641" s="7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69"/>
      <c r="B642" s="72"/>
      <c r="C642" s="7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69"/>
      <c r="B643" s="72"/>
      <c r="C643" s="7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69"/>
      <c r="B644" s="72"/>
      <c r="C644" s="7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69"/>
      <c r="B645" s="72"/>
      <c r="C645" s="7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69"/>
      <c r="B646" s="72"/>
      <c r="C646" s="7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69"/>
      <c r="B647" s="72"/>
      <c r="C647" s="7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69"/>
      <c r="B648" s="72"/>
      <c r="C648" s="7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69"/>
      <c r="B649" s="72"/>
      <c r="C649" s="7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69"/>
      <c r="B650" s="72"/>
      <c r="C650" s="7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69"/>
      <c r="B651" s="72"/>
      <c r="C651" s="7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69"/>
      <c r="B652" s="72"/>
      <c r="C652" s="7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69"/>
      <c r="B653" s="72"/>
      <c r="C653" s="7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69"/>
      <c r="B654" s="72"/>
      <c r="C654" s="7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69"/>
      <c r="B655" s="72"/>
      <c r="C655" s="7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69"/>
      <c r="B656" s="72"/>
      <c r="C656" s="7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69"/>
      <c r="B657" s="72"/>
      <c r="C657" s="7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69"/>
      <c r="B658" s="72"/>
      <c r="C658" s="7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69"/>
      <c r="B659" s="72"/>
      <c r="C659" s="7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69"/>
      <c r="B660" s="72"/>
      <c r="C660" s="7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69"/>
      <c r="B661" s="72"/>
      <c r="C661" s="7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69"/>
      <c r="B662" s="72"/>
      <c r="C662" s="7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69"/>
      <c r="B663" s="72"/>
      <c r="C663" s="7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69"/>
      <c r="B664" s="72"/>
      <c r="C664" s="7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69"/>
      <c r="B665" s="72"/>
      <c r="C665" s="7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69"/>
      <c r="B666" s="72"/>
      <c r="C666" s="7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69"/>
      <c r="B667" s="72"/>
      <c r="C667" s="7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69"/>
      <c r="B668" s="72"/>
      <c r="C668" s="7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69"/>
      <c r="B669" s="72"/>
      <c r="C669" s="7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69"/>
      <c r="B670" s="72"/>
      <c r="C670" s="7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69"/>
      <c r="B671" s="72"/>
      <c r="C671" s="7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69"/>
      <c r="B672" s="72"/>
      <c r="C672" s="7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69"/>
      <c r="B673" s="72"/>
      <c r="C673" s="7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69"/>
      <c r="B674" s="72"/>
      <c r="C674" s="7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69"/>
      <c r="B675" s="72"/>
      <c r="C675" s="7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69"/>
      <c r="B676" s="72"/>
      <c r="C676" s="7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69"/>
      <c r="B677" s="72"/>
      <c r="C677" s="7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69"/>
      <c r="B678" s="72"/>
      <c r="C678" s="7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69"/>
      <c r="B679" s="72"/>
      <c r="C679" s="7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69"/>
      <c r="B680" s="72"/>
      <c r="C680" s="7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69"/>
      <c r="B681" s="72"/>
      <c r="C681" s="7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69"/>
      <c r="B682" s="72"/>
      <c r="C682" s="7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69"/>
      <c r="B683" s="72"/>
      <c r="C683" s="7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69"/>
      <c r="B684" s="72"/>
      <c r="C684" s="7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69"/>
      <c r="B685" s="72"/>
      <c r="C685" s="7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69"/>
      <c r="B686" s="72"/>
      <c r="C686" s="7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69"/>
      <c r="B687" s="72"/>
      <c r="C687" s="7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69"/>
      <c r="B688" s="72"/>
      <c r="C688" s="7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69"/>
      <c r="B689" s="72"/>
      <c r="C689" s="7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69"/>
      <c r="B690" s="72"/>
      <c r="C690" s="7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69"/>
      <c r="B691" s="72"/>
      <c r="C691" s="7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69"/>
      <c r="B692" s="72"/>
      <c r="C692" s="7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69"/>
      <c r="B693" s="72"/>
      <c r="C693" s="7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69"/>
      <c r="B694" s="72"/>
      <c r="C694" s="7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69"/>
      <c r="B695" s="72"/>
      <c r="C695" s="7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69"/>
      <c r="B696" s="72"/>
      <c r="C696" s="7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69"/>
      <c r="B697" s="72"/>
      <c r="C697" s="7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69"/>
      <c r="B698" s="72"/>
      <c r="C698" s="7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69"/>
      <c r="B699" s="72"/>
      <c r="C699" s="7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69"/>
      <c r="B700" s="72"/>
      <c r="C700" s="7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69"/>
      <c r="B701" s="72"/>
      <c r="C701" s="7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69"/>
      <c r="B702" s="72"/>
      <c r="C702" s="7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69"/>
      <c r="B703" s="72"/>
      <c r="C703" s="7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69"/>
      <c r="B704" s="72"/>
      <c r="C704" s="7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69"/>
      <c r="B705" s="72"/>
      <c r="C705" s="7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69"/>
      <c r="B706" s="72"/>
      <c r="C706" s="7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69"/>
      <c r="B707" s="72"/>
      <c r="C707" s="7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69"/>
      <c r="B708" s="72"/>
      <c r="C708" s="7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69"/>
      <c r="B709" s="72"/>
      <c r="C709" s="7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69"/>
      <c r="B710" s="72"/>
      <c r="C710" s="7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69"/>
      <c r="B711" s="72"/>
      <c r="C711" s="7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69"/>
      <c r="B712" s="72"/>
      <c r="C712" s="7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69"/>
      <c r="B713" s="72"/>
      <c r="C713" s="7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69"/>
      <c r="B714" s="72"/>
      <c r="C714" s="7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69"/>
      <c r="B715" s="72"/>
      <c r="C715" s="7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69"/>
      <c r="B716" s="72"/>
      <c r="C716" s="7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69"/>
      <c r="B717" s="72"/>
      <c r="C717" s="7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69"/>
      <c r="B718" s="72"/>
      <c r="C718" s="7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69"/>
      <c r="B719" s="72"/>
      <c r="C719" s="7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69"/>
      <c r="B720" s="72"/>
      <c r="C720" s="7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69"/>
      <c r="B721" s="72"/>
      <c r="C721" s="7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69"/>
      <c r="B722" s="72"/>
      <c r="C722" s="7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69"/>
      <c r="B723" s="72"/>
      <c r="C723" s="7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69"/>
      <c r="B724" s="72"/>
      <c r="C724" s="7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69"/>
      <c r="B725" s="72"/>
      <c r="C725" s="7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69"/>
      <c r="B726" s="72"/>
      <c r="C726" s="7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69"/>
      <c r="B727" s="72"/>
      <c r="C727" s="7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69"/>
      <c r="B728" s="72"/>
      <c r="C728" s="7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69"/>
      <c r="B729" s="72"/>
      <c r="C729" s="7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69"/>
      <c r="B730" s="72"/>
      <c r="C730" s="7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69"/>
      <c r="B731" s="72"/>
      <c r="C731" s="7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69"/>
      <c r="B732" s="72"/>
      <c r="C732" s="7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69"/>
      <c r="B733" s="72"/>
      <c r="C733" s="7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69"/>
      <c r="B734" s="72"/>
      <c r="C734" s="7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69"/>
      <c r="B735" s="72"/>
      <c r="C735" s="7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69"/>
      <c r="B736" s="72"/>
      <c r="C736" s="7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69"/>
      <c r="B737" s="72"/>
      <c r="C737" s="7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69"/>
      <c r="B738" s="72"/>
      <c r="C738" s="7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69"/>
      <c r="B739" s="72"/>
      <c r="C739" s="7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69"/>
      <c r="B740" s="72"/>
      <c r="C740" s="7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69"/>
      <c r="B741" s="72"/>
      <c r="C741" s="7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69"/>
      <c r="B742" s="72"/>
      <c r="C742" s="7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69"/>
      <c r="B743" s="72"/>
      <c r="C743" s="7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69"/>
      <c r="B744" s="72"/>
      <c r="C744" s="7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69"/>
      <c r="B745" s="72"/>
      <c r="C745" s="7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69"/>
      <c r="B746" s="72"/>
      <c r="C746" s="7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69"/>
      <c r="B747" s="72"/>
      <c r="C747" s="7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69"/>
      <c r="B748" s="72"/>
      <c r="C748" s="7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69"/>
      <c r="B749" s="72"/>
      <c r="C749" s="7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69"/>
      <c r="B750" s="72"/>
      <c r="C750" s="7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69"/>
      <c r="B751" s="72"/>
      <c r="C751" s="7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69"/>
      <c r="B752" s="72"/>
      <c r="C752" s="7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69"/>
      <c r="B753" s="72"/>
      <c r="C753" s="7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69"/>
      <c r="B754" s="72"/>
      <c r="C754" s="7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69"/>
      <c r="B755" s="72"/>
      <c r="C755" s="7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69"/>
      <c r="B756" s="72"/>
      <c r="C756" s="7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69"/>
      <c r="B757" s="72"/>
      <c r="C757" s="7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69"/>
      <c r="B758" s="72"/>
      <c r="C758" s="7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69"/>
      <c r="B759" s="72"/>
      <c r="C759" s="7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69"/>
      <c r="B760" s="72"/>
      <c r="C760" s="7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69"/>
      <c r="B761" s="72"/>
      <c r="C761" s="7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69"/>
      <c r="B762" s="72"/>
      <c r="C762" s="7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69"/>
      <c r="B763" s="72"/>
      <c r="C763" s="7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69"/>
      <c r="B764" s="72"/>
      <c r="C764" s="7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69"/>
      <c r="B765" s="72"/>
      <c r="C765" s="7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69"/>
      <c r="B766" s="72"/>
      <c r="C766" s="7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69"/>
      <c r="B767" s="72"/>
      <c r="C767" s="7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69"/>
      <c r="B768" s="72"/>
      <c r="C768" s="7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69"/>
      <c r="B769" s="72"/>
      <c r="C769" s="7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69"/>
      <c r="B770" s="72"/>
      <c r="C770" s="7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69"/>
      <c r="B771" s="72"/>
      <c r="C771" s="7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69"/>
      <c r="B772" s="72"/>
      <c r="C772" s="7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69"/>
      <c r="B773" s="72"/>
      <c r="C773" s="7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69"/>
      <c r="B774" s="72"/>
      <c r="C774" s="7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69"/>
      <c r="B775" s="72"/>
      <c r="C775" s="7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69"/>
      <c r="B776" s="72"/>
      <c r="C776" s="7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69"/>
      <c r="B777" s="72"/>
      <c r="C777" s="7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69"/>
      <c r="B778" s="72"/>
      <c r="C778" s="7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69"/>
      <c r="B779" s="72"/>
      <c r="C779" s="7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69"/>
      <c r="B780" s="72"/>
      <c r="C780" s="7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69"/>
      <c r="B781" s="72"/>
      <c r="C781" s="7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69"/>
      <c r="B782" s="72"/>
      <c r="C782" s="7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69"/>
      <c r="B783" s="72"/>
      <c r="C783" s="7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69"/>
      <c r="B784" s="72"/>
      <c r="C784" s="7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69"/>
      <c r="B785" s="72"/>
      <c r="C785" s="7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69"/>
      <c r="B786" s="72"/>
      <c r="C786" s="7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69"/>
      <c r="B787" s="72"/>
      <c r="C787" s="7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69"/>
      <c r="B788" s="72"/>
      <c r="C788" s="7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69"/>
      <c r="B789" s="72"/>
      <c r="C789" s="7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69"/>
      <c r="B790" s="72"/>
      <c r="C790" s="7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69"/>
      <c r="B791" s="72"/>
      <c r="C791" s="7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69"/>
      <c r="B792" s="72"/>
      <c r="C792" s="7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69"/>
      <c r="B793" s="72"/>
      <c r="C793" s="7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69"/>
      <c r="B794" s="72"/>
      <c r="C794" s="7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69"/>
      <c r="B795" s="72"/>
      <c r="C795" s="7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69"/>
      <c r="B796" s="72"/>
      <c r="C796" s="7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69"/>
      <c r="B797" s="72"/>
      <c r="C797" s="7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69"/>
      <c r="B798" s="72"/>
      <c r="C798" s="7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69"/>
      <c r="B799" s="72"/>
      <c r="C799" s="7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69"/>
      <c r="B800" s="72"/>
      <c r="C800" s="7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69"/>
      <c r="B801" s="72"/>
      <c r="C801" s="7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69"/>
      <c r="B802" s="72"/>
      <c r="C802" s="7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69"/>
      <c r="B803" s="72"/>
      <c r="C803" s="7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69"/>
      <c r="B804" s="72"/>
      <c r="C804" s="7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69"/>
      <c r="B805" s="72"/>
      <c r="C805" s="7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69"/>
      <c r="B806" s="72"/>
      <c r="C806" s="7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69"/>
      <c r="B807" s="72"/>
      <c r="C807" s="7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69"/>
      <c r="B808" s="72"/>
      <c r="C808" s="7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69"/>
      <c r="B809" s="72"/>
      <c r="C809" s="7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69"/>
      <c r="B810" s="72"/>
      <c r="C810" s="7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69"/>
      <c r="B811" s="72"/>
      <c r="C811" s="7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69"/>
      <c r="B812" s="72"/>
      <c r="C812" s="7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69"/>
      <c r="B813" s="72"/>
      <c r="C813" s="7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69"/>
      <c r="B814" s="72"/>
      <c r="C814" s="7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69"/>
      <c r="B815" s="72"/>
      <c r="C815" s="7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69"/>
      <c r="B816" s="72"/>
      <c r="C816" s="7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69"/>
      <c r="B817" s="72"/>
      <c r="C817" s="7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69"/>
      <c r="B818" s="72"/>
      <c r="C818" s="7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69"/>
      <c r="B819" s="72"/>
      <c r="C819" s="7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69"/>
      <c r="B820" s="72"/>
      <c r="C820" s="7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69"/>
      <c r="B821" s="72"/>
      <c r="C821" s="7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69"/>
      <c r="B822" s="72"/>
      <c r="C822" s="7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69"/>
      <c r="B823" s="72"/>
      <c r="C823" s="7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69"/>
      <c r="B824" s="72"/>
      <c r="C824" s="7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69"/>
      <c r="B825" s="72"/>
      <c r="C825" s="7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69"/>
      <c r="B826" s="72"/>
      <c r="C826" s="7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69"/>
      <c r="B827" s="72"/>
      <c r="C827" s="7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69"/>
      <c r="B828" s="72"/>
      <c r="C828" s="7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69"/>
      <c r="B829" s="72"/>
      <c r="C829" s="7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69"/>
      <c r="B830" s="72"/>
      <c r="C830" s="7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69"/>
      <c r="B831" s="72"/>
      <c r="C831" s="7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69"/>
      <c r="B832" s="72"/>
      <c r="C832" s="7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69"/>
      <c r="B833" s="72"/>
      <c r="C833" s="7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69"/>
      <c r="B834" s="72"/>
      <c r="C834" s="7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69"/>
      <c r="B835" s="72"/>
      <c r="C835" s="7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69"/>
      <c r="B836" s="72"/>
      <c r="C836" s="7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69"/>
      <c r="B837" s="72"/>
      <c r="C837" s="7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69"/>
      <c r="B838" s="72"/>
      <c r="C838" s="7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69"/>
      <c r="B839" s="72"/>
      <c r="C839" s="7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69"/>
      <c r="B840" s="72"/>
      <c r="C840" s="7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69"/>
      <c r="B841" s="72"/>
      <c r="C841" s="7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69"/>
      <c r="B842" s="72"/>
      <c r="C842" s="7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69"/>
      <c r="B843" s="72"/>
      <c r="C843" s="7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69"/>
      <c r="B844" s="72"/>
      <c r="C844" s="7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69"/>
      <c r="B845" s="72"/>
      <c r="C845" s="7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69"/>
      <c r="B846" s="72"/>
      <c r="C846" s="7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69"/>
      <c r="B847" s="72"/>
      <c r="C847" s="7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69"/>
      <c r="B848" s="72"/>
      <c r="C848" s="7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69"/>
      <c r="B849" s="72"/>
      <c r="C849" s="7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69"/>
      <c r="B850" s="72"/>
      <c r="C850" s="7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69"/>
      <c r="B851" s="72"/>
      <c r="C851" s="7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69"/>
      <c r="B852" s="72"/>
      <c r="C852" s="7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69"/>
      <c r="B853" s="72"/>
      <c r="C853" s="7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69"/>
      <c r="B854" s="72"/>
      <c r="C854" s="7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69"/>
      <c r="B855" s="72"/>
      <c r="C855" s="7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69"/>
      <c r="B856" s="72"/>
      <c r="C856" s="7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69"/>
      <c r="B857" s="72"/>
      <c r="C857" s="7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69"/>
      <c r="B858" s="72"/>
      <c r="C858" s="7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69"/>
      <c r="B859" s="72"/>
      <c r="C859" s="7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69"/>
      <c r="B860" s="72"/>
      <c r="C860" s="7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69"/>
      <c r="B861" s="72"/>
      <c r="C861" s="7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69"/>
      <c r="B862" s="72"/>
      <c r="C862" s="7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69"/>
      <c r="B863" s="72"/>
      <c r="C863" s="7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69"/>
      <c r="B864" s="72"/>
      <c r="C864" s="7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69"/>
      <c r="B865" s="72"/>
      <c r="C865" s="7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69"/>
      <c r="B866" s="72"/>
      <c r="C866" s="7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69"/>
      <c r="B867" s="72"/>
      <c r="C867" s="7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69"/>
      <c r="B868" s="72"/>
      <c r="C868" s="7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69"/>
      <c r="B869" s="72"/>
      <c r="C869" s="7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69"/>
      <c r="B870" s="72"/>
      <c r="C870" s="7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69"/>
      <c r="B871" s="72"/>
      <c r="C871" s="7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69"/>
      <c r="B872" s="72"/>
      <c r="C872" s="7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69"/>
      <c r="B873" s="72"/>
      <c r="C873" s="7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69"/>
      <c r="B874" s="72"/>
      <c r="C874" s="7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69"/>
      <c r="B875" s="72"/>
      <c r="C875" s="7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69"/>
      <c r="B876" s="72"/>
      <c r="C876" s="7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69"/>
      <c r="B877" s="72"/>
      <c r="C877" s="7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69"/>
      <c r="B878" s="72"/>
      <c r="C878" s="7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69"/>
      <c r="B879" s="72"/>
      <c r="C879" s="7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69"/>
      <c r="B880" s="72"/>
      <c r="C880" s="7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69"/>
      <c r="B881" s="72"/>
      <c r="C881" s="7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69"/>
      <c r="B882" s="72"/>
      <c r="C882" s="7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69"/>
      <c r="B883" s="72"/>
      <c r="C883" s="7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69"/>
      <c r="B884" s="72"/>
      <c r="C884" s="7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69"/>
      <c r="B885" s="72"/>
      <c r="C885" s="7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69"/>
      <c r="B886" s="72"/>
      <c r="C886" s="7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69"/>
      <c r="B887" s="72"/>
      <c r="C887" s="7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69"/>
      <c r="B888" s="72"/>
      <c r="C888" s="7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69"/>
      <c r="B889" s="72"/>
      <c r="C889" s="7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69"/>
      <c r="B890" s="72"/>
      <c r="C890" s="7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69"/>
      <c r="B891" s="72"/>
      <c r="C891" s="7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69"/>
      <c r="B892" s="72"/>
      <c r="C892" s="7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69"/>
      <c r="B893" s="72"/>
      <c r="C893" s="7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69"/>
      <c r="B894" s="72"/>
      <c r="C894" s="7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69"/>
      <c r="B895" s="72"/>
      <c r="C895" s="7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69"/>
      <c r="B896" s="72"/>
      <c r="C896" s="7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69"/>
      <c r="B897" s="72"/>
      <c r="C897" s="7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69"/>
      <c r="B898" s="72"/>
      <c r="C898" s="7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69"/>
      <c r="B899" s="72"/>
      <c r="C899" s="7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69"/>
      <c r="B900" s="72"/>
      <c r="C900" s="7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69"/>
      <c r="B901" s="72"/>
      <c r="C901" s="7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69"/>
      <c r="B902" s="72"/>
      <c r="C902" s="7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69"/>
      <c r="B903" s="72"/>
      <c r="C903" s="7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69"/>
      <c r="B904" s="72"/>
      <c r="C904" s="7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69"/>
      <c r="B905" s="72"/>
      <c r="C905" s="7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69"/>
      <c r="B906" s="72"/>
      <c r="C906" s="7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69"/>
      <c r="B907" s="72"/>
      <c r="C907" s="7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69"/>
      <c r="B908" s="72"/>
      <c r="C908" s="7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69"/>
      <c r="B909" s="72"/>
      <c r="C909" s="7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69"/>
      <c r="B910" s="72"/>
      <c r="C910" s="7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69"/>
      <c r="B911" s="72"/>
      <c r="C911" s="7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69"/>
      <c r="B912" s="72"/>
      <c r="C912" s="7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69"/>
      <c r="B913" s="72"/>
      <c r="C913" s="7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69"/>
      <c r="B914" s="72"/>
      <c r="C914" s="7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69"/>
      <c r="B915" s="72"/>
      <c r="C915" s="7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69"/>
      <c r="B916" s="72"/>
      <c r="C916" s="7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69"/>
      <c r="B917" s="72"/>
      <c r="C917" s="7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69"/>
      <c r="B918" s="72"/>
      <c r="C918" s="7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69"/>
      <c r="B919" s="72"/>
      <c r="C919" s="7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69"/>
      <c r="B920" s="72"/>
      <c r="C920" s="7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69"/>
      <c r="B921" s="72"/>
      <c r="C921" s="7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69"/>
      <c r="B922" s="72"/>
      <c r="C922" s="7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69"/>
      <c r="B923" s="72"/>
      <c r="C923" s="7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69"/>
      <c r="B924" s="72"/>
      <c r="C924" s="7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69"/>
      <c r="B925" s="72"/>
      <c r="C925" s="7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69"/>
      <c r="B926" s="72"/>
      <c r="C926" s="7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69"/>
      <c r="B927" s="72"/>
      <c r="C927" s="7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69"/>
      <c r="B928" s="72"/>
      <c r="C928" s="7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69"/>
      <c r="B929" s="72"/>
      <c r="C929" s="7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69"/>
      <c r="B930" s="72"/>
      <c r="C930" s="7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69"/>
      <c r="B931" s="72"/>
      <c r="C931" s="7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69"/>
      <c r="B932" s="72"/>
      <c r="C932" s="7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69"/>
      <c r="B933" s="72"/>
      <c r="C933" s="7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69"/>
      <c r="B934" s="72"/>
      <c r="C934" s="7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69"/>
      <c r="B935" s="72"/>
      <c r="C935" s="7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69"/>
      <c r="B936" s="72"/>
      <c r="C936" s="7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69"/>
      <c r="B937" s="72"/>
      <c r="C937" s="7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69"/>
      <c r="B938" s="72"/>
      <c r="C938" s="7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69"/>
      <c r="B939" s="72"/>
      <c r="C939" s="7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69"/>
      <c r="B940" s="72"/>
      <c r="C940" s="7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69"/>
      <c r="B941" s="72"/>
      <c r="C941" s="7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69"/>
      <c r="B942" s="72"/>
      <c r="C942" s="7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69"/>
      <c r="B943" s="72"/>
      <c r="C943" s="7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69"/>
      <c r="B944" s="72"/>
      <c r="C944" s="7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69"/>
      <c r="B945" s="72"/>
      <c r="C945" s="7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69"/>
      <c r="B946" s="72"/>
      <c r="C946" s="7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69"/>
      <c r="B947" s="72"/>
      <c r="C947" s="7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69"/>
      <c r="B948" s="72"/>
      <c r="C948" s="7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69"/>
      <c r="B949" s="72"/>
      <c r="C949" s="7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69"/>
      <c r="B950" s="72"/>
      <c r="C950" s="7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69"/>
      <c r="B951" s="72"/>
      <c r="C951" s="7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69"/>
      <c r="B952" s="72"/>
      <c r="C952" s="7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69"/>
      <c r="B953" s="72"/>
      <c r="C953" s="7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69"/>
      <c r="B954" s="72"/>
      <c r="C954" s="7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69"/>
      <c r="B955" s="72"/>
      <c r="C955" s="7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69"/>
      <c r="B956" s="72"/>
      <c r="C956" s="7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69"/>
      <c r="B957" s="72"/>
      <c r="C957" s="7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69"/>
      <c r="B958" s="72"/>
      <c r="C958" s="7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69"/>
      <c r="B959" s="72"/>
      <c r="C959" s="7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69"/>
      <c r="B960" s="72"/>
      <c r="C960" s="7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69"/>
      <c r="B961" s="72"/>
      <c r="C961" s="7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69"/>
      <c r="B962" s="72"/>
      <c r="C962" s="7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69"/>
      <c r="B963" s="72"/>
      <c r="C963" s="7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69"/>
      <c r="B964" s="72"/>
      <c r="C964" s="7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69"/>
      <c r="B965" s="72"/>
      <c r="C965" s="7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69"/>
      <c r="B966" s="72"/>
      <c r="C966" s="7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69"/>
      <c r="B967" s="72"/>
      <c r="C967" s="7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69"/>
      <c r="B968" s="72"/>
      <c r="C968" s="7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69"/>
      <c r="B969" s="72"/>
      <c r="C969" s="7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69"/>
      <c r="B970" s="72"/>
      <c r="C970" s="7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69"/>
      <c r="B971" s="72"/>
      <c r="C971" s="7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69"/>
      <c r="B972" s="72"/>
      <c r="C972" s="7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69"/>
      <c r="B973" s="72"/>
      <c r="C973" s="7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69"/>
      <c r="B974" s="72"/>
      <c r="C974" s="7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69"/>
      <c r="B975" s="72"/>
      <c r="C975" s="7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69"/>
      <c r="B976" s="72"/>
      <c r="C976" s="7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69"/>
      <c r="B977" s="72"/>
      <c r="C977" s="7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69"/>
      <c r="B978" s="72"/>
      <c r="C978" s="7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69"/>
      <c r="B979" s="72"/>
      <c r="C979" s="7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69"/>
      <c r="B980" s="72"/>
      <c r="C980" s="7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69"/>
      <c r="B981" s="72"/>
      <c r="C981" s="7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69"/>
      <c r="B982" s="72"/>
      <c r="C982" s="7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69"/>
      <c r="B983" s="72"/>
      <c r="C983" s="7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69"/>
      <c r="B984" s="72"/>
      <c r="C984" s="7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69"/>
      <c r="B985" s="72"/>
      <c r="C985" s="7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69"/>
      <c r="B986" s="72"/>
      <c r="C986" s="7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69"/>
      <c r="B987" s="72"/>
      <c r="C987" s="7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69"/>
      <c r="B988" s="72"/>
      <c r="C988" s="7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69"/>
      <c r="B989" s="72"/>
      <c r="C989" s="7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69"/>
      <c r="B990" s="72"/>
      <c r="C990" s="7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69"/>
      <c r="B991" s="72"/>
      <c r="C991" s="7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69"/>
      <c r="B992" s="72"/>
      <c r="C992" s="7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69"/>
      <c r="B993" s="72"/>
      <c r="C993" s="7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69"/>
      <c r="B994" s="72"/>
      <c r="C994" s="7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69"/>
      <c r="B995" s="72"/>
      <c r="C995" s="7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69"/>
      <c r="B996" s="72"/>
      <c r="C996" s="7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69"/>
      <c r="B997" s="72"/>
      <c r="C997" s="7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69"/>
      <c r="B998" s="72"/>
      <c r="C998" s="7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69"/>
      <c r="B999" s="72"/>
      <c r="C999" s="7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69"/>
      <c r="B1000" s="72"/>
      <c r="C1000" s="7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69"/>
      <c r="B1001" s="72"/>
      <c r="C1001" s="7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69"/>
      <c r="B1002" s="72"/>
      <c r="C1002" s="7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69"/>
      <c r="B1003" s="72"/>
      <c r="C1003" s="7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69"/>
      <c r="B1004" s="72"/>
      <c r="C1004" s="7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69"/>
      <c r="B1005" s="72"/>
      <c r="C1005" s="7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69"/>
      <c r="B1006" s="72"/>
      <c r="C1006" s="7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60"/>
      <c r="B1007" s="72"/>
      <c r="C1007" s="7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</sheetData>
  <mergeCells count="18">
    <mergeCell ref="D16:E16"/>
    <mergeCell ref="G16:H16"/>
    <mergeCell ref="B16:C16"/>
    <mergeCell ref="B23:C23"/>
    <mergeCell ref="D23:E23"/>
    <mergeCell ref="G23:H23"/>
    <mergeCell ref="B9:C9"/>
    <mergeCell ref="B30:C30"/>
    <mergeCell ref="D30:E30"/>
    <mergeCell ref="G30:H30"/>
    <mergeCell ref="L3:P33"/>
    <mergeCell ref="B4:C4"/>
    <mergeCell ref="D9:E9"/>
    <mergeCell ref="G9:H9"/>
    <mergeCell ref="I9:J9"/>
    <mergeCell ref="I16:J16"/>
    <mergeCell ref="I23:J23"/>
    <mergeCell ref="I30:J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5.88"/>
    <col customWidth="1" min="3" max="3" width="25.38"/>
    <col customWidth="1" min="5" max="5" width="31.5"/>
    <col customWidth="1" min="9" max="9" width="10.75"/>
    <col customWidth="1" min="10" max="10" width="22.88"/>
    <col customWidth="1" min="11" max="11" width="4.0"/>
    <col customWidth="1" min="12" max="12" width="36.13"/>
    <col customWidth="1" min="13" max="13" width="22.38"/>
  </cols>
  <sheetData>
    <row r="1">
      <c r="B1" s="3"/>
      <c r="C1" s="7"/>
      <c r="D1" s="7"/>
      <c r="E1" s="3"/>
      <c r="F1" s="3"/>
      <c r="G1" s="7"/>
      <c r="H1" s="7"/>
      <c r="I1" s="7"/>
    </row>
    <row r="2">
      <c r="B2" s="10" t="s">
        <v>2</v>
      </c>
      <c r="C2" s="20" t="s">
        <v>5</v>
      </c>
      <c r="D2" s="7"/>
      <c r="E2" s="3"/>
      <c r="F2" s="3"/>
      <c r="G2" s="7"/>
      <c r="H2" s="7"/>
      <c r="I2" s="7"/>
      <c r="L2" s="10" t="s">
        <v>2</v>
      </c>
      <c r="M2" s="20" t="s">
        <v>9</v>
      </c>
    </row>
    <row r="3">
      <c r="B3" s="10" t="s">
        <v>6</v>
      </c>
      <c r="C3" s="7">
        <f>COUNT(A6:A1934)</f>
        <v>185</v>
      </c>
      <c r="D3" s="7"/>
      <c r="E3" s="3"/>
      <c r="F3" s="3"/>
      <c r="G3" s="7"/>
      <c r="H3" s="7"/>
      <c r="I3" s="7"/>
      <c r="L3" s="10" t="s">
        <v>6</v>
      </c>
      <c r="M3" s="7">
        <f>COUNT(K6:K1934)</f>
        <v>12</v>
      </c>
    </row>
    <row r="4">
      <c r="A4" s="38" t="s">
        <v>21</v>
      </c>
      <c r="D4" s="7"/>
      <c r="E4" s="3"/>
      <c r="F4" s="3"/>
      <c r="G4" s="7"/>
      <c r="H4" s="7"/>
      <c r="I4" s="7"/>
      <c r="J4" s="38"/>
      <c r="K4" s="38" t="s">
        <v>24</v>
      </c>
    </row>
    <row r="5" ht="35.25" customHeight="1">
      <c r="A5" s="43" t="s">
        <v>22</v>
      </c>
      <c r="B5" s="43" t="s">
        <v>30</v>
      </c>
      <c r="C5" s="43" t="s">
        <v>31</v>
      </c>
      <c r="D5" s="43" t="s">
        <v>20</v>
      </c>
      <c r="E5" s="3"/>
      <c r="F5" s="3"/>
      <c r="G5" s="7"/>
      <c r="H5" s="7"/>
      <c r="I5" s="7"/>
      <c r="J5" s="49"/>
      <c r="K5" s="43" t="s">
        <v>22</v>
      </c>
      <c r="L5" s="43" t="s">
        <v>30</v>
      </c>
      <c r="M5" s="43" t="s">
        <v>31</v>
      </c>
    </row>
    <row r="6">
      <c r="A6" s="61">
        <f t="shared" ref="A6:A1934" si="1">IF(B6="","",ROW()-5)</f>
        <v>1</v>
      </c>
      <c r="B6" s="73" t="str">
        <f>IFERROR(__xludf.DUMMYFUNCTION("IFERROR(FILTER('HEAD OF THE FAMILY'!B6:C1934,ISNUMBER(SEARCH(LOWER(C2), LOWER('HEAD OF THE FAMILY'!C6:C1934)))), ""NO MATCH FOUND"")"),"ADELAIDA O. PULGA")</f>
        <v>ADELAIDA O. PULGA</v>
      </c>
      <c r="C6" s="76" t="str">
        <f>IFERROR(__xludf.DUMMYFUNCTION("""COMPUTED_VALUE"""),"SENIOR")</f>
        <v>SENIOR</v>
      </c>
      <c r="D6" s="76" t="str">
        <f>VLOOKUP(B6,'HEAD OF THE FAMILY'!B6:J1934,9,FALSE)</f>
        <v>BLOCK 4</v>
      </c>
      <c r="E6" s="3"/>
      <c r="F6" s="3"/>
      <c r="G6" s="7"/>
      <c r="H6" s="7"/>
      <c r="I6" s="7"/>
      <c r="J6" s="60"/>
      <c r="K6" s="61">
        <f t="shared" ref="K6:K1934" si="2">IF(L6="","",ROW()-5)</f>
        <v>1</v>
      </c>
      <c r="L6" s="73" t="str">
        <f>IFERROR(__xludf.DUMMYFUNCTION("IFERROR(FILTER('HEAD OF THE FAMILY'!H6:I1934,ISNUMBER(SEARCH(LOWER(M2), LOWER('HEAD OF THE FAMILY'!I6:I1934)))), ""NO MATCH FOUND"")"),"MARY JOY A CAMPOS")</f>
        <v>MARY JOY A CAMPOS</v>
      </c>
      <c r="M6" s="73" t="str">
        <f>IFERROR(__xludf.DUMMYFUNCTION("""COMPUTED_VALUE"""),"BRGY. OFFICIALS")</f>
        <v>BRGY. OFFICIALS</v>
      </c>
    </row>
    <row r="7">
      <c r="A7" s="61">
        <f t="shared" si="1"/>
        <v>2</v>
      </c>
      <c r="B7" s="73" t="str">
        <f>IFERROR(__xludf.DUMMYFUNCTION("""COMPUTED_VALUE"""),"ADORACION LLENO")</f>
        <v>ADORACION LLENO</v>
      </c>
      <c r="C7" s="76" t="str">
        <f>IFERROR(__xludf.DUMMYFUNCTION("""COMPUTED_VALUE"""),"SENIOR")</f>
        <v>SENIOR</v>
      </c>
      <c r="D7" s="76" t="str">
        <f>VLOOKUP(B7,'HEAD OF THE FAMILY'!B7:J1934,9,FALSE)</f>
        <v>BLK 46</v>
      </c>
      <c r="E7" s="3"/>
      <c r="F7" s="3"/>
      <c r="G7" s="38" t="s">
        <v>48</v>
      </c>
      <c r="H7" s="38" t="s">
        <v>24</v>
      </c>
      <c r="I7" s="38" t="s">
        <v>56</v>
      </c>
      <c r="J7" s="60"/>
      <c r="K7" s="61">
        <f t="shared" si="2"/>
        <v>2</v>
      </c>
      <c r="L7" s="73" t="str">
        <f>IFERROR(__xludf.DUMMYFUNCTION("""COMPUTED_VALUE"""),"ELSIE HIPOLITO")</f>
        <v>ELSIE HIPOLITO</v>
      </c>
      <c r="M7" s="73" t="str">
        <f>IFERROR(__xludf.DUMMYFUNCTION("""COMPUTED_VALUE"""),"BRGY. OFFICIALS")</f>
        <v>BRGY. OFFICIALS</v>
      </c>
    </row>
    <row r="8">
      <c r="A8" s="61">
        <f t="shared" si="1"/>
        <v>3</v>
      </c>
      <c r="B8" s="73" t="str">
        <f>IFERROR(__xludf.DUMMYFUNCTION("""COMPUTED_VALUE"""),"AGAPITO A. HILARIO")</f>
        <v>AGAPITO A. HILARIO</v>
      </c>
      <c r="C8" s="76" t="str">
        <f>IFERROR(__xludf.DUMMYFUNCTION("""COMPUTED_VALUE"""),"SENIOR")</f>
        <v>SENIOR</v>
      </c>
      <c r="D8" s="76" t="str">
        <f>VLOOKUP(B8,'HEAD OF THE FAMILY'!B8:J1934,9,FALSE)</f>
        <v>BLK 1</v>
      </c>
      <c r="E8" s="10"/>
      <c r="F8" s="10" t="s">
        <v>37</v>
      </c>
      <c r="G8" s="38">
        <v>179.0</v>
      </c>
      <c r="H8" s="38">
        <v>48.0</v>
      </c>
      <c r="I8" s="7">
        <f t="shared" ref="I8:I14" si="3">SUM(G8:H8)</f>
        <v>227</v>
      </c>
      <c r="J8" s="60"/>
      <c r="K8" s="61">
        <f t="shared" si="2"/>
        <v>3</v>
      </c>
      <c r="L8" s="73" t="str">
        <f>IFERROR(__xludf.DUMMYFUNCTION("""COMPUTED_VALUE"""),"ROSEMARIE GUTIERREZ")</f>
        <v>ROSEMARIE GUTIERREZ</v>
      </c>
      <c r="M8" s="73" t="str">
        <f>IFERROR(__xludf.DUMMYFUNCTION("""COMPUTED_VALUE"""),"BRGY. OFFICIALS")</f>
        <v>BRGY. OFFICIALS</v>
      </c>
    </row>
    <row r="9">
      <c r="A9" s="61">
        <f t="shared" si="1"/>
        <v>4</v>
      </c>
      <c r="B9" s="73" t="str">
        <f>IFERROR(__xludf.DUMMYFUNCTION("""COMPUTED_VALUE"""),"AGOSTO ESTILLANA")</f>
        <v>AGOSTO ESTILLANA</v>
      </c>
      <c r="C9" s="76" t="str">
        <f>IFERROR(__xludf.DUMMYFUNCTION("""COMPUTED_VALUE"""),"SENIOR")</f>
        <v>SENIOR</v>
      </c>
      <c r="D9" s="76" t="str">
        <f>VLOOKUP(B9,'HEAD OF THE FAMILY'!B9:J1934,9,FALSE)</f>
        <v>BLK 41</v>
      </c>
      <c r="E9" s="10"/>
      <c r="F9" s="10" t="s">
        <v>69</v>
      </c>
      <c r="G9" s="38">
        <v>13.0</v>
      </c>
      <c r="H9" s="38">
        <v>12.0</v>
      </c>
      <c r="I9" s="7">
        <f t="shared" si="3"/>
        <v>25</v>
      </c>
      <c r="J9" s="60"/>
      <c r="K9" s="61">
        <f t="shared" si="2"/>
        <v>4</v>
      </c>
      <c r="L9" s="73" t="str">
        <f>IFERROR(__xludf.DUMMYFUNCTION("""COMPUTED_VALUE"""),"ELBA DOLORES E. QUIJADO")</f>
        <v>ELBA DOLORES E. QUIJADO</v>
      </c>
      <c r="M9" s="73" t="str">
        <f>IFERROR(__xludf.DUMMYFUNCTION("""COMPUTED_VALUE"""),"BRGY. OFFICIALS, SENIOR")</f>
        <v>BRGY. OFFICIALS, SENIOR</v>
      </c>
    </row>
    <row r="10">
      <c r="A10" s="61">
        <f t="shared" si="1"/>
        <v>5</v>
      </c>
      <c r="B10" s="73" t="str">
        <f>IFERROR(__xludf.DUMMYFUNCTION("""COMPUTED_VALUE"""),"ALBERTO A MACABENTA")</f>
        <v>ALBERTO A MACABENTA</v>
      </c>
      <c r="C10" s="76" t="str">
        <f>IFERROR(__xludf.DUMMYFUNCTION("""COMPUTED_VALUE"""),"SENIOR")</f>
        <v>SENIOR</v>
      </c>
      <c r="D10" s="76" t="str">
        <f>VLOOKUP(B10,'HEAD OF THE FAMILY'!B10:J1934,9,FALSE)</f>
        <v>BLK 45</v>
      </c>
      <c r="E10" s="10"/>
      <c r="F10" s="10" t="s">
        <v>72</v>
      </c>
      <c r="G10" s="38">
        <v>12.0</v>
      </c>
      <c r="H10" s="38">
        <v>17.0</v>
      </c>
      <c r="I10" s="7">
        <f t="shared" si="3"/>
        <v>29</v>
      </c>
      <c r="J10" s="60"/>
      <c r="K10" s="61">
        <f t="shared" si="2"/>
        <v>5</v>
      </c>
      <c r="L10" s="73" t="str">
        <f>IFERROR(__xludf.DUMMYFUNCTION("""COMPUTED_VALUE"""),"LEONORA J. EDRALIN")</f>
        <v>LEONORA J. EDRALIN</v>
      </c>
      <c r="M10" s="73" t="str">
        <f>IFERROR(__xludf.DUMMYFUNCTION("""COMPUTED_VALUE"""),"BRGY. OFFICIALS")</f>
        <v>BRGY. OFFICIALS</v>
      </c>
    </row>
    <row r="11">
      <c r="A11" s="61">
        <f t="shared" si="1"/>
        <v>6</v>
      </c>
      <c r="B11" s="73" t="str">
        <f>IFERROR(__xludf.DUMMYFUNCTION("""COMPUTED_VALUE"""),"ALBERTO E DE GUZMAN")</f>
        <v>ALBERTO E DE GUZMAN</v>
      </c>
      <c r="C11" s="76" t="str">
        <f>IFERROR(__xludf.DUMMYFUNCTION("""COMPUTED_VALUE"""),"SENIOR")</f>
        <v>SENIOR</v>
      </c>
      <c r="D11" s="76" t="str">
        <f>VLOOKUP(B11,'HEAD OF THE FAMILY'!B11:J1934,9,FALSE)</f>
        <v>BLK 46</v>
      </c>
      <c r="E11" s="10"/>
      <c r="F11" s="10" t="s">
        <v>76</v>
      </c>
      <c r="G11" s="38">
        <v>12.0</v>
      </c>
      <c r="H11" s="38">
        <v>2.0</v>
      </c>
      <c r="I11" s="7">
        <f t="shared" si="3"/>
        <v>14</v>
      </c>
      <c r="J11" s="60"/>
      <c r="K11" s="61">
        <f t="shared" si="2"/>
        <v>6</v>
      </c>
      <c r="L11" s="73" t="str">
        <f>IFERROR(__xludf.DUMMYFUNCTION("""COMPUTED_VALUE"""),"IRENE JOY JOVEN")</f>
        <v>IRENE JOY JOVEN</v>
      </c>
      <c r="M11" s="73" t="str">
        <f>IFERROR(__xludf.DUMMYFUNCTION("""COMPUTED_VALUE"""),"BRGY. OFFICIALS")</f>
        <v>BRGY. OFFICIALS</v>
      </c>
    </row>
    <row r="12">
      <c r="A12" s="61">
        <f t="shared" si="1"/>
        <v>7</v>
      </c>
      <c r="B12" s="73" t="str">
        <f>IFERROR(__xludf.DUMMYFUNCTION("""COMPUTED_VALUE"""),"ALBERTO LOBRIO SR.")</f>
        <v>ALBERTO LOBRIO SR.</v>
      </c>
      <c r="C12" s="76" t="str">
        <f>IFERROR(__xludf.DUMMYFUNCTION("""COMPUTED_VALUE"""),"SENIOR")</f>
        <v>SENIOR</v>
      </c>
      <c r="D12" s="76" t="str">
        <f>VLOOKUP(B12,'HEAD OF THE FAMILY'!B12:J1934,9,FALSE)</f>
        <v>BLK 49</v>
      </c>
      <c r="E12" s="10"/>
      <c r="F12" s="10" t="s">
        <v>79</v>
      </c>
      <c r="G12" s="38">
        <v>30.0</v>
      </c>
      <c r="H12" s="38">
        <v>12.0</v>
      </c>
      <c r="I12" s="7">
        <f t="shared" si="3"/>
        <v>42</v>
      </c>
      <c r="J12" s="60"/>
      <c r="K12" s="61">
        <f t="shared" si="2"/>
        <v>7</v>
      </c>
      <c r="L12" s="73" t="str">
        <f>IFERROR(__xludf.DUMMYFUNCTION("""COMPUTED_VALUE"""),"MARY ANN LUCEÑO")</f>
        <v>MARY ANN LUCEÑO</v>
      </c>
      <c r="M12" s="73" t="str">
        <f>IFERROR(__xludf.DUMMYFUNCTION("""COMPUTED_VALUE"""),"BRGY. OFFICIALS")</f>
        <v>BRGY. OFFICIALS</v>
      </c>
    </row>
    <row r="13">
      <c r="A13" s="61">
        <f t="shared" si="1"/>
        <v>8</v>
      </c>
      <c r="B13" s="73" t="str">
        <f>IFERROR(__xludf.DUMMYFUNCTION("""COMPUTED_VALUE"""),"ALBERTO MANUEL")</f>
        <v>ALBERTO MANUEL</v>
      </c>
      <c r="C13" s="76" t="str">
        <f>IFERROR(__xludf.DUMMYFUNCTION("""COMPUTED_VALUE"""),"SENIOR")</f>
        <v>SENIOR</v>
      </c>
      <c r="D13" s="76" t="str">
        <f>VLOOKUP(B13,'HEAD OF THE FAMILY'!B13:J1934,9,FALSE)</f>
        <v>BLK 46</v>
      </c>
      <c r="E13" s="10"/>
      <c r="F13" s="10" t="s">
        <v>88</v>
      </c>
      <c r="G13" s="38">
        <v>8.0</v>
      </c>
      <c r="H13" s="38">
        <v>10.0</v>
      </c>
      <c r="I13" s="7">
        <f t="shared" si="3"/>
        <v>18</v>
      </c>
      <c r="J13" s="60"/>
      <c r="K13" s="61">
        <f t="shared" si="2"/>
        <v>8</v>
      </c>
      <c r="L13" s="73" t="str">
        <f>IFERROR(__xludf.DUMMYFUNCTION("""COMPUTED_VALUE"""),"MARIBETH MALAIT")</f>
        <v>MARIBETH MALAIT</v>
      </c>
      <c r="M13" s="73" t="str">
        <f>IFERROR(__xludf.DUMMYFUNCTION("""COMPUTED_VALUE"""),"BRGY. OFFICIALS")</f>
        <v>BRGY. OFFICIALS</v>
      </c>
    </row>
    <row r="14">
      <c r="A14" s="61">
        <f t="shared" si="1"/>
        <v>9</v>
      </c>
      <c r="B14" s="73" t="str">
        <f>IFERROR(__xludf.DUMMYFUNCTION("""COMPUTED_VALUE"""),"ALEXANDER ALONZO")</f>
        <v>ALEXANDER ALONZO</v>
      </c>
      <c r="C14" s="76" t="str">
        <f>IFERROR(__xludf.DUMMYFUNCTION("""COMPUTED_VALUE"""),"SENIOR")</f>
        <v>SENIOR</v>
      </c>
      <c r="D14" s="76" t="str">
        <f>VLOOKUP(B14,'HEAD OF THE FAMILY'!B14:J1934,9,FALSE)</f>
        <v>BLK 1</v>
      </c>
      <c r="E14" s="10"/>
      <c r="F14" s="10" t="s">
        <v>92</v>
      </c>
      <c r="G14" s="38">
        <v>21.0</v>
      </c>
      <c r="H14" s="38">
        <v>2.0</v>
      </c>
      <c r="I14" s="7">
        <f t="shared" si="3"/>
        <v>23</v>
      </c>
      <c r="J14" s="60"/>
      <c r="K14" s="61">
        <f t="shared" si="2"/>
        <v>9</v>
      </c>
      <c r="L14" s="73" t="str">
        <f>IFERROR(__xludf.DUMMYFUNCTION("""COMPUTED_VALUE"""),"BEATRIZ D. EVANGELISTA")</f>
        <v>BEATRIZ D. EVANGELISTA</v>
      </c>
      <c r="M14" s="73" t="str">
        <f>IFERROR(__xludf.DUMMYFUNCTION("""COMPUTED_VALUE"""),"BRGY. OFFICIALS")</f>
        <v>BRGY. OFFICIALS</v>
      </c>
    </row>
    <row r="15">
      <c r="A15" s="61">
        <f t="shared" si="1"/>
        <v>10</v>
      </c>
      <c r="B15" s="73" t="str">
        <f>IFERROR(__xludf.DUMMYFUNCTION("""COMPUTED_VALUE"""),"ALEXANDER CAMPAÑA")</f>
        <v>ALEXANDER CAMPAÑA</v>
      </c>
      <c r="C15" s="76" t="str">
        <f>IFERROR(__xludf.DUMMYFUNCTION("""COMPUTED_VALUE"""),"SENIOR")</f>
        <v>SENIOR</v>
      </c>
      <c r="D15" s="76" t="str">
        <f>VLOOKUP(B15,'HEAD OF THE FAMILY'!B15:J1934,9,FALSE)</f>
        <v>BLK 1</v>
      </c>
      <c r="E15" s="10"/>
      <c r="F15" s="10"/>
      <c r="G15" s="38"/>
      <c r="H15" s="7"/>
      <c r="I15" s="7"/>
      <c r="J15" s="60"/>
      <c r="K15" s="61">
        <f t="shared" si="2"/>
        <v>10</v>
      </c>
      <c r="L15" s="73" t="str">
        <f>IFERROR(__xludf.DUMMYFUNCTION("""COMPUTED_VALUE"""),"JERLYN H. LEBOSADA")</f>
        <v>JERLYN H. LEBOSADA</v>
      </c>
      <c r="M15" s="73" t="str">
        <f>IFERROR(__xludf.DUMMYFUNCTION("""COMPUTED_VALUE"""),"BRGY. OFFICIALS")</f>
        <v>BRGY. OFFICIALS</v>
      </c>
    </row>
    <row r="16">
      <c r="A16" s="61">
        <f t="shared" si="1"/>
        <v>11</v>
      </c>
      <c r="B16" s="73" t="str">
        <f>IFERROR(__xludf.DUMMYFUNCTION("""COMPUTED_VALUE"""),"ALICIA D. REYES")</f>
        <v>ALICIA D. REYES</v>
      </c>
      <c r="C16" s="76" t="str">
        <f>IFERROR(__xludf.DUMMYFUNCTION("""COMPUTED_VALUE"""),"SENIOR")</f>
        <v>SENIOR</v>
      </c>
      <c r="D16" s="76" t="str">
        <f>VLOOKUP(B16,'HEAD OF THE FAMILY'!B16:J1934,9,FALSE)</f>
        <v>BLOCK 4</v>
      </c>
      <c r="E16" s="3"/>
      <c r="F16" s="3"/>
      <c r="G16" s="7"/>
      <c r="H16" s="7"/>
      <c r="I16" s="7"/>
      <c r="J16" s="60"/>
      <c r="K16" s="61">
        <f t="shared" si="2"/>
        <v>11</v>
      </c>
      <c r="L16" s="73" t="str">
        <f>IFERROR(__xludf.DUMMYFUNCTION("""COMPUTED_VALUE"""),"DOLORES R. BUSCAGAN")</f>
        <v>DOLORES R. BUSCAGAN</v>
      </c>
      <c r="M16" s="73" t="str">
        <f>IFERROR(__xludf.DUMMYFUNCTION("""COMPUTED_VALUE"""),"BRGY. OFFICIALS, SENIOR")</f>
        <v>BRGY. OFFICIALS, SENIOR</v>
      </c>
    </row>
    <row r="17">
      <c r="A17" s="61">
        <f t="shared" si="1"/>
        <v>12</v>
      </c>
      <c r="B17" s="73" t="str">
        <f>IFERROR(__xludf.DUMMYFUNCTION("""COMPUTED_VALUE"""),"ALICIA R. MAGBANUA")</f>
        <v>ALICIA R. MAGBANUA</v>
      </c>
      <c r="C17" s="76" t="str">
        <f>IFERROR(__xludf.DUMMYFUNCTION("""COMPUTED_VALUE"""),"SENIOR")</f>
        <v>SENIOR</v>
      </c>
      <c r="D17" s="76" t="str">
        <f>VLOOKUP(B17,'HEAD OF THE FAMILY'!B17:J1934,9,FALSE)</f>
        <v>BLK 45</v>
      </c>
      <c r="E17" s="3"/>
      <c r="F17" s="3"/>
      <c r="G17" s="7"/>
      <c r="H17" s="7"/>
      <c r="I17" s="7"/>
      <c r="J17" s="60"/>
      <c r="K17" s="61">
        <f t="shared" si="2"/>
        <v>12</v>
      </c>
      <c r="L17" s="73" t="str">
        <f>IFERROR(__xludf.DUMMYFUNCTION("""COMPUTED_VALUE"""),"MELINDA M. ARGOTA")</f>
        <v>MELINDA M. ARGOTA</v>
      </c>
      <c r="M17" s="73" t="str">
        <f>IFERROR(__xludf.DUMMYFUNCTION("""COMPUTED_VALUE"""),"BRGY. OFFICIALS")</f>
        <v>BRGY. OFFICIALS</v>
      </c>
    </row>
    <row r="18">
      <c r="A18" s="61">
        <f t="shared" si="1"/>
        <v>13</v>
      </c>
      <c r="B18" s="73" t="str">
        <f>IFERROR(__xludf.DUMMYFUNCTION("""COMPUTED_VALUE"""),"AMBROSO ALZAGA")</f>
        <v>AMBROSO ALZAGA</v>
      </c>
      <c r="C18" s="76" t="str">
        <f>IFERROR(__xludf.DUMMYFUNCTION("""COMPUTED_VALUE"""),"SENIOR")</f>
        <v>SENIOR</v>
      </c>
      <c r="D18" s="76" t="str">
        <f>VLOOKUP(B18,'HEAD OF THE FAMILY'!B18:J1934,9,FALSE)</f>
        <v>BLK 1</v>
      </c>
      <c r="E18" s="3"/>
      <c r="F18" s="3"/>
      <c r="G18" s="7"/>
      <c r="H18" s="7"/>
      <c r="I18" s="7"/>
      <c r="J18" s="60"/>
      <c r="K18" s="61" t="str">
        <f t="shared" si="2"/>
        <v/>
      </c>
      <c r="L18" s="73"/>
      <c r="M18" s="73"/>
    </row>
    <row r="19">
      <c r="A19" s="61">
        <f t="shared" si="1"/>
        <v>14</v>
      </c>
      <c r="B19" s="73" t="str">
        <f>IFERROR(__xludf.DUMMYFUNCTION("""COMPUTED_VALUE"""),"AMPARO L. MARCOS ")</f>
        <v>AMPARO L. MARCOS </v>
      </c>
      <c r="C19" s="76" t="str">
        <f>IFERROR(__xludf.DUMMYFUNCTION("""COMPUTED_VALUE"""),"SENIOR")</f>
        <v>SENIOR</v>
      </c>
      <c r="D19" s="76" t="str">
        <f>VLOOKUP(B19,'HEAD OF THE FAMILY'!B19:J1934,9,FALSE)</f>
        <v>BLK 45</v>
      </c>
      <c r="E19" s="3"/>
      <c r="F19" s="3"/>
      <c r="G19" s="7"/>
      <c r="H19" s="7"/>
      <c r="I19" s="7"/>
      <c r="J19" s="60"/>
      <c r="K19" s="61" t="str">
        <f t="shared" si="2"/>
        <v/>
      </c>
      <c r="L19" s="73"/>
      <c r="M19" s="73"/>
    </row>
    <row r="20">
      <c r="A20" s="61">
        <f t="shared" si="1"/>
        <v>15</v>
      </c>
      <c r="B20" s="73" t="str">
        <f>IFERROR(__xludf.DUMMYFUNCTION("""COMPUTED_VALUE"""),"ANATALIA J. RAFIÑAN")</f>
        <v>ANATALIA J. RAFIÑAN</v>
      </c>
      <c r="C20" s="76" t="str">
        <f>IFERROR(__xludf.DUMMYFUNCTION("""COMPUTED_VALUE"""),"SENIOR")</f>
        <v>SENIOR</v>
      </c>
      <c r="D20" s="76" t="str">
        <f>VLOOKUP(B20,'HEAD OF THE FAMILY'!B20:J1934,9,FALSE)</f>
        <v>BLK 1</v>
      </c>
      <c r="E20" s="3"/>
      <c r="F20" s="3"/>
      <c r="G20" s="7"/>
      <c r="H20" s="7"/>
      <c r="I20" s="7"/>
      <c r="J20" s="60"/>
      <c r="K20" s="61" t="str">
        <f t="shared" si="2"/>
        <v/>
      </c>
      <c r="L20" s="73"/>
      <c r="M20" s="73"/>
    </row>
    <row r="21">
      <c r="A21" s="61">
        <f t="shared" si="1"/>
        <v>16</v>
      </c>
      <c r="B21" s="73" t="str">
        <f>IFERROR(__xludf.DUMMYFUNCTION("""COMPUTED_VALUE"""),"ANGELITA E. QUIRIT")</f>
        <v>ANGELITA E. QUIRIT</v>
      </c>
      <c r="C21" s="76" t="str">
        <f>IFERROR(__xludf.DUMMYFUNCTION("""COMPUTED_VALUE"""),"SENIOR")</f>
        <v>SENIOR</v>
      </c>
      <c r="D21" s="76" t="str">
        <f>VLOOKUP(B21,'HEAD OF THE FAMILY'!B21:J1934,9,FALSE)</f>
        <v>BLOCK 4</v>
      </c>
      <c r="E21" s="3"/>
      <c r="F21" s="3"/>
      <c r="G21" s="7"/>
      <c r="H21" s="7"/>
      <c r="I21" s="7"/>
      <c r="J21" s="60"/>
      <c r="K21" s="61" t="str">
        <f t="shared" si="2"/>
        <v/>
      </c>
      <c r="L21" s="73"/>
      <c r="M21" s="73"/>
    </row>
    <row r="22">
      <c r="A22" s="61">
        <f t="shared" si="1"/>
        <v>17</v>
      </c>
      <c r="B22" s="73" t="str">
        <f>IFERROR(__xludf.DUMMYFUNCTION("""COMPUTED_VALUE"""),"ANNILYN ROBLES")</f>
        <v>ANNILYN ROBLES</v>
      </c>
      <c r="C22" s="76" t="str">
        <f>IFERROR(__xludf.DUMMYFUNCTION("""COMPUTED_VALUE"""),"SENIOR")</f>
        <v>SENIOR</v>
      </c>
      <c r="D22" s="76" t="str">
        <f>VLOOKUP(B22,'HEAD OF THE FAMILY'!B22:J1934,9,FALSE)</f>
        <v>BLOCK 4</v>
      </c>
      <c r="E22" s="3"/>
      <c r="F22" s="3"/>
      <c r="G22" s="7"/>
      <c r="H22" s="7"/>
      <c r="I22" s="7"/>
      <c r="J22" s="60"/>
      <c r="K22" s="61" t="str">
        <f t="shared" si="2"/>
        <v/>
      </c>
      <c r="L22" s="73"/>
      <c r="M22" s="73"/>
    </row>
    <row r="23">
      <c r="A23" s="61">
        <f t="shared" si="1"/>
        <v>18</v>
      </c>
      <c r="B23" s="73" t="str">
        <f>IFERROR(__xludf.DUMMYFUNCTION("""COMPUTED_VALUE"""),"ANTONIO CABER")</f>
        <v>ANTONIO CABER</v>
      </c>
      <c r="C23" s="76" t="str">
        <f>IFERROR(__xludf.DUMMYFUNCTION("""COMPUTED_VALUE"""),"BRGY. OFFICIALS, SENIOR")</f>
        <v>BRGY. OFFICIALS, SENIOR</v>
      </c>
      <c r="D23" s="76" t="str">
        <f>VLOOKUP(B23,'HEAD OF THE FAMILY'!B23:J1934,9,FALSE)</f>
        <v>BLOCK 4</v>
      </c>
      <c r="E23" s="3"/>
      <c r="F23" s="3"/>
      <c r="G23" s="7"/>
      <c r="H23" s="7"/>
      <c r="I23" s="7"/>
      <c r="J23" s="60"/>
      <c r="K23" s="61" t="str">
        <f t="shared" si="2"/>
        <v/>
      </c>
      <c r="L23" s="73"/>
      <c r="M23" s="73"/>
    </row>
    <row r="24">
      <c r="A24" s="61">
        <f t="shared" si="1"/>
        <v>19</v>
      </c>
      <c r="B24" s="73" t="str">
        <f>IFERROR(__xludf.DUMMYFUNCTION("""COMPUTED_VALUE"""),"ARNALDO QUIÑONES SR.")</f>
        <v>ARNALDO QUIÑONES SR.</v>
      </c>
      <c r="C24" s="76" t="str">
        <f>IFERROR(__xludf.DUMMYFUNCTION("""COMPUTED_VALUE"""),"SENIOR")</f>
        <v>SENIOR</v>
      </c>
      <c r="D24" s="76" t="str">
        <f>VLOOKUP(B24,'HEAD OF THE FAMILY'!B24:J1934,9,FALSE)</f>
        <v>BLK 41</v>
      </c>
      <c r="E24" s="3"/>
      <c r="F24" s="3"/>
      <c r="G24" s="7"/>
      <c r="H24" s="7"/>
      <c r="I24" s="7"/>
      <c r="J24" s="60"/>
      <c r="K24" s="61" t="str">
        <f t="shared" si="2"/>
        <v/>
      </c>
      <c r="L24" s="73"/>
      <c r="M24" s="73"/>
    </row>
    <row r="25">
      <c r="A25" s="61">
        <f t="shared" si="1"/>
        <v>20</v>
      </c>
      <c r="B25" s="73" t="str">
        <f>IFERROR(__xludf.DUMMYFUNCTION("""COMPUTED_VALUE"""),"ARNANDO CLAWIN")</f>
        <v>ARNANDO CLAWIN</v>
      </c>
      <c r="C25" s="76" t="str">
        <f>IFERROR(__xludf.DUMMYFUNCTION("""COMPUTED_VALUE"""),"SENIOR")</f>
        <v>SENIOR</v>
      </c>
      <c r="D25" s="76" t="str">
        <f>VLOOKUP(B25,'HEAD OF THE FAMILY'!B25:J1934,9,FALSE)</f>
        <v>BLK 46</v>
      </c>
      <c r="E25" s="3"/>
      <c r="F25" s="3"/>
      <c r="G25" s="7"/>
      <c r="H25" s="7"/>
      <c r="I25" s="7"/>
      <c r="J25" s="60"/>
      <c r="K25" s="60" t="str">
        <f t="shared" si="2"/>
        <v/>
      </c>
    </row>
    <row r="26">
      <c r="A26" s="61">
        <f t="shared" si="1"/>
        <v>21</v>
      </c>
      <c r="B26" s="73" t="str">
        <f>IFERROR(__xludf.DUMMYFUNCTION("""COMPUTED_VALUE"""),"ARTURO M DAGAL")</f>
        <v>ARTURO M DAGAL</v>
      </c>
      <c r="C26" s="76" t="str">
        <f>IFERROR(__xludf.DUMMYFUNCTION("""COMPUTED_VALUE"""),"SENIOR")</f>
        <v>SENIOR</v>
      </c>
      <c r="D26" s="76" t="str">
        <f>VLOOKUP(B26,'HEAD OF THE FAMILY'!B26:J1934,9,FALSE)</f>
        <v>BLK 45</v>
      </c>
      <c r="E26" s="3"/>
      <c r="F26" s="3"/>
      <c r="G26" s="7"/>
      <c r="H26" s="7"/>
      <c r="I26" s="7"/>
      <c r="J26" s="60"/>
      <c r="K26" s="60" t="str">
        <f t="shared" si="2"/>
        <v/>
      </c>
    </row>
    <row r="27">
      <c r="A27" s="61">
        <f t="shared" si="1"/>
        <v>22</v>
      </c>
      <c r="B27" s="73" t="str">
        <f>IFERROR(__xludf.DUMMYFUNCTION("""COMPUTED_VALUE"""),"AURORA LAZARO")</f>
        <v>AURORA LAZARO</v>
      </c>
      <c r="C27" s="76" t="str">
        <f>IFERROR(__xludf.DUMMYFUNCTION("""COMPUTED_VALUE"""),"SENIOR")</f>
        <v>SENIOR</v>
      </c>
      <c r="D27" s="76" t="str">
        <f>VLOOKUP(B27,'HEAD OF THE FAMILY'!B27:J1934,9,FALSE)</f>
        <v>BLOCK 4</v>
      </c>
      <c r="E27" s="3"/>
      <c r="F27" s="3"/>
      <c r="G27" s="7"/>
      <c r="H27" s="7"/>
      <c r="I27" s="7"/>
      <c r="J27" s="60"/>
      <c r="K27" s="60" t="str">
        <f t="shared" si="2"/>
        <v/>
      </c>
    </row>
    <row r="28">
      <c r="A28" s="61">
        <f t="shared" si="1"/>
        <v>23</v>
      </c>
      <c r="B28" s="73" t="str">
        <f>IFERROR(__xludf.DUMMYFUNCTION("""COMPUTED_VALUE"""),"BAMBINO P. PAZ")</f>
        <v>BAMBINO P. PAZ</v>
      </c>
      <c r="C28" s="76" t="str">
        <f>IFERROR(__xludf.DUMMYFUNCTION("""COMPUTED_VALUE"""),"SENIOR")</f>
        <v>SENIOR</v>
      </c>
      <c r="D28" s="76" t="str">
        <f>VLOOKUP(B28,'HEAD OF THE FAMILY'!B28:J1934,9,FALSE)</f>
        <v>BLOCK 4</v>
      </c>
      <c r="E28" s="3"/>
      <c r="F28" s="3"/>
      <c r="G28" s="7"/>
      <c r="H28" s="7"/>
      <c r="I28" s="7"/>
      <c r="J28" s="60"/>
      <c r="K28" s="60" t="str">
        <f t="shared" si="2"/>
        <v/>
      </c>
    </row>
    <row r="29">
      <c r="A29" s="61">
        <f t="shared" si="1"/>
        <v>24</v>
      </c>
      <c r="B29" s="73" t="str">
        <f>IFERROR(__xludf.DUMMYFUNCTION("""COMPUTED_VALUE"""),"BERNARD SARMIENTO")</f>
        <v>BERNARD SARMIENTO</v>
      </c>
      <c r="C29" s="76" t="str">
        <f>IFERROR(__xludf.DUMMYFUNCTION("""COMPUTED_VALUE"""),"SENIOR")</f>
        <v>SENIOR</v>
      </c>
      <c r="D29" s="76" t="str">
        <f>VLOOKUP(B29,'HEAD OF THE FAMILY'!B29:J1934,9,FALSE)</f>
        <v>BLK 45</v>
      </c>
      <c r="E29" s="3"/>
      <c r="F29" s="3"/>
      <c r="G29" s="7"/>
      <c r="H29" s="7"/>
      <c r="I29" s="7"/>
      <c r="J29" s="60"/>
      <c r="K29" s="60" t="str">
        <f t="shared" si="2"/>
        <v/>
      </c>
    </row>
    <row r="30">
      <c r="A30" s="61">
        <f t="shared" si="1"/>
        <v>25</v>
      </c>
      <c r="B30" s="73" t="str">
        <f>IFERROR(__xludf.DUMMYFUNCTION("""COMPUTED_VALUE"""),"BIENVENIDO C. VITORIA SR. ")</f>
        <v>BIENVENIDO C. VITORIA SR. </v>
      </c>
      <c r="C30" s="76" t="str">
        <f>IFERROR(__xludf.DUMMYFUNCTION("""COMPUTED_VALUE"""),"SENIOR")</f>
        <v>SENIOR</v>
      </c>
      <c r="D30" s="76" t="str">
        <f>VLOOKUP(B30,'HEAD OF THE FAMILY'!B30:J1934,9,FALSE)</f>
        <v>BLK 45</v>
      </c>
      <c r="E30" s="3"/>
      <c r="F30" s="3"/>
      <c r="G30" s="7"/>
      <c r="H30" s="7"/>
      <c r="I30" s="7"/>
      <c r="J30" s="60"/>
      <c r="K30" s="60" t="str">
        <f t="shared" si="2"/>
        <v/>
      </c>
    </row>
    <row r="31">
      <c r="A31" s="61">
        <f t="shared" si="1"/>
        <v>26</v>
      </c>
      <c r="B31" s="73" t="str">
        <f>IFERROR(__xludf.DUMMYFUNCTION("""COMPUTED_VALUE"""),"BRANDO MALAIT")</f>
        <v>BRANDO MALAIT</v>
      </c>
      <c r="C31" s="76" t="str">
        <f>IFERROR(__xludf.DUMMYFUNCTION("""COMPUTED_VALUE"""),"N/A, SENIOR")</f>
        <v>N/A, SENIOR</v>
      </c>
      <c r="D31" s="76" t="str">
        <f>VLOOKUP(B31,'HEAD OF THE FAMILY'!B31:J1934,9,FALSE)</f>
        <v>BLK 5</v>
      </c>
      <c r="E31" s="3"/>
      <c r="F31" s="3"/>
      <c r="G31" s="7"/>
      <c r="H31" s="7"/>
      <c r="I31" s="7"/>
      <c r="J31" s="60"/>
      <c r="K31" s="60" t="str">
        <f t="shared" si="2"/>
        <v/>
      </c>
    </row>
    <row r="32">
      <c r="A32" s="61">
        <f t="shared" si="1"/>
        <v>27</v>
      </c>
      <c r="B32" s="73" t="str">
        <f>IFERROR(__xludf.DUMMYFUNCTION("""COMPUTED_VALUE"""),"BRUNO TUCO")</f>
        <v>BRUNO TUCO</v>
      </c>
      <c r="C32" s="76" t="str">
        <f>IFERROR(__xludf.DUMMYFUNCTION("""COMPUTED_VALUE"""),"SENIOR")</f>
        <v>SENIOR</v>
      </c>
      <c r="D32" s="76" t="str">
        <f>VLOOKUP(B32,'HEAD OF THE FAMILY'!B32:J1934,9,FALSE)</f>
        <v>BLK 45</v>
      </c>
      <c r="E32" s="3"/>
      <c r="F32" s="3"/>
      <c r="G32" s="7"/>
      <c r="H32" s="7"/>
      <c r="I32" s="7"/>
      <c r="J32" s="60"/>
      <c r="K32" s="60" t="str">
        <f t="shared" si="2"/>
        <v/>
      </c>
    </row>
    <row r="33">
      <c r="A33" s="61">
        <f t="shared" si="1"/>
        <v>28</v>
      </c>
      <c r="B33" s="73" t="str">
        <f>IFERROR(__xludf.DUMMYFUNCTION("""COMPUTED_VALUE"""),"CARMELITA MAAGNO")</f>
        <v>CARMELITA MAAGNO</v>
      </c>
      <c r="C33" s="76" t="str">
        <f>IFERROR(__xludf.DUMMYFUNCTION("""COMPUTED_VALUE"""),"SENIOR")</f>
        <v>SENIOR</v>
      </c>
      <c r="D33" s="76" t="str">
        <f>VLOOKUP(B33,'HEAD OF THE FAMILY'!B33:J1934,9,FALSE)</f>
        <v>BLK 5</v>
      </c>
      <c r="E33" s="3"/>
      <c r="F33" s="3"/>
      <c r="G33" s="7"/>
      <c r="H33" s="7"/>
      <c r="I33" s="7"/>
      <c r="J33" s="60"/>
      <c r="K33" s="60" t="str">
        <f t="shared" si="2"/>
        <v/>
      </c>
    </row>
    <row r="34">
      <c r="A34" s="61">
        <f t="shared" si="1"/>
        <v>29</v>
      </c>
      <c r="B34" s="73" t="str">
        <f>IFERROR(__xludf.DUMMYFUNCTION("""COMPUTED_VALUE"""),"CARMELO G. DE GUZMAN")</f>
        <v>CARMELO G. DE GUZMAN</v>
      </c>
      <c r="C34" s="76" t="str">
        <f>IFERROR(__xludf.DUMMYFUNCTION("""COMPUTED_VALUE"""),"SENIOR")</f>
        <v>SENIOR</v>
      </c>
      <c r="D34" s="76" t="str">
        <f>VLOOKUP(B34,'HEAD OF THE FAMILY'!B34:J1934,9,FALSE)</f>
        <v>BLK 41</v>
      </c>
      <c r="E34" s="3"/>
      <c r="F34" s="3"/>
      <c r="G34" s="7"/>
      <c r="H34" s="7"/>
      <c r="I34" s="7"/>
      <c r="J34" s="60"/>
      <c r="K34" s="60" t="str">
        <f t="shared" si="2"/>
        <v/>
      </c>
    </row>
    <row r="35">
      <c r="A35" s="61">
        <f t="shared" si="1"/>
        <v>30</v>
      </c>
      <c r="B35" s="73" t="str">
        <f>IFERROR(__xludf.DUMMYFUNCTION("""COMPUTED_VALUE"""),"CAROL DEL ROSARIO")</f>
        <v>CAROL DEL ROSARIO</v>
      </c>
      <c r="C35" s="76" t="str">
        <f>IFERROR(__xludf.DUMMYFUNCTION("""COMPUTED_VALUE"""),"SENIOR")</f>
        <v>SENIOR</v>
      </c>
      <c r="D35" s="76" t="str">
        <f>VLOOKUP(B35,'HEAD OF THE FAMILY'!B35:J1934,9,FALSE)</f>
        <v>BLK 49</v>
      </c>
      <c r="E35" s="3"/>
      <c r="F35" s="3"/>
      <c r="G35" s="7"/>
      <c r="H35" s="7"/>
      <c r="I35" s="7"/>
      <c r="J35" s="60"/>
      <c r="K35" s="60" t="str">
        <f t="shared" si="2"/>
        <v/>
      </c>
    </row>
    <row r="36">
      <c r="A36" s="61">
        <f t="shared" si="1"/>
        <v>31</v>
      </c>
      <c r="B36" s="73" t="str">
        <f>IFERROR(__xludf.DUMMYFUNCTION("""COMPUTED_VALUE"""),"CAROLINA TALASTAS")</f>
        <v>CAROLINA TALASTAS</v>
      </c>
      <c r="C36" s="76" t="str">
        <f>IFERROR(__xludf.DUMMYFUNCTION("""COMPUTED_VALUE"""),"SENIOR")</f>
        <v>SENIOR</v>
      </c>
      <c r="D36" s="76" t="str">
        <f>VLOOKUP(B36,'HEAD OF THE FAMILY'!B36:J1934,9,FALSE)</f>
        <v>BLK 5</v>
      </c>
      <c r="E36" s="3"/>
      <c r="F36" s="3"/>
      <c r="G36" s="7"/>
      <c r="H36" s="7"/>
      <c r="I36" s="7"/>
      <c r="J36" s="60"/>
      <c r="K36" s="60" t="str">
        <f t="shared" si="2"/>
        <v/>
      </c>
    </row>
    <row r="37">
      <c r="A37" s="61">
        <f t="shared" si="1"/>
        <v>32</v>
      </c>
      <c r="B37" s="73" t="str">
        <f>IFERROR(__xludf.DUMMYFUNCTION("""COMPUTED_VALUE"""),"CELERINA SAÑEZ")</f>
        <v>CELERINA SAÑEZ</v>
      </c>
      <c r="C37" s="76" t="str">
        <f>IFERROR(__xludf.DUMMYFUNCTION("""COMPUTED_VALUE"""),"SENIOR")</f>
        <v>SENIOR</v>
      </c>
      <c r="D37" s="76" t="str">
        <f>VLOOKUP(B37,'HEAD OF THE FAMILY'!B37:J1934,9,FALSE)</f>
        <v>BLK 3</v>
      </c>
      <c r="E37" s="3"/>
      <c r="F37" s="3"/>
      <c r="G37" s="7"/>
      <c r="H37" s="7"/>
      <c r="I37" s="7"/>
      <c r="J37" s="60"/>
      <c r="K37" s="60" t="str">
        <f t="shared" si="2"/>
        <v/>
      </c>
    </row>
    <row r="38">
      <c r="A38" s="61">
        <f t="shared" si="1"/>
        <v>33</v>
      </c>
      <c r="B38" s="73" t="str">
        <f>IFERROR(__xludf.DUMMYFUNCTION("""COMPUTED_VALUE"""),"CELSO OREJANA")</f>
        <v>CELSO OREJANA</v>
      </c>
      <c r="C38" s="76" t="str">
        <f>IFERROR(__xludf.DUMMYFUNCTION("""COMPUTED_VALUE"""),"SENIOR")</f>
        <v>SENIOR</v>
      </c>
      <c r="D38" s="76" t="str">
        <f>VLOOKUP(B38,'HEAD OF THE FAMILY'!B38:J1934,9,FALSE)</f>
        <v>BLK 41</v>
      </c>
      <c r="E38" s="3"/>
      <c r="F38" s="3"/>
      <c r="G38" s="7"/>
      <c r="H38" s="7"/>
      <c r="I38" s="7"/>
      <c r="J38" s="60"/>
      <c r="K38" s="60" t="str">
        <f t="shared" si="2"/>
        <v/>
      </c>
    </row>
    <row r="39">
      <c r="A39" s="61">
        <f t="shared" si="1"/>
        <v>34</v>
      </c>
      <c r="B39" s="73" t="str">
        <f>IFERROR(__xludf.DUMMYFUNCTION("""COMPUTED_VALUE"""),"CESAR GALLARDO")</f>
        <v>CESAR GALLARDO</v>
      </c>
      <c r="C39" s="76" t="str">
        <f>IFERROR(__xludf.DUMMYFUNCTION("""COMPUTED_VALUE"""),"BRGY. OFFICIALS, SENIOR")</f>
        <v>BRGY. OFFICIALS, SENIOR</v>
      </c>
      <c r="D39" s="76" t="str">
        <f>VLOOKUP(B39,'HEAD OF THE FAMILY'!B39:J1934,9,FALSE)</f>
        <v>BLK 46</v>
      </c>
      <c r="E39" s="3"/>
      <c r="F39" s="3"/>
      <c r="G39" s="7"/>
      <c r="H39" s="7"/>
      <c r="I39" s="7"/>
      <c r="J39" s="60"/>
      <c r="K39" s="60" t="str">
        <f t="shared" si="2"/>
        <v/>
      </c>
    </row>
    <row r="40">
      <c r="A40" s="61">
        <f t="shared" si="1"/>
        <v>35</v>
      </c>
      <c r="B40" s="73" t="str">
        <f>IFERROR(__xludf.DUMMYFUNCTION("""COMPUTED_VALUE"""),"CESAR P. PUNZZALAN")</f>
        <v>CESAR P. PUNZZALAN</v>
      </c>
      <c r="C40" s="76" t="str">
        <f>IFERROR(__xludf.DUMMYFUNCTION("""COMPUTED_VALUE"""),"SENIOR")</f>
        <v>SENIOR</v>
      </c>
      <c r="D40" s="76" t="str">
        <f>VLOOKUP(B40,'HEAD OF THE FAMILY'!B40:J1934,9,FALSE)</f>
        <v>BLK 45</v>
      </c>
      <c r="E40" s="3"/>
      <c r="F40" s="3"/>
      <c r="G40" s="7"/>
      <c r="H40" s="7"/>
      <c r="I40" s="7"/>
      <c r="J40" s="60"/>
      <c r="K40" s="60" t="str">
        <f t="shared" si="2"/>
        <v/>
      </c>
    </row>
    <row r="41">
      <c r="A41" s="61">
        <f t="shared" si="1"/>
        <v>36</v>
      </c>
      <c r="B41" s="73" t="str">
        <f>IFERROR(__xludf.DUMMYFUNCTION("""COMPUTED_VALUE"""),"CONCEPCION ALONZO")</f>
        <v>CONCEPCION ALONZO</v>
      </c>
      <c r="C41" s="76" t="str">
        <f>IFERROR(__xludf.DUMMYFUNCTION("""COMPUTED_VALUE"""),"SENIOR")</f>
        <v>SENIOR</v>
      </c>
      <c r="D41" s="76" t="str">
        <f>VLOOKUP(B41,'HEAD OF THE FAMILY'!B41:J1934,9,FALSE)</f>
        <v>BLK 41</v>
      </c>
      <c r="E41" s="3"/>
      <c r="F41" s="3"/>
      <c r="G41" s="7"/>
      <c r="H41" s="7"/>
      <c r="I41" s="7"/>
      <c r="J41" s="60"/>
      <c r="K41" s="60" t="str">
        <f t="shared" si="2"/>
        <v/>
      </c>
    </row>
    <row r="42">
      <c r="A42" s="61">
        <f t="shared" si="1"/>
        <v>37</v>
      </c>
      <c r="B42" s="73" t="str">
        <f>IFERROR(__xludf.DUMMYFUNCTION("""COMPUTED_VALUE"""),"CONRADO DE FELIX")</f>
        <v>CONRADO DE FELIX</v>
      </c>
      <c r="C42" s="76" t="str">
        <f>IFERROR(__xludf.DUMMYFUNCTION("""COMPUTED_VALUE"""),"SENIOR")</f>
        <v>SENIOR</v>
      </c>
      <c r="D42" s="76" t="str">
        <f>VLOOKUP(B42,'HEAD OF THE FAMILY'!B42:J1934,9,FALSE)</f>
        <v>BLOCK 4</v>
      </c>
      <c r="E42" s="3"/>
      <c r="F42" s="3"/>
      <c r="G42" s="7"/>
      <c r="H42" s="7"/>
      <c r="I42" s="7"/>
      <c r="J42" s="60"/>
      <c r="K42" s="60" t="str">
        <f t="shared" si="2"/>
        <v/>
      </c>
    </row>
    <row r="43">
      <c r="A43" s="61">
        <f t="shared" si="1"/>
        <v>38</v>
      </c>
      <c r="B43" s="73" t="str">
        <f>IFERROR(__xludf.DUMMYFUNCTION("""COMPUTED_VALUE"""),"CORAZON C. DE GUZMAN")</f>
        <v>CORAZON C. DE GUZMAN</v>
      </c>
      <c r="C43" s="76" t="str">
        <f>IFERROR(__xludf.DUMMYFUNCTION("""COMPUTED_VALUE"""),"SENIOR")</f>
        <v>SENIOR</v>
      </c>
      <c r="D43" s="76" t="str">
        <f>VLOOKUP(B43,'HEAD OF THE FAMILY'!B43:J1934,9,FALSE)</f>
        <v>BLK 5</v>
      </c>
      <c r="E43" s="3"/>
      <c r="F43" s="3"/>
      <c r="G43" s="7"/>
      <c r="H43" s="7"/>
      <c r="I43" s="7"/>
      <c r="J43" s="60"/>
      <c r="K43" s="60" t="str">
        <f t="shared" si="2"/>
        <v/>
      </c>
    </row>
    <row r="44">
      <c r="A44" s="61">
        <f t="shared" si="1"/>
        <v>39</v>
      </c>
      <c r="B44" s="73" t="str">
        <f>IFERROR(__xludf.DUMMYFUNCTION("""COMPUTED_VALUE"""),"CORAZON PEREZ")</f>
        <v>CORAZON PEREZ</v>
      </c>
      <c r="C44" s="76" t="str">
        <f>IFERROR(__xludf.DUMMYFUNCTION("""COMPUTED_VALUE"""),"SENIOR")</f>
        <v>SENIOR</v>
      </c>
      <c r="D44" s="76" t="str">
        <f>VLOOKUP(B44,'HEAD OF THE FAMILY'!B44:J1934,9,FALSE)</f>
        <v>BLK 5</v>
      </c>
      <c r="E44" s="3"/>
      <c r="F44" s="3"/>
      <c r="G44" s="7"/>
      <c r="H44" s="7"/>
      <c r="I44" s="7"/>
      <c r="J44" s="60"/>
      <c r="K44" s="60" t="str">
        <f t="shared" si="2"/>
        <v/>
      </c>
    </row>
    <row r="45">
      <c r="A45" s="61">
        <f t="shared" si="1"/>
        <v>40</v>
      </c>
      <c r="B45" s="73" t="str">
        <f>IFERROR(__xludf.DUMMYFUNCTION("""COMPUTED_VALUE"""),"CYNTHIA G. PASCUAL")</f>
        <v>CYNTHIA G. PASCUAL</v>
      </c>
      <c r="C45" s="76" t="str">
        <f>IFERROR(__xludf.DUMMYFUNCTION("""COMPUTED_VALUE"""),"SENIOR")</f>
        <v>SENIOR</v>
      </c>
      <c r="D45" s="76" t="str">
        <f>VLOOKUP(B45,'HEAD OF THE FAMILY'!B45:J1934,9,FALSE)</f>
        <v>BLK 41</v>
      </c>
      <c r="E45" s="3"/>
      <c r="F45" s="3"/>
      <c r="G45" s="7"/>
      <c r="H45" s="7"/>
      <c r="I45" s="7"/>
      <c r="J45" s="60"/>
      <c r="K45" s="60" t="str">
        <f t="shared" si="2"/>
        <v/>
      </c>
    </row>
    <row r="46">
      <c r="A46" s="61">
        <f t="shared" si="1"/>
        <v>41</v>
      </c>
      <c r="B46" s="73" t="str">
        <f>IFERROR(__xludf.DUMMYFUNCTION("""COMPUTED_VALUE"""),"CZARINA PEREZ")</f>
        <v>CZARINA PEREZ</v>
      </c>
      <c r="C46" s="76" t="str">
        <f>IFERROR(__xludf.DUMMYFUNCTION("""COMPUTED_VALUE"""),"SENIOR")</f>
        <v>SENIOR</v>
      </c>
      <c r="D46" s="76" t="str">
        <f>VLOOKUP(B46,'HEAD OF THE FAMILY'!B46:J1934,9,FALSE)</f>
        <v>BLK 1</v>
      </c>
      <c r="E46" s="3"/>
      <c r="F46" s="3"/>
      <c r="G46" s="7"/>
      <c r="H46" s="7"/>
      <c r="I46" s="7"/>
      <c r="J46" s="60"/>
      <c r="K46" s="60" t="str">
        <f t="shared" si="2"/>
        <v/>
      </c>
    </row>
    <row r="47">
      <c r="A47" s="61">
        <f t="shared" si="1"/>
        <v>42</v>
      </c>
      <c r="B47" s="73" t="str">
        <f>IFERROR(__xludf.DUMMYFUNCTION("""COMPUTED_VALUE"""),"DAISY SANTOS")</f>
        <v>DAISY SANTOS</v>
      </c>
      <c r="C47" s="76" t="str">
        <f>IFERROR(__xludf.DUMMYFUNCTION("""COMPUTED_VALUE"""),"SENIOR")</f>
        <v>SENIOR</v>
      </c>
      <c r="D47" s="76" t="str">
        <f>VLOOKUP(B47,'HEAD OF THE FAMILY'!B47:J1934,9,FALSE)</f>
        <v>BLK 1</v>
      </c>
      <c r="E47" s="3"/>
      <c r="F47" s="3"/>
      <c r="G47" s="7"/>
      <c r="H47" s="7"/>
      <c r="I47" s="7"/>
      <c r="J47" s="60"/>
      <c r="K47" s="60" t="str">
        <f t="shared" si="2"/>
        <v/>
      </c>
    </row>
    <row r="48">
      <c r="A48" s="61">
        <f t="shared" si="1"/>
        <v>43</v>
      </c>
      <c r="B48" s="73" t="str">
        <f>IFERROR(__xludf.DUMMYFUNCTION("""COMPUTED_VALUE"""),"DANILO B PAGUDAR")</f>
        <v>DANILO B PAGUDAR</v>
      </c>
      <c r="C48" s="76" t="str">
        <f>IFERROR(__xludf.DUMMYFUNCTION("""COMPUTED_VALUE"""),"SENIOR")</f>
        <v>SENIOR</v>
      </c>
      <c r="D48" s="76" t="str">
        <f>VLOOKUP(B48,'HEAD OF THE FAMILY'!B48:J1934,9,FALSE)</f>
        <v>BLK 46</v>
      </c>
      <c r="E48" s="3"/>
      <c r="F48" s="3"/>
      <c r="G48" s="7"/>
      <c r="H48" s="7"/>
      <c r="I48" s="7"/>
      <c r="J48" s="60"/>
      <c r="K48" s="60" t="str">
        <f t="shared" si="2"/>
        <v/>
      </c>
    </row>
    <row r="49">
      <c r="A49" s="61">
        <f t="shared" si="1"/>
        <v>44</v>
      </c>
      <c r="B49" s="73" t="str">
        <f>IFERROR(__xludf.DUMMYFUNCTION("""COMPUTED_VALUE"""),"DELIA P CERBITO")</f>
        <v>DELIA P CERBITO</v>
      </c>
      <c r="C49" s="76" t="str">
        <f>IFERROR(__xludf.DUMMYFUNCTION("""COMPUTED_VALUE"""),"SENIOR")</f>
        <v>SENIOR</v>
      </c>
      <c r="D49" s="76" t="str">
        <f>VLOOKUP(B49,'HEAD OF THE FAMILY'!B49:J1934,9,FALSE)</f>
        <v>BLK 3</v>
      </c>
      <c r="E49" s="3"/>
      <c r="F49" s="3"/>
      <c r="G49" s="7"/>
      <c r="H49" s="7"/>
      <c r="I49" s="7"/>
      <c r="J49" s="60"/>
      <c r="K49" s="60" t="str">
        <f t="shared" si="2"/>
        <v/>
      </c>
    </row>
    <row r="50">
      <c r="A50" s="61">
        <f t="shared" si="1"/>
        <v>45</v>
      </c>
      <c r="B50" s="73" t="str">
        <f>IFERROR(__xludf.DUMMYFUNCTION("""COMPUTED_VALUE"""),"DELIA SILVESTRE")</f>
        <v>DELIA SILVESTRE</v>
      </c>
      <c r="C50" s="76" t="str">
        <f>IFERROR(__xludf.DUMMYFUNCTION("""COMPUTED_VALUE"""),"SENIOR")</f>
        <v>SENIOR</v>
      </c>
      <c r="D50" s="76" t="str">
        <f>VLOOKUP(B50,'HEAD OF THE FAMILY'!B50:J1934,9,FALSE)</f>
        <v>BLK 5</v>
      </c>
      <c r="E50" s="3"/>
      <c r="F50" s="3"/>
      <c r="G50" s="7"/>
      <c r="H50" s="7"/>
      <c r="I50" s="7"/>
      <c r="J50" s="60"/>
      <c r="K50" s="60" t="str">
        <f t="shared" si="2"/>
        <v/>
      </c>
    </row>
    <row r="51">
      <c r="A51" s="61">
        <f t="shared" si="1"/>
        <v>46</v>
      </c>
      <c r="B51" s="73" t="str">
        <f>IFERROR(__xludf.DUMMYFUNCTION("""COMPUTED_VALUE"""),"DESIDERIO VELASQUEZ")</f>
        <v>DESIDERIO VELASQUEZ</v>
      </c>
      <c r="C51" s="76" t="str">
        <f>IFERROR(__xludf.DUMMYFUNCTION("""COMPUTED_VALUE"""),"SENIOR")</f>
        <v>SENIOR</v>
      </c>
      <c r="D51" s="76" t="str">
        <f>VLOOKUP(B51,'HEAD OF THE FAMILY'!B51:J1934,9,FALSE)</f>
        <v>BLK 41</v>
      </c>
      <c r="E51" s="3"/>
      <c r="F51" s="3"/>
      <c r="G51" s="7"/>
      <c r="H51" s="7"/>
      <c r="I51" s="7"/>
      <c r="J51" s="60"/>
      <c r="K51" s="60" t="str">
        <f t="shared" si="2"/>
        <v/>
      </c>
    </row>
    <row r="52">
      <c r="A52" s="61">
        <f t="shared" si="1"/>
        <v>47</v>
      </c>
      <c r="B52" s="73" t="str">
        <f>IFERROR(__xludf.DUMMYFUNCTION("""COMPUTED_VALUE"""),"DINA OLIVERA")</f>
        <v>DINA OLIVERA</v>
      </c>
      <c r="C52" s="76" t="str">
        <f>IFERROR(__xludf.DUMMYFUNCTION("""COMPUTED_VALUE"""),"SENIOR")</f>
        <v>SENIOR</v>
      </c>
      <c r="D52" s="76" t="str">
        <f>VLOOKUP(B52,'HEAD OF THE FAMILY'!B52:J1934,9,FALSE)</f>
        <v>BLK 49</v>
      </c>
      <c r="E52" s="3"/>
      <c r="F52" s="3"/>
      <c r="G52" s="7"/>
      <c r="H52" s="7"/>
      <c r="I52" s="7"/>
      <c r="J52" s="60"/>
      <c r="K52" s="60" t="str">
        <f t="shared" si="2"/>
        <v/>
      </c>
    </row>
    <row r="53">
      <c r="A53" s="61">
        <f t="shared" si="1"/>
        <v>48</v>
      </c>
      <c r="B53" s="73" t="str">
        <f>IFERROR(__xludf.DUMMYFUNCTION("""COMPUTED_VALUE"""),"DOLORES  B.  CALLOS")</f>
        <v>DOLORES  B.  CALLOS</v>
      </c>
      <c r="C53" s="76" t="str">
        <f>IFERROR(__xludf.DUMMYFUNCTION("""COMPUTED_VALUE"""),"SENIOR")</f>
        <v>SENIOR</v>
      </c>
      <c r="D53" s="76" t="str">
        <f>VLOOKUP(B53,'HEAD OF THE FAMILY'!B53:J1934,9,FALSE)</f>
        <v>BLK 3</v>
      </c>
      <c r="E53" s="3"/>
      <c r="F53" s="3"/>
      <c r="G53" s="7"/>
      <c r="H53" s="7"/>
      <c r="I53" s="7"/>
      <c r="J53" s="60"/>
      <c r="K53" s="60" t="str">
        <f t="shared" si="2"/>
        <v/>
      </c>
    </row>
    <row r="54">
      <c r="A54" s="61">
        <f t="shared" si="1"/>
        <v>49</v>
      </c>
      <c r="B54" s="73" t="str">
        <f>IFERROR(__xludf.DUMMYFUNCTION("""COMPUTED_VALUE"""),"DOLORES TALASTAS")</f>
        <v>DOLORES TALASTAS</v>
      </c>
      <c r="C54" s="76" t="str">
        <f>IFERROR(__xludf.DUMMYFUNCTION("""COMPUTED_VALUE"""),"SENIOR")</f>
        <v>SENIOR</v>
      </c>
      <c r="D54" s="76" t="str">
        <f>VLOOKUP(B54,'HEAD OF THE FAMILY'!B54:J1934,9,FALSE)</f>
        <v>BLK 45</v>
      </c>
      <c r="E54" s="3"/>
      <c r="F54" s="3"/>
      <c r="G54" s="7"/>
      <c r="H54" s="7"/>
      <c r="I54" s="7"/>
      <c r="J54" s="60"/>
      <c r="K54" s="60" t="str">
        <f t="shared" si="2"/>
        <v/>
      </c>
    </row>
    <row r="55">
      <c r="A55" s="61">
        <f t="shared" si="1"/>
        <v>50</v>
      </c>
      <c r="B55" s="73" t="str">
        <f>IFERROR(__xludf.DUMMYFUNCTION("""COMPUTED_VALUE"""),"DOMINADOR ALBEZA ")</f>
        <v>DOMINADOR ALBEZA </v>
      </c>
      <c r="C55" s="76" t="str">
        <f>IFERROR(__xludf.DUMMYFUNCTION("""COMPUTED_VALUE"""),"SENIOR")</f>
        <v>SENIOR</v>
      </c>
      <c r="D55" s="76" t="str">
        <f>VLOOKUP(B55,'HEAD OF THE FAMILY'!B55:J1934,9,FALSE)</f>
        <v>BLK 5</v>
      </c>
      <c r="E55" s="3"/>
      <c r="F55" s="3"/>
      <c r="G55" s="7"/>
      <c r="H55" s="7"/>
      <c r="I55" s="7"/>
      <c r="J55" s="60"/>
      <c r="K55" s="60" t="str">
        <f t="shared" si="2"/>
        <v/>
      </c>
    </row>
    <row r="56">
      <c r="A56" s="61">
        <f t="shared" si="1"/>
        <v>51</v>
      </c>
      <c r="B56" s="73" t="str">
        <f>IFERROR(__xludf.DUMMYFUNCTION("""COMPUTED_VALUE"""),"DOMINADOR GUTIERREZ")</f>
        <v>DOMINADOR GUTIERREZ</v>
      </c>
      <c r="C56" s="76" t="str">
        <f>IFERROR(__xludf.DUMMYFUNCTION("""COMPUTED_VALUE"""),"SENIOR")</f>
        <v>SENIOR</v>
      </c>
      <c r="D56" s="76" t="str">
        <f>VLOOKUP(B56,'HEAD OF THE FAMILY'!B56:J1934,9,FALSE)</f>
        <v>BLK 3</v>
      </c>
      <c r="E56" s="3"/>
      <c r="F56" s="3"/>
      <c r="G56" s="7"/>
      <c r="H56" s="7"/>
      <c r="I56" s="7"/>
      <c r="J56" s="60"/>
      <c r="K56" s="60" t="str">
        <f t="shared" si="2"/>
        <v/>
      </c>
    </row>
    <row r="57">
      <c r="A57" s="61">
        <f t="shared" si="1"/>
        <v>52</v>
      </c>
      <c r="B57" s="73" t="str">
        <f>IFERROR(__xludf.DUMMYFUNCTION("""COMPUTED_VALUE"""),"DOMINGO H. QUIJADO")</f>
        <v>DOMINGO H. QUIJADO</v>
      </c>
      <c r="C57" s="76" t="str">
        <f>IFERROR(__xludf.DUMMYFUNCTION("""COMPUTED_VALUE"""),"SENIOR")</f>
        <v>SENIOR</v>
      </c>
      <c r="D57" s="76" t="str">
        <f>VLOOKUP(B57,'HEAD OF THE FAMILY'!B57:J1934,9,FALSE)</f>
        <v>BLOCK 4</v>
      </c>
      <c r="E57" s="3"/>
      <c r="F57" s="3"/>
      <c r="G57" s="7"/>
      <c r="H57" s="7"/>
      <c r="I57" s="7"/>
      <c r="J57" s="60"/>
      <c r="K57" s="60" t="str">
        <f t="shared" si="2"/>
        <v/>
      </c>
    </row>
    <row r="58">
      <c r="A58" s="61">
        <f t="shared" si="1"/>
        <v>53</v>
      </c>
      <c r="B58" s="73" t="str">
        <f>IFERROR(__xludf.DUMMYFUNCTION("""COMPUTED_VALUE"""),"DOMINGO L. BONO")</f>
        <v>DOMINGO L. BONO</v>
      </c>
      <c r="C58" s="76" t="str">
        <f>IFERROR(__xludf.DUMMYFUNCTION("""COMPUTED_VALUE"""),"SENIOR")</f>
        <v>SENIOR</v>
      </c>
      <c r="D58" s="76" t="str">
        <f>VLOOKUP(B58,'HEAD OF THE FAMILY'!B58:J1934,9,FALSE)</f>
        <v>BLOCK 4</v>
      </c>
      <c r="E58" s="3"/>
      <c r="F58" s="3"/>
      <c r="G58" s="7"/>
      <c r="H58" s="7"/>
      <c r="I58" s="7"/>
      <c r="J58" s="60"/>
      <c r="K58" s="60" t="str">
        <f t="shared" si="2"/>
        <v/>
      </c>
    </row>
    <row r="59">
      <c r="A59" s="61">
        <f t="shared" si="1"/>
        <v>54</v>
      </c>
      <c r="B59" s="73" t="str">
        <f>IFERROR(__xludf.DUMMYFUNCTION("""COMPUTED_VALUE"""),"EDILBERTO B. REÑA")</f>
        <v>EDILBERTO B. REÑA</v>
      </c>
      <c r="C59" s="76" t="str">
        <f>IFERROR(__xludf.DUMMYFUNCTION("""COMPUTED_VALUE"""),"SENIOR")</f>
        <v>SENIOR</v>
      </c>
      <c r="D59" s="76" t="str">
        <f>VLOOKUP(B59,'HEAD OF THE FAMILY'!B59:J1934,9,FALSE)</f>
        <v>BLK 41</v>
      </c>
      <c r="E59" s="3"/>
      <c r="F59" s="3"/>
      <c r="G59" s="7"/>
      <c r="H59" s="7"/>
      <c r="I59" s="7"/>
      <c r="J59" s="60"/>
      <c r="K59" s="60" t="str">
        <f t="shared" si="2"/>
        <v/>
      </c>
    </row>
    <row r="60">
      <c r="A60" s="61">
        <f t="shared" si="1"/>
        <v>55</v>
      </c>
      <c r="B60" s="73" t="str">
        <f>IFERROR(__xludf.DUMMYFUNCTION("""COMPUTED_VALUE"""),"EDNA D BARCO")</f>
        <v>EDNA D BARCO</v>
      </c>
      <c r="C60" s="76" t="str">
        <f>IFERROR(__xludf.DUMMYFUNCTION("""COMPUTED_VALUE"""),"SENIOR")</f>
        <v>SENIOR</v>
      </c>
      <c r="D60" s="76" t="str">
        <f>VLOOKUP(B60,'HEAD OF THE FAMILY'!B60:J1934,9,FALSE)</f>
        <v>BLK 46</v>
      </c>
      <c r="E60" s="3"/>
      <c r="F60" s="3"/>
      <c r="G60" s="7"/>
      <c r="H60" s="7"/>
      <c r="I60" s="7"/>
      <c r="J60" s="60"/>
      <c r="K60" s="60" t="str">
        <f t="shared" si="2"/>
        <v/>
      </c>
    </row>
    <row r="61">
      <c r="A61" s="61">
        <f t="shared" si="1"/>
        <v>56</v>
      </c>
      <c r="B61" s="73" t="str">
        <f>IFERROR(__xludf.DUMMYFUNCTION("""COMPUTED_VALUE"""),"EDWIN PERALTA")</f>
        <v>EDWIN PERALTA</v>
      </c>
      <c r="C61" s="76" t="str">
        <f>IFERROR(__xludf.DUMMYFUNCTION("""COMPUTED_VALUE"""),"SENIOR")</f>
        <v>SENIOR</v>
      </c>
      <c r="D61" s="76" t="str">
        <f>VLOOKUP(B61,'HEAD OF THE FAMILY'!B61:J1934,9,FALSE)</f>
        <v>BLK 46</v>
      </c>
      <c r="E61" s="3"/>
      <c r="F61" s="3"/>
      <c r="G61" s="7"/>
      <c r="H61" s="7"/>
      <c r="I61" s="7"/>
      <c r="J61" s="60"/>
      <c r="K61" s="60" t="str">
        <f t="shared" si="2"/>
        <v/>
      </c>
    </row>
    <row r="62">
      <c r="A62" s="61">
        <f t="shared" si="1"/>
        <v>57</v>
      </c>
      <c r="B62" s="73" t="str">
        <f>IFERROR(__xludf.DUMMYFUNCTION("""COMPUTED_VALUE"""),"EFREN B. DEL ROSARIO")</f>
        <v>EFREN B. DEL ROSARIO</v>
      </c>
      <c r="C62" s="76" t="str">
        <f>IFERROR(__xludf.DUMMYFUNCTION("""COMPUTED_VALUE"""),"SENIOR")</f>
        <v>SENIOR</v>
      </c>
      <c r="D62" s="76" t="str">
        <f>VLOOKUP(B62,'HEAD OF THE FAMILY'!B62:J1934,9,FALSE)</f>
        <v>BLK 49</v>
      </c>
      <c r="E62" s="3"/>
      <c r="F62" s="3"/>
      <c r="G62" s="7"/>
      <c r="H62" s="7"/>
      <c r="I62" s="7"/>
      <c r="J62" s="60"/>
      <c r="K62" s="60" t="str">
        <f t="shared" si="2"/>
        <v/>
      </c>
    </row>
    <row r="63">
      <c r="A63" s="61">
        <f t="shared" si="1"/>
        <v>58</v>
      </c>
      <c r="B63" s="73" t="str">
        <f>IFERROR(__xludf.DUMMYFUNCTION("""COMPUTED_VALUE"""),"ELISEO OLAES")</f>
        <v>ELISEO OLAES</v>
      </c>
      <c r="C63" s="76" t="str">
        <f>IFERROR(__xludf.DUMMYFUNCTION("""COMPUTED_VALUE"""),"SENIOR")</f>
        <v>SENIOR</v>
      </c>
      <c r="D63" s="76" t="str">
        <f>VLOOKUP(B63,'HEAD OF THE FAMILY'!B63:J1934,9,FALSE)</f>
        <v>BLK 5</v>
      </c>
      <c r="E63" s="3"/>
      <c r="F63" s="3"/>
      <c r="G63" s="7"/>
      <c r="H63" s="7"/>
      <c r="I63" s="7"/>
      <c r="J63" s="60"/>
      <c r="K63" s="60" t="str">
        <f t="shared" si="2"/>
        <v/>
      </c>
    </row>
    <row r="64">
      <c r="A64" s="61">
        <f t="shared" si="1"/>
        <v>59</v>
      </c>
      <c r="B64" s="73" t="str">
        <f>IFERROR(__xludf.DUMMYFUNCTION("""COMPUTED_VALUE"""),"ELIZA DESPABELADERAS")</f>
        <v>ELIZA DESPABELADERAS</v>
      </c>
      <c r="C64" s="76" t="str">
        <f>IFERROR(__xludf.DUMMYFUNCTION("""COMPUTED_VALUE"""),"SENIOR")</f>
        <v>SENIOR</v>
      </c>
      <c r="D64" s="76" t="str">
        <f>VLOOKUP(B64,'HEAD OF THE FAMILY'!B64:J1934,9,FALSE)</f>
        <v>BLK 46</v>
      </c>
      <c r="E64" s="3"/>
      <c r="F64" s="3"/>
      <c r="G64" s="7"/>
      <c r="H64" s="7"/>
      <c r="I64" s="7"/>
      <c r="J64" s="60"/>
      <c r="K64" s="60" t="str">
        <f t="shared" si="2"/>
        <v/>
      </c>
    </row>
    <row r="65">
      <c r="A65" s="61">
        <f t="shared" si="1"/>
        <v>60</v>
      </c>
      <c r="B65" s="73" t="str">
        <f>IFERROR(__xludf.DUMMYFUNCTION("""COMPUTED_VALUE"""),"ELIZABETH BENIGNO")</f>
        <v>ELIZABETH BENIGNO</v>
      </c>
      <c r="C65" s="76" t="str">
        <f>IFERROR(__xludf.DUMMYFUNCTION("""COMPUTED_VALUE"""),"SENIOR")</f>
        <v>SENIOR</v>
      </c>
      <c r="D65" s="76" t="str">
        <f>VLOOKUP(B65,'HEAD OF THE FAMILY'!B65:J1934,9,FALSE)</f>
        <v>BLOCK 4</v>
      </c>
      <c r="E65" s="3"/>
      <c r="F65" s="3"/>
      <c r="G65" s="7"/>
      <c r="H65" s="7"/>
      <c r="I65" s="7"/>
      <c r="J65" s="60"/>
      <c r="K65" s="60" t="str">
        <f t="shared" si="2"/>
        <v/>
      </c>
    </row>
    <row r="66">
      <c r="A66" s="61">
        <f t="shared" si="1"/>
        <v>61</v>
      </c>
      <c r="B66" s="73" t="str">
        <f>IFERROR(__xludf.DUMMYFUNCTION("""COMPUTED_VALUE"""),"ELIZABETH BERTULFO")</f>
        <v>ELIZABETH BERTULFO</v>
      </c>
      <c r="C66" s="76" t="str">
        <f>IFERROR(__xludf.DUMMYFUNCTION("""COMPUTED_VALUE"""),"SENIOR")</f>
        <v>SENIOR</v>
      </c>
      <c r="D66" s="76" t="str">
        <f>VLOOKUP(B66,'HEAD OF THE FAMILY'!B66:J1934,9,FALSE)</f>
        <v>BLOCK 4</v>
      </c>
      <c r="E66" s="3"/>
      <c r="F66" s="3"/>
      <c r="G66" s="7"/>
      <c r="H66" s="7"/>
      <c r="I66" s="7"/>
      <c r="J66" s="60"/>
      <c r="K66" s="60" t="str">
        <f t="shared" si="2"/>
        <v/>
      </c>
    </row>
    <row r="67">
      <c r="A67" s="61">
        <f t="shared" si="1"/>
        <v>62</v>
      </c>
      <c r="B67" s="73" t="str">
        <f>IFERROR(__xludf.DUMMYFUNCTION("""COMPUTED_VALUE"""),"ELIZABETH CANAPIT")</f>
        <v>ELIZABETH CANAPIT</v>
      </c>
      <c r="C67" s="76" t="str">
        <f>IFERROR(__xludf.DUMMYFUNCTION("""COMPUTED_VALUE"""),"SENIOR")</f>
        <v>SENIOR</v>
      </c>
      <c r="D67" s="76" t="str">
        <f>VLOOKUP(B67,'HEAD OF THE FAMILY'!B67:J1934,9,FALSE)</f>
        <v>BLK 49</v>
      </c>
      <c r="E67" s="3"/>
      <c r="F67" s="3"/>
      <c r="G67" s="7"/>
      <c r="H67" s="7"/>
      <c r="I67" s="7"/>
      <c r="J67" s="60"/>
      <c r="K67" s="60" t="str">
        <f t="shared" si="2"/>
        <v/>
      </c>
    </row>
    <row r="68">
      <c r="A68" s="61">
        <f t="shared" si="1"/>
        <v>63</v>
      </c>
      <c r="B68" s="73" t="str">
        <f>IFERROR(__xludf.DUMMYFUNCTION("""COMPUTED_VALUE"""),"ELMER M. PASCUAL")</f>
        <v>ELMER M. PASCUAL</v>
      </c>
      <c r="C68" s="76" t="str">
        <f>IFERROR(__xludf.DUMMYFUNCTION("""COMPUTED_VALUE"""),"SENIOR")</f>
        <v>SENIOR</v>
      </c>
      <c r="D68" s="76" t="str">
        <f>VLOOKUP(B68,'HEAD OF THE FAMILY'!B68:J1934,9,FALSE)</f>
        <v>BLK 5</v>
      </c>
      <c r="E68" s="3"/>
      <c r="F68" s="3"/>
      <c r="G68" s="7"/>
      <c r="H68" s="7"/>
      <c r="I68" s="7"/>
      <c r="J68" s="60"/>
      <c r="K68" s="60" t="str">
        <f t="shared" si="2"/>
        <v/>
      </c>
    </row>
    <row r="69">
      <c r="A69" s="61">
        <f t="shared" si="1"/>
        <v>64</v>
      </c>
      <c r="B69" s="73" t="str">
        <f>IFERROR(__xludf.DUMMYFUNCTION("""COMPUTED_VALUE"""),"ELVIRA D. OLAES")</f>
        <v>ELVIRA D. OLAES</v>
      </c>
      <c r="C69" s="76" t="str">
        <f>IFERROR(__xludf.DUMMYFUNCTION("""COMPUTED_VALUE"""),"SENIOR")</f>
        <v>SENIOR</v>
      </c>
      <c r="D69" s="76" t="str">
        <f>VLOOKUP(B69,'HEAD OF THE FAMILY'!B69:J1934,9,FALSE)</f>
        <v>BLK 49</v>
      </c>
      <c r="E69" s="3"/>
      <c r="F69" s="3"/>
      <c r="G69" s="7"/>
      <c r="H69" s="7"/>
      <c r="I69" s="7"/>
      <c r="J69" s="60"/>
      <c r="K69" s="60" t="str">
        <f t="shared" si="2"/>
        <v/>
      </c>
    </row>
    <row r="70">
      <c r="A70" s="61">
        <f t="shared" si="1"/>
        <v>65</v>
      </c>
      <c r="B70" s="73" t="str">
        <f>IFERROR(__xludf.DUMMYFUNCTION("""COMPUTED_VALUE"""),"EMILY G. NAVARRO")</f>
        <v>EMILY G. NAVARRO</v>
      </c>
      <c r="C70" s="76" t="str">
        <f>IFERROR(__xludf.DUMMYFUNCTION("""COMPUTED_VALUE"""),"SENIOR")</f>
        <v>SENIOR</v>
      </c>
      <c r="D70" s="76" t="str">
        <f>VLOOKUP(B70,'HEAD OF THE FAMILY'!B70:J1934,9,FALSE)</f>
        <v>BLK 1</v>
      </c>
      <c r="E70" s="3"/>
      <c r="F70" s="3"/>
      <c r="G70" s="7"/>
      <c r="H70" s="7"/>
      <c r="I70" s="7"/>
      <c r="J70" s="60"/>
      <c r="K70" s="60" t="str">
        <f t="shared" si="2"/>
        <v/>
      </c>
    </row>
    <row r="71">
      <c r="A71" s="61">
        <f t="shared" si="1"/>
        <v>66</v>
      </c>
      <c r="B71" s="73" t="str">
        <f>IFERROR(__xludf.DUMMYFUNCTION("""COMPUTED_VALUE"""),"ERNALD S. ABUEG")</f>
        <v>ERNALD S. ABUEG</v>
      </c>
      <c r="C71" s="76" t="str">
        <f>IFERROR(__xludf.DUMMYFUNCTION("""COMPUTED_VALUE"""),"SENIOR")</f>
        <v>SENIOR</v>
      </c>
      <c r="D71" s="76" t="str">
        <f>VLOOKUP(B71,'HEAD OF THE FAMILY'!B71:J1934,9,FALSE)</f>
        <v>BLK 45</v>
      </c>
      <c r="E71" s="3"/>
      <c r="F71" s="3"/>
      <c r="G71" s="7"/>
      <c r="H71" s="7"/>
      <c r="I71" s="7"/>
      <c r="J71" s="60"/>
      <c r="K71" s="60" t="str">
        <f t="shared" si="2"/>
        <v/>
      </c>
    </row>
    <row r="72">
      <c r="A72" s="61">
        <f t="shared" si="1"/>
        <v>67</v>
      </c>
      <c r="B72" s="73" t="str">
        <f>IFERROR(__xludf.DUMMYFUNCTION("""COMPUTED_VALUE"""),"ESTER CHAVEZ")</f>
        <v>ESTER CHAVEZ</v>
      </c>
      <c r="C72" s="76" t="str">
        <f>IFERROR(__xludf.DUMMYFUNCTION("""COMPUTED_VALUE"""),"SENIOR")</f>
        <v>SENIOR</v>
      </c>
      <c r="D72" s="76" t="str">
        <f>VLOOKUP(B72,'HEAD OF THE FAMILY'!B72:J1934,9,FALSE)</f>
        <v>BLK 3</v>
      </c>
      <c r="E72" s="3"/>
      <c r="F72" s="3"/>
      <c r="G72" s="7"/>
      <c r="H72" s="7"/>
      <c r="I72" s="7"/>
      <c r="J72" s="60"/>
      <c r="K72" s="60" t="str">
        <f t="shared" si="2"/>
        <v/>
      </c>
    </row>
    <row r="73">
      <c r="A73" s="61">
        <f t="shared" si="1"/>
        <v>68</v>
      </c>
      <c r="B73" s="73" t="str">
        <f>IFERROR(__xludf.DUMMYFUNCTION("""COMPUTED_VALUE"""),"FE SANTIAGO")</f>
        <v>FE SANTIAGO</v>
      </c>
      <c r="C73" s="76" t="str">
        <f>IFERROR(__xludf.DUMMYFUNCTION("""COMPUTED_VALUE"""),"SENIOR")</f>
        <v>SENIOR</v>
      </c>
      <c r="D73" s="76" t="str">
        <f>VLOOKUP(B73,'HEAD OF THE FAMILY'!B73:J1934,9,FALSE)</f>
        <v>BLK 41</v>
      </c>
      <c r="E73" s="3"/>
      <c r="F73" s="3"/>
      <c r="G73" s="7"/>
      <c r="H73" s="7"/>
      <c r="I73" s="7"/>
      <c r="J73" s="60"/>
      <c r="K73" s="60" t="str">
        <f t="shared" si="2"/>
        <v/>
      </c>
    </row>
    <row r="74">
      <c r="A74" s="61">
        <f t="shared" si="1"/>
        <v>69</v>
      </c>
      <c r="B74" s="73" t="str">
        <f>IFERROR(__xludf.DUMMYFUNCTION("""COMPUTED_VALUE"""),"FELIMON HONRADO JR.")</f>
        <v>FELIMON HONRADO JR.</v>
      </c>
      <c r="C74" s="76" t="str">
        <f>IFERROR(__xludf.DUMMYFUNCTION("""COMPUTED_VALUE"""),"SENIOR")</f>
        <v>SENIOR</v>
      </c>
      <c r="D74" s="76" t="str">
        <f>VLOOKUP(B74,'HEAD OF THE FAMILY'!B74:J1934,9,FALSE)</f>
        <v>BLOCK 4</v>
      </c>
      <c r="E74" s="3"/>
      <c r="F74" s="3"/>
      <c r="G74" s="7"/>
      <c r="H74" s="7"/>
      <c r="I74" s="7"/>
      <c r="J74" s="60"/>
      <c r="K74" s="60" t="str">
        <f t="shared" si="2"/>
        <v/>
      </c>
    </row>
    <row r="75">
      <c r="A75" s="61">
        <f t="shared" si="1"/>
        <v>70</v>
      </c>
      <c r="B75" s="73" t="str">
        <f>IFERROR(__xludf.DUMMYFUNCTION("""COMPUTED_VALUE"""),"FERDINAND G. ALONZO")</f>
        <v>FERDINAND G. ALONZO</v>
      </c>
      <c r="C75" s="76" t="str">
        <f>IFERROR(__xludf.DUMMYFUNCTION("""COMPUTED_VALUE"""),"SENIOR")</f>
        <v>SENIOR</v>
      </c>
      <c r="D75" s="76" t="str">
        <f>VLOOKUP(B75,'HEAD OF THE FAMILY'!B75:J1934,9,FALSE)</f>
        <v>BLK 41</v>
      </c>
      <c r="E75" s="3"/>
      <c r="F75" s="3"/>
      <c r="G75" s="7"/>
      <c r="H75" s="7"/>
      <c r="I75" s="7"/>
      <c r="J75" s="60"/>
      <c r="K75" s="60" t="str">
        <f t="shared" si="2"/>
        <v/>
      </c>
    </row>
    <row r="76">
      <c r="A76" s="61">
        <f t="shared" si="1"/>
        <v>71</v>
      </c>
      <c r="B76" s="73" t="str">
        <f>IFERROR(__xludf.DUMMYFUNCTION("""COMPUTED_VALUE"""),"FLORO R. ZULUETA ")</f>
        <v>FLORO R. ZULUETA </v>
      </c>
      <c r="C76" s="76" t="str">
        <f>IFERROR(__xludf.DUMMYFUNCTION("""COMPUTED_VALUE"""),"SENIOR")</f>
        <v>SENIOR</v>
      </c>
      <c r="D76" s="76" t="str">
        <f>VLOOKUP(B76,'HEAD OF THE FAMILY'!B76:J1934,9,FALSE)</f>
        <v>BLK 41</v>
      </c>
      <c r="E76" s="3"/>
      <c r="F76" s="3"/>
      <c r="G76" s="7"/>
      <c r="H76" s="7"/>
      <c r="I76" s="7"/>
      <c r="J76" s="60"/>
      <c r="K76" s="60" t="str">
        <f t="shared" si="2"/>
        <v/>
      </c>
    </row>
    <row r="77">
      <c r="A77" s="61">
        <f t="shared" si="1"/>
        <v>72</v>
      </c>
      <c r="B77" s="73" t="str">
        <f>IFERROR(__xludf.DUMMYFUNCTION("""COMPUTED_VALUE"""),"FRANCIS RICHARDSON")</f>
        <v>FRANCIS RICHARDSON</v>
      </c>
      <c r="C77" s="76" t="str">
        <f>IFERROR(__xludf.DUMMYFUNCTION("""COMPUTED_VALUE"""),"SENIOR")</f>
        <v>SENIOR</v>
      </c>
      <c r="D77" s="76" t="str">
        <f>VLOOKUP(B77,'HEAD OF THE FAMILY'!B77:J1934,9,FALSE)</f>
        <v>BLOCK 4</v>
      </c>
      <c r="E77" s="3"/>
      <c r="F77" s="3"/>
      <c r="G77" s="7"/>
      <c r="H77" s="7"/>
      <c r="I77" s="7"/>
      <c r="J77" s="60"/>
      <c r="K77" s="60" t="str">
        <f t="shared" si="2"/>
        <v/>
      </c>
    </row>
    <row r="78">
      <c r="A78" s="61">
        <f t="shared" si="1"/>
        <v>73</v>
      </c>
      <c r="B78" s="73" t="str">
        <f>IFERROR(__xludf.DUMMYFUNCTION("""COMPUTED_VALUE"""),"FRANCISCA D. AMASA")</f>
        <v>FRANCISCA D. AMASA</v>
      </c>
      <c r="C78" s="76" t="str">
        <f>IFERROR(__xludf.DUMMYFUNCTION("""COMPUTED_VALUE"""),"SENIOR")</f>
        <v>SENIOR</v>
      </c>
      <c r="D78" s="76" t="str">
        <f>VLOOKUP(B78,'HEAD OF THE FAMILY'!B78:J1934,9,FALSE)</f>
        <v>BLK 1</v>
      </c>
      <c r="E78" s="3"/>
      <c r="F78" s="3"/>
      <c r="G78" s="7"/>
      <c r="H78" s="7"/>
      <c r="I78" s="7"/>
      <c r="J78" s="60"/>
      <c r="K78" s="60" t="str">
        <f t="shared" si="2"/>
        <v/>
      </c>
    </row>
    <row r="79">
      <c r="A79" s="61">
        <f t="shared" si="1"/>
        <v>74</v>
      </c>
      <c r="B79" s="73" t="str">
        <f>IFERROR(__xludf.DUMMYFUNCTION("""COMPUTED_VALUE"""),"FROILAN CRUZ ")</f>
        <v>FROILAN CRUZ </v>
      </c>
      <c r="C79" s="76" t="str">
        <f>IFERROR(__xludf.DUMMYFUNCTION("""COMPUTED_VALUE"""),"SENIOR")</f>
        <v>SENIOR</v>
      </c>
      <c r="D79" s="76" t="str">
        <f>VLOOKUP(B79,'HEAD OF THE FAMILY'!B79:J1934,9,FALSE)</f>
        <v>BLK 3</v>
      </c>
      <c r="E79" s="3"/>
      <c r="F79" s="3"/>
      <c r="G79" s="7"/>
      <c r="H79" s="7"/>
      <c r="I79" s="7"/>
      <c r="J79" s="60"/>
      <c r="K79" s="60" t="str">
        <f t="shared" si="2"/>
        <v/>
      </c>
    </row>
    <row r="80">
      <c r="A80" s="61">
        <f t="shared" si="1"/>
        <v>75</v>
      </c>
      <c r="B80" s="73" t="str">
        <f>IFERROR(__xludf.DUMMYFUNCTION("""COMPUTED_VALUE"""),"GLORIA C. DOMANAIS")</f>
        <v>GLORIA C. DOMANAIS</v>
      </c>
      <c r="C80" s="76" t="str">
        <f>IFERROR(__xludf.DUMMYFUNCTION("""COMPUTED_VALUE"""),"SENIOR")</f>
        <v>SENIOR</v>
      </c>
      <c r="D80" s="76" t="str">
        <f>VLOOKUP(B80,'HEAD OF THE FAMILY'!B80:J1934,9,FALSE)</f>
        <v>BLK 41</v>
      </c>
      <c r="E80" s="3"/>
      <c r="F80" s="3"/>
      <c r="G80" s="7"/>
      <c r="H80" s="7"/>
      <c r="I80" s="7"/>
      <c r="J80" s="60"/>
      <c r="K80" s="60" t="str">
        <f t="shared" si="2"/>
        <v/>
      </c>
    </row>
    <row r="81">
      <c r="A81" s="61">
        <f t="shared" si="1"/>
        <v>76</v>
      </c>
      <c r="B81" s="73" t="str">
        <f>IFERROR(__xludf.DUMMYFUNCTION("""COMPUTED_VALUE"""),"GREGORIO MAGONCIA SR.")</f>
        <v>GREGORIO MAGONCIA SR.</v>
      </c>
      <c r="C81" s="76" t="str">
        <f>IFERROR(__xludf.DUMMYFUNCTION("""COMPUTED_VALUE"""),"SENIOR")</f>
        <v>SENIOR</v>
      </c>
      <c r="D81" s="76" t="str">
        <f>VLOOKUP(B81,'HEAD OF THE FAMILY'!B81:J1934,9,FALSE)</f>
        <v>BLK 3</v>
      </c>
      <c r="E81" s="3"/>
      <c r="F81" s="3"/>
      <c r="G81" s="7"/>
      <c r="H81" s="7"/>
      <c r="I81" s="7"/>
      <c r="J81" s="60"/>
      <c r="K81" s="60" t="str">
        <f t="shared" si="2"/>
        <v/>
      </c>
    </row>
    <row r="82">
      <c r="A82" s="61">
        <f t="shared" si="1"/>
        <v>77</v>
      </c>
      <c r="B82" s="73" t="str">
        <f>IFERROR(__xludf.DUMMYFUNCTION("""COMPUTED_VALUE"""),"HERMINIGILDO N SALINAS")</f>
        <v>HERMINIGILDO N SALINAS</v>
      </c>
      <c r="C82" s="76" t="str">
        <f>IFERROR(__xludf.DUMMYFUNCTION("""COMPUTED_VALUE"""),"SENIOR")</f>
        <v>SENIOR</v>
      </c>
      <c r="D82" s="76" t="str">
        <f>VLOOKUP(B82,'HEAD OF THE FAMILY'!B82:J1934,9,FALSE)</f>
        <v>BLOCK 4</v>
      </c>
      <c r="E82" s="3"/>
      <c r="F82" s="3"/>
      <c r="G82" s="7"/>
      <c r="H82" s="7"/>
      <c r="I82" s="7"/>
      <c r="J82" s="60"/>
      <c r="K82" s="60" t="str">
        <f t="shared" si="2"/>
        <v/>
      </c>
    </row>
    <row r="83">
      <c r="A83" s="61">
        <f t="shared" si="1"/>
        <v>78</v>
      </c>
      <c r="B83" s="73" t="str">
        <f>IFERROR(__xludf.DUMMYFUNCTION("""COMPUTED_VALUE"""),"HONORIO F. CHUNSIM")</f>
        <v>HONORIO F. CHUNSIM</v>
      </c>
      <c r="C83" s="76" t="str">
        <f>IFERROR(__xludf.DUMMYFUNCTION("""COMPUTED_VALUE"""),"SENIOR")</f>
        <v>SENIOR</v>
      </c>
      <c r="D83" s="76" t="str">
        <f>VLOOKUP(B83,'HEAD OF THE FAMILY'!B83:J1934,9,FALSE)</f>
        <v>BLOCK 4</v>
      </c>
      <c r="E83" s="3"/>
      <c r="F83" s="3"/>
      <c r="G83" s="7"/>
      <c r="H83" s="7"/>
      <c r="I83" s="7"/>
      <c r="J83" s="60"/>
      <c r="K83" s="60" t="str">
        <f t="shared" si="2"/>
        <v/>
      </c>
    </row>
    <row r="84">
      <c r="A84" s="61">
        <f t="shared" si="1"/>
        <v>79</v>
      </c>
      <c r="B84" s="73" t="str">
        <f>IFERROR(__xludf.DUMMYFUNCTION("""COMPUTED_VALUE"""),"ISAGANI PUNZALAN ")</f>
        <v>ISAGANI PUNZALAN </v>
      </c>
      <c r="C84" s="76" t="str">
        <f>IFERROR(__xludf.DUMMYFUNCTION("""COMPUTED_VALUE"""),"SENIOR")</f>
        <v>SENIOR</v>
      </c>
      <c r="D84" s="76" t="str">
        <f>VLOOKUP(B84,'HEAD OF THE FAMILY'!B84:J1934,9,FALSE)</f>
        <v>BLK 45</v>
      </c>
      <c r="E84" s="3"/>
      <c r="F84" s="3"/>
      <c r="G84" s="7"/>
      <c r="H84" s="7"/>
      <c r="I84" s="7"/>
      <c r="J84" s="60"/>
      <c r="K84" s="60" t="str">
        <f t="shared" si="2"/>
        <v/>
      </c>
    </row>
    <row r="85">
      <c r="A85" s="61">
        <f t="shared" si="1"/>
        <v>80</v>
      </c>
      <c r="B85" s="73" t="str">
        <f>IFERROR(__xludf.DUMMYFUNCTION("""COMPUTED_VALUE"""),"JAIME BELTRAN JARIN")</f>
        <v>JAIME BELTRAN JARIN</v>
      </c>
      <c r="C85" s="76" t="str">
        <f>IFERROR(__xludf.DUMMYFUNCTION("""COMPUTED_VALUE"""),"SENIOR")</f>
        <v>SENIOR</v>
      </c>
      <c r="D85" s="76" t="str">
        <f>VLOOKUP(B85,'HEAD OF THE FAMILY'!B85:J1934,9,FALSE)</f>
        <v>BLK 5</v>
      </c>
      <c r="E85" s="3"/>
      <c r="F85" s="3"/>
      <c r="G85" s="7"/>
      <c r="H85" s="7"/>
      <c r="I85" s="7"/>
      <c r="J85" s="60"/>
      <c r="K85" s="60" t="str">
        <f t="shared" si="2"/>
        <v/>
      </c>
    </row>
    <row r="86">
      <c r="A86" s="61">
        <f t="shared" si="1"/>
        <v>81</v>
      </c>
      <c r="B86" s="73" t="str">
        <f>IFERROR(__xludf.DUMMYFUNCTION("""COMPUTED_VALUE"""),"JANET LOPINIA")</f>
        <v>JANET LOPINIA</v>
      </c>
      <c r="C86" s="76" t="str">
        <f>IFERROR(__xludf.DUMMYFUNCTION("""COMPUTED_VALUE"""),"SENIOR")</f>
        <v>SENIOR</v>
      </c>
      <c r="D86" s="76" t="str">
        <f>VLOOKUP(B86,'HEAD OF THE FAMILY'!B86:J1934,9,FALSE)</f>
        <v>BLK 49</v>
      </c>
      <c r="E86" s="3"/>
      <c r="F86" s="3"/>
      <c r="G86" s="7"/>
      <c r="H86" s="7"/>
      <c r="I86" s="7"/>
      <c r="J86" s="60"/>
      <c r="K86" s="60" t="str">
        <f t="shared" si="2"/>
        <v/>
      </c>
    </row>
    <row r="87">
      <c r="A87" s="61">
        <f t="shared" si="1"/>
        <v>82</v>
      </c>
      <c r="B87" s="73" t="str">
        <f>IFERROR(__xludf.DUMMYFUNCTION("""COMPUTED_VALUE"""),"JESSIE C AMANCIO")</f>
        <v>JESSIE C AMANCIO</v>
      </c>
      <c r="C87" s="76" t="str">
        <f>IFERROR(__xludf.DUMMYFUNCTION("""COMPUTED_VALUE"""),"SENIOR")</f>
        <v>SENIOR</v>
      </c>
      <c r="D87" s="76" t="str">
        <f>VLOOKUP(B87,'HEAD OF THE FAMILY'!B87:J1934,9,FALSE)</f>
        <v>BLK 45</v>
      </c>
      <c r="E87" s="3"/>
      <c r="F87" s="3"/>
      <c r="G87" s="7"/>
      <c r="H87" s="7"/>
      <c r="I87" s="7"/>
      <c r="J87" s="60"/>
      <c r="K87" s="60" t="str">
        <f t="shared" si="2"/>
        <v/>
      </c>
    </row>
    <row r="88">
      <c r="A88" s="61">
        <f t="shared" si="1"/>
        <v>83</v>
      </c>
      <c r="B88" s="73" t="str">
        <f>IFERROR(__xludf.DUMMYFUNCTION("""COMPUTED_VALUE"""),"JESUS SILVA")</f>
        <v>JESUS SILVA</v>
      </c>
      <c r="C88" s="76" t="str">
        <f>IFERROR(__xludf.DUMMYFUNCTION("""COMPUTED_VALUE"""),"SENIOR")</f>
        <v>SENIOR</v>
      </c>
      <c r="D88" s="76" t="str">
        <f>VLOOKUP(B88,'HEAD OF THE FAMILY'!B88:J1934,9,FALSE)</f>
        <v>BLK 49</v>
      </c>
      <c r="E88" s="3"/>
      <c r="F88" s="3"/>
      <c r="G88" s="7"/>
      <c r="H88" s="7"/>
      <c r="I88" s="7"/>
      <c r="J88" s="60"/>
      <c r="K88" s="60" t="str">
        <f t="shared" si="2"/>
        <v/>
      </c>
    </row>
    <row r="89">
      <c r="A89" s="61">
        <f t="shared" si="1"/>
        <v>84</v>
      </c>
      <c r="B89" s="73" t="str">
        <f>IFERROR(__xludf.DUMMYFUNCTION("""COMPUTED_VALUE"""),"JOCELYN DELA TORRE")</f>
        <v>JOCELYN DELA TORRE</v>
      </c>
      <c r="C89" s="76" t="str">
        <f>IFERROR(__xludf.DUMMYFUNCTION("""COMPUTED_VALUE"""),"SENIOR")</f>
        <v>SENIOR</v>
      </c>
      <c r="D89" s="76" t="str">
        <f>VLOOKUP(B89,'HEAD OF THE FAMILY'!B89:J1934,9,FALSE)</f>
        <v>BLK 46</v>
      </c>
      <c r="E89" s="3"/>
      <c r="F89" s="3"/>
      <c r="G89" s="7"/>
      <c r="H89" s="7"/>
      <c r="I89" s="7"/>
      <c r="J89" s="60"/>
      <c r="K89" s="60" t="str">
        <f t="shared" si="2"/>
        <v/>
      </c>
    </row>
    <row r="90">
      <c r="A90" s="61">
        <f t="shared" si="1"/>
        <v>85</v>
      </c>
      <c r="B90" s="73" t="str">
        <f>IFERROR(__xludf.DUMMYFUNCTION("""COMPUTED_VALUE"""),"JOSE CORNELIO JR.")</f>
        <v>JOSE CORNELIO JR.</v>
      </c>
      <c r="C90" s="76" t="str">
        <f>IFERROR(__xludf.DUMMYFUNCTION("""COMPUTED_VALUE"""),"SENIOR")</f>
        <v>SENIOR</v>
      </c>
      <c r="D90" s="76" t="str">
        <f>VLOOKUP(B90,'HEAD OF THE FAMILY'!B90:J1934,9,FALSE)</f>
        <v>BLK 3</v>
      </c>
      <c r="E90" s="3"/>
      <c r="F90" s="3"/>
      <c r="G90" s="7"/>
      <c r="H90" s="7"/>
      <c r="I90" s="7"/>
      <c r="J90" s="60"/>
      <c r="K90" s="60" t="str">
        <f t="shared" si="2"/>
        <v/>
      </c>
    </row>
    <row r="91">
      <c r="A91" s="61">
        <f t="shared" si="1"/>
        <v>86</v>
      </c>
      <c r="B91" s="73" t="str">
        <f>IFERROR(__xludf.DUMMYFUNCTION("""COMPUTED_VALUE"""),"JOSEFINA STO TOMAS")</f>
        <v>JOSEFINA STO TOMAS</v>
      </c>
      <c r="C91" s="76" t="str">
        <f>IFERROR(__xludf.DUMMYFUNCTION("""COMPUTED_VALUE"""),"SENIOR")</f>
        <v>SENIOR</v>
      </c>
      <c r="D91" s="76" t="str">
        <f>VLOOKUP(B91,'HEAD OF THE FAMILY'!B91:J1934,9,FALSE)</f>
        <v>BLK 46</v>
      </c>
      <c r="E91" s="3"/>
      <c r="F91" s="3"/>
      <c r="G91" s="7"/>
      <c r="H91" s="7"/>
      <c r="I91" s="7"/>
      <c r="J91" s="60"/>
      <c r="K91" s="60" t="str">
        <f t="shared" si="2"/>
        <v/>
      </c>
    </row>
    <row r="92">
      <c r="A92" s="61">
        <f t="shared" si="1"/>
        <v>87</v>
      </c>
      <c r="B92" s="73" t="str">
        <f>IFERROR(__xludf.DUMMYFUNCTION("""COMPUTED_VALUE"""),"JOSELITO C. TOLENTINO SR.")</f>
        <v>JOSELITO C. TOLENTINO SR.</v>
      </c>
      <c r="C92" s="76" t="str">
        <f>IFERROR(__xludf.DUMMYFUNCTION("""COMPUTED_VALUE"""),"SENIOR")</f>
        <v>SENIOR</v>
      </c>
      <c r="D92" s="76" t="str">
        <f>VLOOKUP(B92,'HEAD OF THE FAMILY'!B92:J1934,9,FALSE)</f>
        <v>BLK 41</v>
      </c>
      <c r="E92" s="3"/>
      <c r="F92" s="3"/>
      <c r="G92" s="7"/>
      <c r="H92" s="7"/>
      <c r="I92" s="7"/>
      <c r="J92" s="60"/>
      <c r="K92" s="60" t="str">
        <f t="shared" si="2"/>
        <v/>
      </c>
    </row>
    <row r="93">
      <c r="A93" s="61">
        <f t="shared" si="1"/>
        <v>88</v>
      </c>
      <c r="B93" s="73" t="str">
        <f>IFERROR(__xludf.DUMMYFUNCTION("""COMPUTED_VALUE"""),"JOSELITO CORNELIO")</f>
        <v>JOSELITO CORNELIO</v>
      </c>
      <c r="C93" s="76" t="str">
        <f>IFERROR(__xludf.DUMMYFUNCTION("""COMPUTED_VALUE"""),"SENIOR")</f>
        <v>SENIOR</v>
      </c>
      <c r="D93" s="76" t="str">
        <f>VLOOKUP(B93,'HEAD OF THE FAMILY'!B93:J1934,9,FALSE)</f>
        <v>BLOCK 4</v>
      </c>
      <c r="E93" s="3"/>
      <c r="F93" s="3"/>
      <c r="G93" s="7"/>
      <c r="H93" s="7"/>
      <c r="I93" s="7"/>
      <c r="J93" s="60"/>
      <c r="K93" s="60" t="str">
        <f t="shared" si="2"/>
        <v/>
      </c>
    </row>
    <row r="94">
      <c r="A94" s="61">
        <f t="shared" si="1"/>
        <v>89</v>
      </c>
      <c r="B94" s="73" t="str">
        <f>IFERROR(__xludf.DUMMYFUNCTION("""COMPUTED_VALUE"""),"JOSELITO PUSING")</f>
        <v>JOSELITO PUSING</v>
      </c>
      <c r="C94" s="76" t="str">
        <f>IFERROR(__xludf.DUMMYFUNCTION("""COMPUTED_VALUE"""),"SENIOR")</f>
        <v>SENIOR</v>
      </c>
      <c r="D94" s="76" t="str">
        <f>VLOOKUP(B94,'HEAD OF THE FAMILY'!B94:J1934,9,FALSE)</f>
        <v>BLK 45</v>
      </c>
      <c r="E94" s="3"/>
      <c r="F94" s="3"/>
      <c r="G94" s="7"/>
      <c r="H94" s="7"/>
      <c r="I94" s="7"/>
      <c r="J94" s="60"/>
      <c r="K94" s="60" t="str">
        <f t="shared" si="2"/>
        <v/>
      </c>
    </row>
    <row r="95">
      <c r="A95" s="61">
        <f t="shared" si="1"/>
        <v>90</v>
      </c>
      <c r="B95" s="73" t="str">
        <f>IFERROR(__xludf.DUMMYFUNCTION("""COMPUTED_VALUE"""),"JOSEPHINE DUMAOG ")</f>
        <v>JOSEPHINE DUMAOG </v>
      </c>
      <c r="C95" s="76" t="str">
        <f>IFERROR(__xludf.DUMMYFUNCTION("""COMPUTED_VALUE"""),"SENIOR")</f>
        <v>SENIOR</v>
      </c>
      <c r="D95" s="76" t="str">
        <f>VLOOKUP(B95,'HEAD OF THE FAMILY'!B95:J1934,9,FALSE)</f>
        <v>BLK 41</v>
      </c>
      <c r="E95" s="3"/>
      <c r="F95" s="3"/>
      <c r="G95" s="7"/>
      <c r="H95" s="7"/>
      <c r="I95" s="7"/>
      <c r="J95" s="60"/>
      <c r="K95" s="60" t="str">
        <f t="shared" si="2"/>
        <v/>
      </c>
    </row>
    <row r="96">
      <c r="A96" s="61">
        <f t="shared" si="1"/>
        <v>91</v>
      </c>
      <c r="B96" s="73" t="str">
        <f>IFERROR(__xludf.DUMMYFUNCTION("""COMPUTED_VALUE"""),"JULIETA MARTINEZ ")</f>
        <v>JULIETA MARTINEZ </v>
      </c>
      <c r="C96" s="76" t="str">
        <f>IFERROR(__xludf.DUMMYFUNCTION("""COMPUTED_VALUE"""),"SENIOR")</f>
        <v>SENIOR</v>
      </c>
      <c r="D96" s="76" t="str">
        <f>VLOOKUP(B96,'HEAD OF THE FAMILY'!B96:J1934,9,FALSE)</f>
        <v>BLK 5</v>
      </c>
      <c r="E96" s="3"/>
      <c r="F96" s="3"/>
      <c r="G96" s="7"/>
      <c r="H96" s="7"/>
      <c r="I96" s="7"/>
      <c r="J96" s="60"/>
      <c r="K96" s="60" t="str">
        <f t="shared" si="2"/>
        <v/>
      </c>
    </row>
    <row r="97">
      <c r="A97" s="61">
        <f t="shared" si="1"/>
        <v>92</v>
      </c>
      <c r="B97" s="73" t="str">
        <f>IFERROR(__xludf.DUMMYFUNCTION("""COMPUTED_VALUE"""),"JULIO BALMACEDA")</f>
        <v>JULIO BALMACEDA</v>
      </c>
      <c r="C97" s="76" t="str">
        <f>IFERROR(__xludf.DUMMYFUNCTION("""COMPUTED_VALUE"""),"SENIOR")</f>
        <v>SENIOR</v>
      </c>
      <c r="D97" s="76" t="str">
        <f>VLOOKUP(B97,'HEAD OF THE FAMILY'!B97:J1934,9,FALSE)</f>
        <v>BLK 41</v>
      </c>
      <c r="E97" s="3"/>
      <c r="F97" s="3"/>
      <c r="G97" s="7"/>
      <c r="H97" s="7"/>
      <c r="I97" s="7"/>
      <c r="J97" s="60"/>
      <c r="K97" s="60" t="str">
        <f t="shared" si="2"/>
        <v/>
      </c>
    </row>
    <row r="98">
      <c r="A98" s="61">
        <f t="shared" si="1"/>
        <v>93</v>
      </c>
      <c r="B98" s="73" t="str">
        <f>IFERROR(__xludf.DUMMYFUNCTION("""COMPUTED_VALUE"""),"JUNLIE DELIGAN")</f>
        <v>JUNLIE DELIGAN</v>
      </c>
      <c r="C98" s="76" t="str">
        <f>IFERROR(__xludf.DUMMYFUNCTION("""COMPUTED_VALUE"""),"SENIOR")</f>
        <v>SENIOR</v>
      </c>
      <c r="D98" s="76" t="str">
        <f>VLOOKUP(B98,'HEAD OF THE FAMILY'!B98:J1934,9,FALSE)</f>
        <v>BLK 5</v>
      </c>
      <c r="E98" s="3"/>
      <c r="F98" s="3"/>
      <c r="G98" s="7"/>
      <c r="H98" s="7"/>
      <c r="I98" s="7"/>
      <c r="J98" s="60"/>
      <c r="K98" s="60" t="str">
        <f t="shared" si="2"/>
        <v/>
      </c>
    </row>
    <row r="99">
      <c r="A99" s="61">
        <f t="shared" si="1"/>
        <v>94</v>
      </c>
      <c r="B99" s="73" t="str">
        <f>IFERROR(__xludf.DUMMYFUNCTION("""COMPUTED_VALUE"""),"LAZARO ELLANA")</f>
        <v>LAZARO ELLANA</v>
      </c>
      <c r="C99" s="76" t="str">
        <f>IFERROR(__xludf.DUMMYFUNCTION("""COMPUTED_VALUE"""),"SENIOR")</f>
        <v>SENIOR</v>
      </c>
      <c r="D99" s="76" t="str">
        <f>VLOOKUP(B99,'HEAD OF THE FAMILY'!B99:J1934,9,FALSE)</f>
        <v>BLOCK 4</v>
      </c>
      <c r="E99" s="3"/>
      <c r="F99" s="3"/>
      <c r="G99" s="7"/>
      <c r="H99" s="7"/>
      <c r="I99" s="7"/>
      <c r="J99" s="60"/>
      <c r="K99" s="60" t="str">
        <f t="shared" si="2"/>
        <v/>
      </c>
    </row>
    <row r="100">
      <c r="A100" s="61">
        <f t="shared" si="1"/>
        <v>95</v>
      </c>
      <c r="B100" s="73" t="str">
        <f>IFERROR(__xludf.DUMMYFUNCTION("""COMPUTED_VALUE"""),"LEDRICA DUCO")</f>
        <v>LEDRICA DUCO</v>
      </c>
      <c r="C100" s="76" t="str">
        <f>IFERROR(__xludf.DUMMYFUNCTION("""COMPUTED_VALUE"""),"SENIOR")</f>
        <v>SENIOR</v>
      </c>
      <c r="D100" s="76" t="str">
        <f>VLOOKUP(B100,'HEAD OF THE FAMILY'!B100:J1934,9,FALSE)</f>
        <v>BLK 1</v>
      </c>
      <c r="E100" s="3"/>
      <c r="F100" s="3"/>
      <c r="G100" s="7"/>
      <c r="H100" s="7"/>
      <c r="I100" s="7"/>
      <c r="J100" s="60"/>
      <c r="K100" s="60" t="str">
        <f t="shared" si="2"/>
        <v/>
      </c>
    </row>
    <row r="101">
      <c r="A101" s="61">
        <f t="shared" si="1"/>
        <v>96</v>
      </c>
      <c r="B101" s="73" t="str">
        <f>IFERROR(__xludf.DUMMYFUNCTION("""COMPUTED_VALUE"""),"LENNY VILLARINO")</f>
        <v>LENNY VILLARINO</v>
      </c>
      <c r="C101" s="76" t="str">
        <f>IFERROR(__xludf.DUMMYFUNCTION("""COMPUTED_VALUE"""),"SENIOR")</f>
        <v>SENIOR</v>
      </c>
      <c r="D101" s="76" t="str">
        <f>VLOOKUP(B101,'HEAD OF THE FAMILY'!B101:J1934,9,FALSE)</f>
        <v>BLK 49</v>
      </c>
      <c r="E101" s="3"/>
      <c r="F101" s="3"/>
      <c r="G101" s="7"/>
      <c r="H101" s="7"/>
      <c r="I101" s="7"/>
      <c r="J101" s="60"/>
      <c r="K101" s="60" t="str">
        <f t="shared" si="2"/>
        <v/>
      </c>
    </row>
    <row r="102">
      <c r="A102" s="61">
        <f t="shared" si="1"/>
        <v>97</v>
      </c>
      <c r="B102" s="73" t="str">
        <f>IFERROR(__xludf.DUMMYFUNCTION("""COMPUTED_VALUE"""),"LEONARDO UNABIA")</f>
        <v>LEONARDO UNABIA</v>
      </c>
      <c r="C102" s="76" t="str">
        <f>IFERROR(__xludf.DUMMYFUNCTION("""COMPUTED_VALUE"""),"SENIOR")</f>
        <v>SENIOR</v>
      </c>
      <c r="D102" s="76" t="str">
        <f>VLOOKUP(B102,'HEAD OF THE FAMILY'!B102:J1934,9,FALSE)</f>
        <v>BLK 46</v>
      </c>
      <c r="E102" s="3"/>
      <c r="F102" s="3"/>
      <c r="G102" s="7"/>
      <c r="H102" s="7"/>
      <c r="I102" s="7"/>
      <c r="J102" s="60"/>
      <c r="K102" s="60" t="str">
        <f t="shared" si="2"/>
        <v/>
      </c>
    </row>
    <row r="103">
      <c r="A103" s="61">
        <f t="shared" si="1"/>
        <v>98</v>
      </c>
      <c r="B103" s="73" t="str">
        <f>IFERROR(__xludf.DUMMYFUNCTION("""COMPUTED_VALUE"""),"LEONILA P. LOYOLA")</f>
        <v>LEONILA P. LOYOLA</v>
      </c>
      <c r="C103" s="76" t="str">
        <f>IFERROR(__xludf.DUMMYFUNCTION("""COMPUTED_VALUE"""),"SENIOR")</f>
        <v>SENIOR</v>
      </c>
      <c r="D103" s="76" t="str">
        <f>VLOOKUP(B103,'HEAD OF THE FAMILY'!B103:J1934,9,FALSE)</f>
        <v>BLK 1</v>
      </c>
      <c r="E103" s="3"/>
      <c r="F103" s="3"/>
      <c r="G103" s="7"/>
      <c r="H103" s="7"/>
      <c r="I103" s="7"/>
      <c r="J103" s="60"/>
      <c r="K103" s="60" t="str">
        <f t="shared" si="2"/>
        <v/>
      </c>
    </row>
    <row r="104">
      <c r="A104" s="61">
        <f t="shared" si="1"/>
        <v>99</v>
      </c>
      <c r="B104" s="73" t="str">
        <f>IFERROR(__xludf.DUMMYFUNCTION("""COMPUTED_VALUE"""),"LETICIA PUNZALAN VILLAR")</f>
        <v>LETICIA PUNZALAN VILLAR</v>
      </c>
      <c r="C104" s="76" t="str">
        <f>IFERROR(__xludf.DUMMYFUNCTION("""COMPUTED_VALUE"""),"SENIOR")</f>
        <v>SENIOR</v>
      </c>
      <c r="D104" s="76" t="str">
        <f>VLOOKUP(B104,'HEAD OF THE FAMILY'!B104:J1934,9,FALSE)</f>
        <v>BLK 45</v>
      </c>
      <c r="E104" s="3"/>
      <c r="F104" s="3"/>
      <c r="G104" s="7"/>
      <c r="H104" s="7"/>
      <c r="I104" s="7"/>
      <c r="J104" s="60"/>
      <c r="K104" s="60" t="str">
        <f t="shared" si="2"/>
        <v/>
      </c>
    </row>
    <row r="105">
      <c r="A105" s="61">
        <f t="shared" si="1"/>
        <v>100</v>
      </c>
      <c r="B105" s="73" t="str">
        <f>IFERROR(__xludf.DUMMYFUNCTION("""COMPUTED_VALUE"""),"LEVE C. DELA CRUZ")</f>
        <v>LEVE C. DELA CRUZ</v>
      </c>
      <c r="C105" s="76" t="str">
        <f>IFERROR(__xludf.DUMMYFUNCTION("""COMPUTED_VALUE"""),"SENIOR")</f>
        <v>SENIOR</v>
      </c>
      <c r="D105" s="76" t="str">
        <f>VLOOKUP(B105,'HEAD OF THE FAMILY'!B105:J1934,9,FALSE)</f>
        <v>BLK 41</v>
      </c>
      <c r="E105" s="3"/>
      <c r="F105" s="3"/>
      <c r="G105" s="7"/>
      <c r="H105" s="7"/>
      <c r="I105" s="7"/>
      <c r="J105" s="60"/>
      <c r="K105" s="60" t="str">
        <f t="shared" si="2"/>
        <v/>
      </c>
    </row>
    <row r="106">
      <c r="A106" s="61">
        <f t="shared" si="1"/>
        <v>101</v>
      </c>
      <c r="B106" s="73" t="str">
        <f>IFERROR(__xludf.DUMMYFUNCTION("""COMPUTED_VALUE"""),"LODIVINA ESTRELLA")</f>
        <v>LODIVINA ESTRELLA</v>
      </c>
      <c r="C106" s="76" t="str">
        <f>IFERROR(__xludf.DUMMYFUNCTION("""COMPUTED_VALUE"""),"SENIOR")</f>
        <v>SENIOR</v>
      </c>
      <c r="D106" s="76" t="str">
        <f>VLOOKUP(B106,'HEAD OF THE FAMILY'!B106:J1934,9,FALSE)</f>
        <v>BLK 46</v>
      </c>
      <c r="E106" s="3"/>
      <c r="F106" s="3"/>
      <c r="G106" s="7"/>
      <c r="H106" s="7"/>
      <c r="I106" s="7"/>
      <c r="J106" s="60"/>
      <c r="K106" s="60" t="str">
        <f t="shared" si="2"/>
        <v/>
      </c>
    </row>
    <row r="107">
      <c r="A107" s="61">
        <f t="shared" si="1"/>
        <v>102</v>
      </c>
      <c r="B107" s="73" t="str">
        <f>IFERROR(__xludf.DUMMYFUNCTION("""COMPUTED_VALUE"""),"LOLITA ESPIRITU")</f>
        <v>LOLITA ESPIRITU</v>
      </c>
      <c r="C107" s="76" t="str">
        <f>IFERROR(__xludf.DUMMYFUNCTION("""COMPUTED_VALUE"""),"SENIOR")</f>
        <v>SENIOR</v>
      </c>
      <c r="D107" s="76" t="str">
        <f>VLOOKUP(B107,'HEAD OF THE FAMILY'!B107:J1934,9,FALSE)</f>
        <v>BLK 5</v>
      </c>
      <c r="E107" s="3"/>
      <c r="F107" s="3"/>
      <c r="G107" s="7"/>
      <c r="H107" s="7"/>
      <c r="I107" s="7"/>
      <c r="J107" s="60"/>
      <c r="K107" s="60" t="str">
        <f t="shared" si="2"/>
        <v/>
      </c>
    </row>
    <row r="108">
      <c r="A108" s="61">
        <f t="shared" si="1"/>
        <v>103</v>
      </c>
      <c r="B108" s="73" t="str">
        <f>IFERROR(__xludf.DUMMYFUNCTION("""COMPUTED_VALUE"""),"LOLOTA E. WIEL")</f>
        <v>LOLOTA E. WIEL</v>
      </c>
      <c r="C108" s="76" t="str">
        <f>IFERROR(__xludf.DUMMYFUNCTION("""COMPUTED_VALUE"""),"SENIOR")</f>
        <v>SENIOR</v>
      </c>
      <c r="D108" s="76" t="str">
        <f>VLOOKUP(B108,'HEAD OF THE FAMILY'!B108:J1934,9,FALSE)</f>
        <v>BLOCK 4</v>
      </c>
      <c r="E108" s="3"/>
      <c r="F108" s="3"/>
      <c r="G108" s="7"/>
      <c r="H108" s="7"/>
      <c r="I108" s="7"/>
      <c r="J108" s="60"/>
      <c r="K108" s="60" t="str">
        <f t="shared" si="2"/>
        <v/>
      </c>
    </row>
    <row r="109">
      <c r="A109" s="61">
        <f t="shared" si="1"/>
        <v>104</v>
      </c>
      <c r="B109" s="73" t="str">
        <f>IFERROR(__xludf.DUMMYFUNCTION("""COMPUTED_VALUE"""),"LORENA BELTRAN")</f>
        <v>LORENA BELTRAN</v>
      </c>
      <c r="C109" s="76" t="str">
        <f>IFERROR(__xludf.DUMMYFUNCTION("""COMPUTED_VALUE"""),"SENIOR")</f>
        <v>SENIOR</v>
      </c>
      <c r="D109" s="76" t="str">
        <f>VLOOKUP(B109,'HEAD OF THE FAMILY'!B109:J1934,9,FALSE)</f>
        <v>BLK 1</v>
      </c>
      <c r="E109" s="3"/>
      <c r="F109" s="3"/>
      <c r="G109" s="7"/>
      <c r="H109" s="7"/>
      <c r="I109" s="7"/>
      <c r="J109" s="60"/>
      <c r="K109" s="60" t="str">
        <f t="shared" si="2"/>
        <v/>
      </c>
    </row>
    <row r="110">
      <c r="A110" s="61">
        <f t="shared" si="1"/>
        <v>105</v>
      </c>
      <c r="B110" s="73" t="str">
        <f>IFERROR(__xludf.DUMMYFUNCTION("""COMPUTED_VALUE"""),"LOURDES C. CALADIAO")</f>
        <v>LOURDES C. CALADIAO</v>
      </c>
      <c r="C110" s="76" t="str">
        <f>IFERROR(__xludf.DUMMYFUNCTION("""COMPUTED_VALUE"""),"SENIOR")</f>
        <v>SENIOR</v>
      </c>
      <c r="D110" s="76" t="str">
        <f>VLOOKUP(B110,'HEAD OF THE FAMILY'!B110:J1934,9,FALSE)</f>
        <v>BLK 49</v>
      </c>
      <c r="E110" s="3"/>
      <c r="F110" s="3"/>
      <c r="G110" s="7"/>
      <c r="H110" s="7"/>
      <c r="I110" s="7"/>
      <c r="J110" s="60"/>
      <c r="K110" s="60" t="str">
        <f t="shared" si="2"/>
        <v/>
      </c>
    </row>
    <row r="111">
      <c r="A111" s="61">
        <f t="shared" si="1"/>
        <v>106</v>
      </c>
      <c r="B111" s="73" t="str">
        <f>IFERROR(__xludf.DUMMYFUNCTION("""COMPUTED_VALUE"""),"LUDIVINA OLAES")</f>
        <v>LUDIVINA OLAES</v>
      </c>
      <c r="C111" s="76" t="str">
        <f>IFERROR(__xludf.DUMMYFUNCTION("""COMPUTED_VALUE"""),"SENIOR")</f>
        <v>SENIOR</v>
      </c>
      <c r="D111" s="76" t="str">
        <f>VLOOKUP(B111,'HEAD OF THE FAMILY'!B111:J1934,9,FALSE)</f>
        <v>BLK 5</v>
      </c>
      <c r="E111" s="3"/>
      <c r="F111" s="3"/>
      <c r="G111" s="7"/>
      <c r="H111" s="7"/>
      <c r="I111" s="7"/>
      <c r="J111" s="60"/>
      <c r="K111" s="60" t="str">
        <f t="shared" si="2"/>
        <v/>
      </c>
    </row>
    <row r="112">
      <c r="A112" s="61">
        <f t="shared" si="1"/>
        <v>107</v>
      </c>
      <c r="B112" s="73" t="str">
        <f>IFERROR(__xludf.DUMMYFUNCTION("""COMPUTED_VALUE"""),"LUIS CORTEZANO")</f>
        <v>LUIS CORTEZANO</v>
      </c>
      <c r="C112" s="76" t="str">
        <f>IFERROR(__xludf.DUMMYFUNCTION("""COMPUTED_VALUE"""),"SENIOR")</f>
        <v>SENIOR</v>
      </c>
      <c r="D112" s="76" t="str">
        <f>VLOOKUP(B112,'HEAD OF THE FAMILY'!B112:J1934,9,FALSE)</f>
        <v>BLK 46</v>
      </c>
      <c r="E112" s="3"/>
      <c r="F112" s="3"/>
      <c r="G112" s="7"/>
      <c r="H112" s="7"/>
      <c r="I112" s="7"/>
      <c r="J112" s="60"/>
      <c r="K112" s="60" t="str">
        <f t="shared" si="2"/>
        <v/>
      </c>
    </row>
    <row r="113">
      <c r="A113" s="61">
        <f t="shared" si="1"/>
        <v>108</v>
      </c>
      <c r="B113" s="73" t="str">
        <f>IFERROR(__xludf.DUMMYFUNCTION("""COMPUTED_VALUE"""),"LUISA SAN JUAN")</f>
        <v>LUISA SAN JUAN</v>
      </c>
      <c r="C113" s="76" t="str">
        <f>IFERROR(__xludf.DUMMYFUNCTION("""COMPUTED_VALUE"""),"SENIOR")</f>
        <v>SENIOR</v>
      </c>
      <c r="D113" s="76" t="str">
        <f>VLOOKUP(B113,'HEAD OF THE FAMILY'!B113:J1934,9,FALSE)</f>
        <v>BLK 46</v>
      </c>
      <c r="E113" s="3"/>
      <c r="F113" s="3"/>
      <c r="G113" s="7"/>
      <c r="H113" s="7"/>
      <c r="I113" s="7"/>
      <c r="J113" s="60"/>
      <c r="K113" s="60" t="str">
        <f t="shared" si="2"/>
        <v/>
      </c>
    </row>
    <row r="114">
      <c r="A114" s="61">
        <f t="shared" si="1"/>
        <v>109</v>
      </c>
      <c r="B114" s="73" t="str">
        <f>IFERROR(__xludf.DUMMYFUNCTION("""COMPUTED_VALUE"""),"LUTGARDO C. MARCO")</f>
        <v>LUTGARDO C. MARCO</v>
      </c>
      <c r="C114" s="76" t="str">
        <f>IFERROR(__xludf.DUMMYFUNCTION("""COMPUTED_VALUE"""),"SENIOR")</f>
        <v>SENIOR</v>
      </c>
      <c r="D114" s="76" t="str">
        <f>VLOOKUP(B114,'HEAD OF THE FAMILY'!B114:J1934,9,FALSE)</f>
        <v>BLK 5</v>
      </c>
      <c r="E114" s="3"/>
      <c r="F114" s="3"/>
      <c r="G114" s="7"/>
      <c r="H114" s="7"/>
      <c r="I114" s="7"/>
      <c r="J114" s="60"/>
      <c r="K114" s="60" t="str">
        <f t="shared" si="2"/>
        <v/>
      </c>
    </row>
    <row r="115">
      <c r="A115" s="61">
        <f t="shared" si="1"/>
        <v>110</v>
      </c>
      <c r="B115" s="73" t="str">
        <f>IFERROR(__xludf.DUMMYFUNCTION("""COMPUTED_VALUE"""),"MA LUIZA LABRO")</f>
        <v>MA LUIZA LABRO</v>
      </c>
      <c r="C115" s="76" t="str">
        <f>IFERROR(__xludf.DUMMYFUNCTION("""COMPUTED_VALUE"""),"SENIOR")</f>
        <v>SENIOR</v>
      </c>
      <c r="D115" s="76" t="str">
        <f>VLOOKUP(B115,'HEAD OF THE FAMILY'!B115:J1934,9,FALSE)</f>
        <v>BLK 46</v>
      </c>
      <c r="E115" s="3"/>
      <c r="F115" s="3"/>
      <c r="G115" s="7"/>
      <c r="H115" s="7"/>
      <c r="I115" s="7"/>
      <c r="J115" s="60"/>
      <c r="K115" s="60" t="str">
        <f t="shared" si="2"/>
        <v/>
      </c>
    </row>
    <row r="116">
      <c r="A116" s="61">
        <f t="shared" si="1"/>
        <v>111</v>
      </c>
      <c r="B116" s="73" t="str">
        <f>IFERROR(__xludf.DUMMYFUNCTION("""COMPUTED_VALUE"""),"MA. CRISTINA M. PERALES ")</f>
        <v>MA. CRISTINA M. PERALES </v>
      </c>
      <c r="C116" s="76" t="str">
        <f>IFERROR(__xludf.DUMMYFUNCTION("""COMPUTED_VALUE"""),"SENIOR")</f>
        <v>SENIOR</v>
      </c>
      <c r="D116" s="76" t="str">
        <f>VLOOKUP(B116,'HEAD OF THE FAMILY'!B116:J1934,9,FALSE)</f>
        <v>BLK 5</v>
      </c>
      <c r="E116" s="3"/>
      <c r="F116" s="3"/>
      <c r="G116" s="7"/>
      <c r="H116" s="7"/>
      <c r="I116" s="7"/>
      <c r="J116" s="60"/>
      <c r="K116" s="60" t="str">
        <f t="shared" si="2"/>
        <v/>
      </c>
    </row>
    <row r="117">
      <c r="A117" s="61">
        <f t="shared" si="1"/>
        <v>112</v>
      </c>
      <c r="B117" s="73" t="str">
        <f>IFERROR(__xludf.DUMMYFUNCTION("""COMPUTED_VALUE"""),"MA. VICTORIA SAMONTE")</f>
        <v>MA. VICTORIA SAMONTE</v>
      </c>
      <c r="C117" s="76" t="str">
        <f>IFERROR(__xludf.DUMMYFUNCTION("""COMPUTED_VALUE"""),"SENIOR")</f>
        <v>SENIOR</v>
      </c>
      <c r="D117" s="76" t="str">
        <f>VLOOKUP(B117,'HEAD OF THE FAMILY'!B117:J1934,9,FALSE)</f>
        <v>BLK 46</v>
      </c>
      <c r="E117" s="3"/>
      <c r="F117" s="3"/>
      <c r="G117" s="7"/>
      <c r="H117" s="7"/>
      <c r="I117" s="7"/>
      <c r="J117" s="60"/>
      <c r="K117" s="60" t="str">
        <f t="shared" si="2"/>
        <v/>
      </c>
    </row>
    <row r="118">
      <c r="A118" s="61">
        <f t="shared" si="1"/>
        <v>113</v>
      </c>
      <c r="B118" s="73" t="str">
        <f>IFERROR(__xludf.DUMMYFUNCTION("""COMPUTED_VALUE"""),"MAGDALENA PARAYNO")</f>
        <v>MAGDALENA PARAYNO</v>
      </c>
      <c r="C118" s="76" t="str">
        <f>IFERROR(__xludf.DUMMYFUNCTION("""COMPUTED_VALUE"""),"SENIOR")</f>
        <v>SENIOR</v>
      </c>
      <c r="D118" s="76" t="str">
        <f>VLOOKUP(B118,'HEAD OF THE FAMILY'!B118:J1934,9,FALSE)</f>
        <v>BLOCK 4</v>
      </c>
      <c r="E118" s="3"/>
      <c r="F118" s="3"/>
      <c r="G118" s="7"/>
      <c r="H118" s="7"/>
      <c r="I118" s="7"/>
      <c r="J118" s="60"/>
      <c r="K118" s="60" t="str">
        <f t="shared" si="2"/>
        <v/>
      </c>
    </row>
    <row r="119">
      <c r="A119" s="61">
        <f t="shared" si="1"/>
        <v>114</v>
      </c>
      <c r="B119" s="73" t="str">
        <f>IFERROR(__xludf.DUMMYFUNCTION("""COMPUTED_VALUE"""),"MANUEL C. GERONIMO SR.")</f>
        <v>MANUEL C. GERONIMO SR.</v>
      </c>
      <c r="C119" s="76" t="str">
        <f>IFERROR(__xludf.DUMMYFUNCTION("""COMPUTED_VALUE"""),"SENIOR")</f>
        <v>SENIOR</v>
      </c>
      <c r="D119" s="76" t="str">
        <f>VLOOKUP(B119,'HEAD OF THE FAMILY'!B119:J1934,9,FALSE)</f>
        <v>BLK 45</v>
      </c>
      <c r="E119" s="3"/>
      <c r="F119" s="3"/>
      <c r="G119" s="7"/>
      <c r="H119" s="7"/>
      <c r="I119" s="7"/>
      <c r="J119" s="60"/>
      <c r="K119" s="60" t="str">
        <f t="shared" si="2"/>
        <v/>
      </c>
    </row>
    <row r="120">
      <c r="A120" s="61">
        <f t="shared" si="1"/>
        <v>115</v>
      </c>
      <c r="B120" s="73" t="str">
        <f>IFERROR(__xludf.DUMMYFUNCTION("""COMPUTED_VALUE"""),"MANUEL Q IJOLEN")</f>
        <v>MANUEL Q IJOLEN</v>
      </c>
      <c r="C120" s="76" t="str">
        <f>IFERROR(__xludf.DUMMYFUNCTION("""COMPUTED_VALUE"""),"SENIOR")</f>
        <v>SENIOR</v>
      </c>
      <c r="D120" s="76" t="str">
        <f>VLOOKUP(B120,'HEAD OF THE FAMILY'!B120:J1934,9,FALSE)</f>
        <v>BLK 45</v>
      </c>
      <c r="E120" s="3"/>
      <c r="F120" s="3"/>
      <c r="G120" s="7"/>
      <c r="H120" s="7"/>
      <c r="I120" s="7"/>
      <c r="J120" s="60"/>
      <c r="K120" s="60" t="str">
        <f t="shared" si="2"/>
        <v/>
      </c>
    </row>
    <row r="121">
      <c r="A121" s="61">
        <f t="shared" si="1"/>
        <v>116</v>
      </c>
      <c r="B121" s="73" t="str">
        <f>IFERROR(__xludf.DUMMYFUNCTION("""COMPUTED_VALUE"""),"MARIA AGNES G. RAAGAS")</f>
        <v>MARIA AGNES G. RAAGAS</v>
      </c>
      <c r="C121" s="76" t="str">
        <f>IFERROR(__xludf.DUMMYFUNCTION("""COMPUTED_VALUE"""),"SENIOR")</f>
        <v>SENIOR</v>
      </c>
      <c r="D121" s="76" t="str">
        <f>VLOOKUP(B121,'HEAD OF THE FAMILY'!B121:J1934,9,FALSE)</f>
        <v>BLOCK 4</v>
      </c>
      <c r="E121" s="3"/>
      <c r="F121" s="3"/>
      <c r="G121" s="7"/>
      <c r="H121" s="7"/>
      <c r="I121" s="7"/>
      <c r="J121" s="60"/>
      <c r="K121" s="60" t="str">
        <f t="shared" si="2"/>
        <v/>
      </c>
    </row>
    <row r="122">
      <c r="A122" s="61">
        <f t="shared" si="1"/>
        <v>117</v>
      </c>
      <c r="B122" s="73" t="str">
        <f>IFERROR(__xludf.DUMMYFUNCTION("""COMPUTED_VALUE"""),"MARIA LETICIA S. VELASQUEZ")</f>
        <v>MARIA LETICIA S. VELASQUEZ</v>
      </c>
      <c r="C122" s="76" t="str">
        <f>IFERROR(__xludf.DUMMYFUNCTION("""COMPUTED_VALUE"""),"SENIOR")</f>
        <v>SENIOR</v>
      </c>
      <c r="D122" s="76" t="str">
        <f>VLOOKUP(B122,'HEAD OF THE FAMILY'!B122:J1934,9,FALSE)</f>
        <v>BLK 41</v>
      </c>
      <c r="E122" s="3"/>
      <c r="F122" s="3"/>
      <c r="G122" s="7"/>
      <c r="H122" s="7"/>
      <c r="I122" s="7"/>
      <c r="J122" s="60"/>
      <c r="K122" s="60" t="str">
        <f t="shared" si="2"/>
        <v/>
      </c>
    </row>
    <row r="123">
      <c r="A123" s="61">
        <f t="shared" si="1"/>
        <v>118</v>
      </c>
      <c r="B123" s="73" t="str">
        <f>IFERROR(__xludf.DUMMYFUNCTION("""COMPUTED_VALUE"""),"MARILOU DE GUZMAN")</f>
        <v>MARILOU DE GUZMAN</v>
      </c>
      <c r="C123" s="76" t="str">
        <f>IFERROR(__xludf.DUMMYFUNCTION("""COMPUTED_VALUE"""),"SENIOR")</f>
        <v>SENIOR</v>
      </c>
      <c r="D123" s="76" t="str">
        <f>VLOOKUP(B123,'HEAD OF THE FAMILY'!B123:J1934,9,FALSE)</f>
        <v>BLK 46</v>
      </c>
      <c r="E123" s="3"/>
      <c r="F123" s="3"/>
      <c r="G123" s="7"/>
      <c r="H123" s="7"/>
      <c r="I123" s="7"/>
      <c r="J123" s="60"/>
      <c r="K123" s="60" t="str">
        <f t="shared" si="2"/>
        <v/>
      </c>
    </row>
    <row r="124">
      <c r="A124" s="61">
        <f t="shared" si="1"/>
        <v>119</v>
      </c>
      <c r="B124" s="73" t="str">
        <f>IFERROR(__xludf.DUMMYFUNCTION("""COMPUTED_VALUE"""),"MARILOU REBANA")</f>
        <v>MARILOU REBANA</v>
      </c>
      <c r="C124" s="76" t="str">
        <f>IFERROR(__xludf.DUMMYFUNCTION("""COMPUTED_VALUE"""),"SENIOR")</f>
        <v>SENIOR</v>
      </c>
      <c r="D124" s="76" t="str">
        <f>VLOOKUP(B124,'HEAD OF THE FAMILY'!B124:J1934,9,FALSE)</f>
        <v>BLK 3</v>
      </c>
      <c r="E124" s="3"/>
      <c r="F124" s="3"/>
      <c r="G124" s="7"/>
      <c r="H124" s="7"/>
      <c r="I124" s="7"/>
      <c r="J124" s="60"/>
      <c r="K124" s="60" t="str">
        <f t="shared" si="2"/>
        <v/>
      </c>
    </row>
    <row r="125">
      <c r="A125" s="61">
        <f t="shared" si="1"/>
        <v>120</v>
      </c>
      <c r="B125" s="73" t="str">
        <f>IFERROR(__xludf.DUMMYFUNCTION("""COMPUTED_VALUE"""),"MARIO HORTAL")</f>
        <v>MARIO HORTAL</v>
      </c>
      <c r="C125" s="76" t="str">
        <f>IFERROR(__xludf.DUMMYFUNCTION("""COMPUTED_VALUE"""),"SENIOR")</f>
        <v>SENIOR</v>
      </c>
      <c r="D125" s="76" t="str">
        <f>VLOOKUP(B125,'HEAD OF THE FAMILY'!B125:J1934,9,FALSE)</f>
        <v>BLOCK 4</v>
      </c>
      <c r="E125" s="3"/>
      <c r="F125" s="3"/>
      <c r="G125" s="7"/>
      <c r="H125" s="7"/>
      <c r="I125" s="7"/>
      <c r="J125" s="60"/>
      <c r="K125" s="60" t="str">
        <f t="shared" si="2"/>
        <v/>
      </c>
    </row>
    <row r="126">
      <c r="A126" s="61">
        <f t="shared" si="1"/>
        <v>121</v>
      </c>
      <c r="B126" s="73" t="str">
        <f>IFERROR(__xludf.DUMMYFUNCTION("""COMPUTED_VALUE"""),"MARIVIC SANTOS")</f>
        <v>MARIVIC SANTOS</v>
      </c>
      <c r="C126" s="76" t="str">
        <f>IFERROR(__xludf.DUMMYFUNCTION("""COMPUTED_VALUE"""),"SENIOR")</f>
        <v>SENIOR</v>
      </c>
      <c r="D126" s="76" t="str">
        <f>VLOOKUP(B126,'HEAD OF THE FAMILY'!B126:J1934,9,FALSE)</f>
        <v>BLK 45</v>
      </c>
      <c r="E126" s="3"/>
      <c r="F126" s="3"/>
      <c r="G126" s="7"/>
      <c r="H126" s="7"/>
      <c r="I126" s="7"/>
      <c r="J126" s="60"/>
      <c r="K126" s="60" t="str">
        <f t="shared" si="2"/>
        <v/>
      </c>
    </row>
    <row r="127">
      <c r="A127" s="61">
        <f t="shared" si="1"/>
        <v>122</v>
      </c>
      <c r="B127" s="73" t="str">
        <f>IFERROR(__xludf.DUMMYFUNCTION("""COMPUTED_VALUE"""),"MARLON TULABOT")</f>
        <v>MARLON TULABOT</v>
      </c>
      <c r="C127" s="76" t="str">
        <f>IFERROR(__xludf.DUMMYFUNCTION("""COMPUTED_VALUE"""),"SENIOR")</f>
        <v>SENIOR</v>
      </c>
      <c r="D127" s="76" t="str">
        <f>VLOOKUP(B127,'HEAD OF THE FAMILY'!B127:J1934,9,FALSE)</f>
        <v>BLK 45</v>
      </c>
      <c r="E127" s="3"/>
      <c r="F127" s="3"/>
      <c r="G127" s="7"/>
      <c r="H127" s="7"/>
      <c r="I127" s="7"/>
      <c r="J127" s="60"/>
      <c r="K127" s="60" t="str">
        <f t="shared" si="2"/>
        <v/>
      </c>
    </row>
    <row r="128">
      <c r="A128" s="61">
        <f t="shared" si="1"/>
        <v>123</v>
      </c>
      <c r="B128" s="73" t="str">
        <f>IFERROR(__xludf.DUMMYFUNCTION("""COMPUTED_VALUE"""),"MELCHOR TABIRARA")</f>
        <v>MELCHOR TABIRARA</v>
      </c>
      <c r="C128" s="76" t="str">
        <f>IFERROR(__xludf.DUMMYFUNCTION("""COMPUTED_VALUE"""),"SENIOR")</f>
        <v>SENIOR</v>
      </c>
      <c r="D128" s="76" t="str">
        <f>VLOOKUP(B128,'HEAD OF THE FAMILY'!B128:J1934,9,FALSE)</f>
        <v>BLK 45</v>
      </c>
      <c r="E128" s="3"/>
      <c r="F128" s="3"/>
      <c r="G128" s="7"/>
      <c r="H128" s="7"/>
      <c r="I128" s="7"/>
      <c r="J128" s="60"/>
      <c r="K128" s="60" t="str">
        <f t="shared" si="2"/>
        <v/>
      </c>
    </row>
    <row r="129">
      <c r="A129" s="61">
        <f t="shared" si="1"/>
        <v>124</v>
      </c>
      <c r="B129" s="73" t="str">
        <f>IFERROR(__xludf.DUMMYFUNCTION("""COMPUTED_VALUE"""),"MIGUEL C. OREJANA")</f>
        <v>MIGUEL C. OREJANA</v>
      </c>
      <c r="C129" s="76" t="str">
        <f>IFERROR(__xludf.DUMMYFUNCTION("""COMPUTED_VALUE"""),"SENIOR")</f>
        <v>SENIOR</v>
      </c>
      <c r="D129" s="76" t="str">
        <f>VLOOKUP(B129,'HEAD OF THE FAMILY'!B129:J1934,9,FALSE)</f>
        <v>BLK 41</v>
      </c>
      <c r="E129" s="3"/>
      <c r="F129" s="3"/>
      <c r="G129" s="7"/>
      <c r="H129" s="7"/>
      <c r="I129" s="7"/>
      <c r="J129" s="60"/>
      <c r="K129" s="60" t="str">
        <f t="shared" si="2"/>
        <v/>
      </c>
    </row>
    <row r="130">
      <c r="A130" s="61">
        <f t="shared" si="1"/>
        <v>125</v>
      </c>
      <c r="B130" s="73" t="str">
        <f>IFERROR(__xludf.DUMMYFUNCTION("""COMPUTED_VALUE"""),"MYRNA D. PUSING")</f>
        <v>MYRNA D. PUSING</v>
      </c>
      <c r="C130" s="76" t="str">
        <f>IFERROR(__xludf.DUMMYFUNCTION("""COMPUTED_VALUE"""),"SENIOR")</f>
        <v>SENIOR</v>
      </c>
      <c r="D130" s="76" t="str">
        <f>VLOOKUP(B130,'HEAD OF THE FAMILY'!B130:J1934,9,FALSE)</f>
        <v>BLK 45</v>
      </c>
      <c r="E130" s="3"/>
      <c r="F130" s="3"/>
      <c r="G130" s="7"/>
      <c r="H130" s="7"/>
      <c r="I130" s="7"/>
      <c r="J130" s="60"/>
      <c r="K130" s="60" t="str">
        <f t="shared" si="2"/>
        <v/>
      </c>
    </row>
    <row r="131">
      <c r="A131" s="61">
        <f t="shared" si="1"/>
        <v>126</v>
      </c>
      <c r="B131" s="73" t="str">
        <f>IFERROR(__xludf.DUMMYFUNCTION("""COMPUTED_VALUE"""),"NERISSA BILLONES")</f>
        <v>NERISSA BILLONES</v>
      </c>
      <c r="C131" s="76" t="str">
        <f>IFERROR(__xludf.DUMMYFUNCTION("""COMPUTED_VALUE"""),"SENIOR")</f>
        <v>SENIOR</v>
      </c>
      <c r="D131" s="76" t="str">
        <f>VLOOKUP(B131,'HEAD OF THE FAMILY'!B131:J1934,9,FALSE)</f>
        <v>BLK 41</v>
      </c>
      <c r="E131" s="3"/>
      <c r="F131" s="3"/>
      <c r="G131" s="7"/>
      <c r="H131" s="7"/>
      <c r="I131" s="7"/>
      <c r="J131" s="60"/>
      <c r="K131" s="60" t="str">
        <f t="shared" si="2"/>
        <v/>
      </c>
    </row>
    <row r="132">
      <c r="A132" s="61">
        <f t="shared" si="1"/>
        <v>127</v>
      </c>
      <c r="B132" s="73" t="str">
        <f>IFERROR(__xludf.DUMMYFUNCTION("""COMPUTED_VALUE"""),"NESTOR F. EVANGELISTA")</f>
        <v>NESTOR F. EVANGELISTA</v>
      </c>
      <c r="C132" s="76" t="str">
        <f>IFERROR(__xludf.DUMMYFUNCTION("""COMPUTED_VALUE"""),"SENIOR")</f>
        <v>SENIOR</v>
      </c>
      <c r="D132" s="76" t="str">
        <f>VLOOKUP(B132,'HEAD OF THE FAMILY'!B132:J1934,9,FALSE)</f>
        <v>BLOCK 4</v>
      </c>
      <c r="E132" s="3"/>
      <c r="F132" s="3"/>
      <c r="G132" s="7"/>
      <c r="H132" s="7"/>
      <c r="I132" s="7"/>
      <c r="J132" s="60"/>
      <c r="K132" s="60" t="str">
        <f t="shared" si="2"/>
        <v/>
      </c>
    </row>
    <row r="133">
      <c r="A133" s="61">
        <f t="shared" si="1"/>
        <v>128</v>
      </c>
      <c r="B133" s="73" t="str">
        <f>IFERROR(__xludf.DUMMYFUNCTION("""COMPUTED_VALUE"""),"NORBERTO B OLAES")</f>
        <v>NORBERTO B OLAES</v>
      </c>
      <c r="C133" s="76" t="str">
        <f>IFERROR(__xludf.DUMMYFUNCTION("""COMPUTED_VALUE"""),"SENIOR")</f>
        <v>SENIOR</v>
      </c>
      <c r="D133" s="76" t="str">
        <f>VLOOKUP(B133,'HEAD OF THE FAMILY'!B133:J1934,9,FALSE)</f>
        <v>BLK 46</v>
      </c>
      <c r="E133" s="3"/>
      <c r="F133" s="3"/>
      <c r="G133" s="7"/>
      <c r="H133" s="7"/>
      <c r="I133" s="7"/>
      <c r="J133" s="60"/>
      <c r="K133" s="60" t="str">
        <f t="shared" si="2"/>
        <v/>
      </c>
    </row>
    <row r="134">
      <c r="A134" s="61">
        <f t="shared" si="1"/>
        <v>129</v>
      </c>
      <c r="B134" s="73" t="str">
        <f>IFERROR(__xludf.DUMMYFUNCTION("""COMPUTED_VALUE"""),"NORMA MENOZA")</f>
        <v>NORMA MENOZA</v>
      </c>
      <c r="C134" s="76" t="str">
        <f>IFERROR(__xludf.DUMMYFUNCTION("""COMPUTED_VALUE"""),"SENIOR")</f>
        <v>SENIOR</v>
      </c>
      <c r="D134" s="76" t="str">
        <f>VLOOKUP(B134,'HEAD OF THE FAMILY'!B134:J1934,9,FALSE)</f>
        <v>BLK 3</v>
      </c>
      <c r="E134" s="3"/>
      <c r="F134" s="3"/>
      <c r="G134" s="7"/>
      <c r="H134" s="7"/>
      <c r="I134" s="7"/>
      <c r="J134" s="60"/>
      <c r="K134" s="60" t="str">
        <f t="shared" si="2"/>
        <v/>
      </c>
    </row>
    <row r="135">
      <c r="A135" s="61">
        <f t="shared" si="1"/>
        <v>130</v>
      </c>
      <c r="B135" s="73" t="str">
        <f>IFERROR(__xludf.DUMMYFUNCTION("""COMPUTED_VALUE"""),"OFELIA C. GARCIA")</f>
        <v>OFELIA C. GARCIA</v>
      </c>
      <c r="C135" s="76" t="str">
        <f>IFERROR(__xludf.DUMMYFUNCTION("""COMPUTED_VALUE"""),"SENIOR")</f>
        <v>SENIOR</v>
      </c>
      <c r="D135" s="76" t="str">
        <f>VLOOKUP(B135,'HEAD OF THE FAMILY'!B135:J1934,9,FALSE)</f>
        <v>BLK 5</v>
      </c>
      <c r="E135" s="3"/>
      <c r="F135" s="3"/>
      <c r="G135" s="7"/>
      <c r="H135" s="7"/>
      <c r="I135" s="7"/>
      <c r="J135" s="60"/>
      <c r="K135" s="60" t="str">
        <f t="shared" si="2"/>
        <v/>
      </c>
    </row>
    <row r="136">
      <c r="A136" s="61">
        <f t="shared" si="1"/>
        <v>131</v>
      </c>
      <c r="B136" s="73" t="str">
        <f>IFERROR(__xludf.DUMMYFUNCTION("""COMPUTED_VALUE"""),"PABLO G ROMERO")</f>
        <v>PABLO G ROMERO</v>
      </c>
      <c r="C136" s="76" t="str">
        <f>IFERROR(__xludf.DUMMYFUNCTION("""COMPUTED_VALUE"""),"SENIOR")</f>
        <v>SENIOR</v>
      </c>
      <c r="D136" s="76" t="str">
        <f>VLOOKUP(B136,'HEAD OF THE FAMILY'!B136:J1934,9,FALSE)</f>
        <v>BLOCK 4</v>
      </c>
      <c r="E136" s="3"/>
      <c r="F136" s="3"/>
      <c r="G136" s="7"/>
      <c r="H136" s="7"/>
      <c r="I136" s="7"/>
      <c r="J136" s="60"/>
      <c r="K136" s="60" t="str">
        <f t="shared" si="2"/>
        <v/>
      </c>
    </row>
    <row r="137">
      <c r="A137" s="61">
        <f t="shared" si="1"/>
        <v>132</v>
      </c>
      <c r="B137" s="73" t="str">
        <f>IFERROR(__xludf.DUMMYFUNCTION("""COMPUTED_VALUE"""),"PACITA SAMSON")</f>
        <v>PACITA SAMSON</v>
      </c>
      <c r="C137" s="76" t="str">
        <f>IFERROR(__xludf.DUMMYFUNCTION("""COMPUTED_VALUE"""),"SENIOR")</f>
        <v>SENIOR</v>
      </c>
      <c r="D137" s="76" t="str">
        <f>VLOOKUP(B137,'HEAD OF THE FAMILY'!B137:J1934,9,FALSE)</f>
        <v>BLK 1</v>
      </c>
      <c r="E137" s="3"/>
      <c r="F137" s="3"/>
      <c r="G137" s="7"/>
      <c r="H137" s="7"/>
      <c r="I137" s="7"/>
      <c r="J137" s="60"/>
      <c r="K137" s="60" t="str">
        <f t="shared" si="2"/>
        <v/>
      </c>
    </row>
    <row r="138">
      <c r="A138" s="61">
        <f t="shared" si="1"/>
        <v>133</v>
      </c>
      <c r="B138" s="73" t="str">
        <f>IFERROR(__xludf.DUMMYFUNCTION("""COMPUTED_VALUE"""),"PACITA TULAY")</f>
        <v>PACITA TULAY</v>
      </c>
      <c r="C138" s="76" t="str">
        <f>IFERROR(__xludf.DUMMYFUNCTION("""COMPUTED_VALUE"""),"SENIOR")</f>
        <v>SENIOR</v>
      </c>
      <c r="D138" s="76" t="str">
        <f>VLOOKUP(B138,'HEAD OF THE FAMILY'!B138:J1934,9,FALSE)</f>
        <v>BLK 45</v>
      </c>
      <c r="E138" s="3"/>
      <c r="F138" s="3"/>
      <c r="G138" s="7"/>
      <c r="H138" s="7"/>
      <c r="I138" s="7"/>
      <c r="J138" s="60"/>
      <c r="K138" s="60" t="str">
        <f t="shared" si="2"/>
        <v/>
      </c>
    </row>
    <row r="139">
      <c r="A139" s="61">
        <f t="shared" si="1"/>
        <v>134</v>
      </c>
      <c r="B139" s="73" t="str">
        <f>IFERROR(__xludf.DUMMYFUNCTION("""COMPUTED_VALUE"""),"PAUL REYES")</f>
        <v>PAUL REYES</v>
      </c>
      <c r="C139" s="76" t="str">
        <f>IFERROR(__xludf.DUMMYFUNCTION("""COMPUTED_VALUE"""),"SENIOR")</f>
        <v>SENIOR</v>
      </c>
      <c r="D139" s="76" t="str">
        <f>VLOOKUP(B139,'HEAD OF THE FAMILY'!B139:J1934,9,FALSE)</f>
        <v>BLK 1</v>
      </c>
      <c r="E139" s="3"/>
      <c r="F139" s="3"/>
      <c r="G139" s="7"/>
      <c r="H139" s="7"/>
      <c r="I139" s="7"/>
      <c r="J139" s="60"/>
      <c r="K139" s="60" t="str">
        <f t="shared" si="2"/>
        <v/>
      </c>
    </row>
    <row r="140">
      <c r="A140" s="61">
        <f t="shared" si="1"/>
        <v>135</v>
      </c>
      <c r="B140" s="73" t="str">
        <f>IFERROR(__xludf.DUMMYFUNCTION("""COMPUTED_VALUE"""),"PILAR BERNARDO")</f>
        <v>PILAR BERNARDO</v>
      </c>
      <c r="C140" s="76" t="str">
        <f>IFERROR(__xludf.DUMMYFUNCTION("""COMPUTED_VALUE"""),"SENIOR")</f>
        <v>SENIOR</v>
      </c>
      <c r="D140" s="76" t="str">
        <f>VLOOKUP(B140,'HEAD OF THE FAMILY'!B140:J1934,9,FALSE)</f>
        <v>BLOCK 4</v>
      </c>
      <c r="E140" s="3"/>
      <c r="F140" s="3"/>
      <c r="G140" s="7"/>
      <c r="H140" s="7"/>
      <c r="I140" s="7"/>
      <c r="J140" s="60"/>
      <c r="K140" s="60" t="str">
        <f t="shared" si="2"/>
        <v/>
      </c>
    </row>
    <row r="141">
      <c r="A141" s="61">
        <f t="shared" si="1"/>
        <v>136</v>
      </c>
      <c r="B141" s="73" t="str">
        <f>IFERROR(__xludf.DUMMYFUNCTION("""COMPUTED_VALUE"""),"PRECELITA G. VISITACION")</f>
        <v>PRECELITA G. VISITACION</v>
      </c>
      <c r="C141" s="76" t="str">
        <f>IFERROR(__xludf.DUMMYFUNCTION("""COMPUTED_VALUE"""),"SENIOR")</f>
        <v>SENIOR</v>
      </c>
      <c r="D141" s="76" t="str">
        <f>VLOOKUP(B141,'HEAD OF THE FAMILY'!B141:J1934,9,FALSE)</f>
        <v>BLK 41</v>
      </c>
      <c r="E141" s="3"/>
      <c r="F141" s="3"/>
      <c r="G141" s="7"/>
      <c r="H141" s="7"/>
      <c r="I141" s="7"/>
      <c r="J141" s="60"/>
      <c r="K141" s="60" t="str">
        <f t="shared" si="2"/>
        <v/>
      </c>
    </row>
    <row r="142">
      <c r="A142" s="61">
        <f t="shared" si="1"/>
        <v>137</v>
      </c>
      <c r="B142" s="73" t="str">
        <f>IFERROR(__xludf.DUMMYFUNCTION("""COMPUTED_VALUE"""),"RAQUEL DELA CRUZ")</f>
        <v>RAQUEL DELA CRUZ</v>
      </c>
      <c r="C142" s="76" t="str">
        <f>IFERROR(__xludf.DUMMYFUNCTION("""COMPUTED_VALUE"""),"SENIOR")</f>
        <v>SENIOR</v>
      </c>
      <c r="D142" s="76" t="str">
        <f>VLOOKUP(B142,'HEAD OF THE FAMILY'!B142:J1934,9,FALSE)</f>
        <v>BLK 41</v>
      </c>
      <c r="E142" s="3"/>
      <c r="F142" s="3"/>
      <c r="G142" s="7"/>
      <c r="H142" s="7"/>
      <c r="I142" s="7"/>
      <c r="J142" s="60"/>
      <c r="K142" s="60" t="str">
        <f t="shared" si="2"/>
        <v/>
      </c>
    </row>
    <row r="143">
      <c r="A143" s="61">
        <f t="shared" si="1"/>
        <v>138</v>
      </c>
      <c r="B143" s="73" t="str">
        <f>IFERROR(__xludf.DUMMYFUNCTION("""COMPUTED_VALUE"""),"REBECCA C. HUPALAR")</f>
        <v>REBECCA C. HUPALAR</v>
      </c>
      <c r="C143" s="76" t="str">
        <f>IFERROR(__xludf.DUMMYFUNCTION("""COMPUTED_VALUE"""),"SENIOR")</f>
        <v>SENIOR</v>
      </c>
      <c r="D143" s="76" t="str">
        <f>VLOOKUP(B143,'HEAD OF THE FAMILY'!B143:J1934,9,FALSE)</f>
        <v>BLK 49</v>
      </c>
      <c r="E143" s="3"/>
      <c r="F143" s="3"/>
      <c r="G143" s="7"/>
      <c r="H143" s="7"/>
      <c r="I143" s="7"/>
      <c r="J143" s="60"/>
      <c r="K143" s="60" t="str">
        <f t="shared" si="2"/>
        <v/>
      </c>
    </row>
    <row r="144">
      <c r="A144" s="61">
        <f t="shared" si="1"/>
        <v>139</v>
      </c>
      <c r="B144" s="73" t="str">
        <f>IFERROR(__xludf.DUMMYFUNCTION("""COMPUTED_VALUE"""),"REGINA ESTABILLO")</f>
        <v>REGINA ESTABILLO</v>
      </c>
      <c r="C144" s="76" t="str">
        <f>IFERROR(__xludf.DUMMYFUNCTION("""COMPUTED_VALUE"""),"SENIOR")</f>
        <v>SENIOR</v>
      </c>
      <c r="D144" s="76" t="str">
        <f>VLOOKUP(B144,'HEAD OF THE FAMILY'!B144:J1934,9,FALSE)</f>
        <v>BLOCK 4</v>
      </c>
      <c r="E144" s="3"/>
      <c r="F144" s="3"/>
      <c r="G144" s="7"/>
      <c r="H144" s="7"/>
      <c r="I144" s="7"/>
      <c r="J144" s="60"/>
      <c r="K144" s="60" t="str">
        <f t="shared" si="2"/>
        <v/>
      </c>
    </row>
    <row r="145">
      <c r="A145" s="61">
        <f t="shared" si="1"/>
        <v>140</v>
      </c>
      <c r="B145" s="73" t="str">
        <f>IFERROR(__xludf.DUMMYFUNCTION("""COMPUTED_VALUE"""),"REGINA NUDO")</f>
        <v>REGINA NUDO</v>
      </c>
      <c r="C145" s="76" t="str">
        <f>IFERROR(__xludf.DUMMYFUNCTION("""COMPUTED_VALUE"""),"SENIOR")</f>
        <v>SENIOR</v>
      </c>
      <c r="D145" s="76" t="str">
        <f>VLOOKUP(B145,'HEAD OF THE FAMILY'!B145:J1934,9,FALSE)</f>
        <v>BLK 46</v>
      </c>
      <c r="E145" s="3"/>
      <c r="F145" s="3"/>
      <c r="G145" s="7"/>
      <c r="H145" s="7"/>
      <c r="I145" s="7"/>
      <c r="J145" s="60"/>
      <c r="K145" s="60" t="str">
        <f t="shared" si="2"/>
        <v/>
      </c>
    </row>
    <row r="146">
      <c r="A146" s="61">
        <f t="shared" si="1"/>
        <v>141</v>
      </c>
      <c r="B146" s="73" t="str">
        <f>IFERROR(__xludf.DUMMYFUNCTION("""COMPUTED_VALUE"""),"REMEDIOS SANTOS")</f>
        <v>REMEDIOS SANTOS</v>
      </c>
      <c r="C146" s="76" t="str">
        <f>IFERROR(__xludf.DUMMYFUNCTION("""COMPUTED_VALUE"""),"SENIOR")</f>
        <v>SENIOR</v>
      </c>
      <c r="D146" s="76" t="str">
        <f>VLOOKUP(B146,'HEAD OF THE FAMILY'!B146:J1934,9,FALSE)</f>
        <v>BLK 45</v>
      </c>
      <c r="E146" s="3"/>
      <c r="F146" s="3"/>
      <c r="G146" s="7"/>
      <c r="H146" s="7"/>
      <c r="I146" s="7"/>
      <c r="J146" s="60"/>
      <c r="K146" s="60" t="str">
        <f t="shared" si="2"/>
        <v/>
      </c>
    </row>
    <row r="147">
      <c r="A147" s="61">
        <f t="shared" si="1"/>
        <v>142</v>
      </c>
      <c r="B147" s="73" t="str">
        <f>IFERROR(__xludf.DUMMYFUNCTION("""COMPUTED_VALUE"""),"RENATO AGUANTA")</f>
        <v>RENATO AGUANTA</v>
      </c>
      <c r="C147" s="76" t="str">
        <f>IFERROR(__xludf.DUMMYFUNCTION("""COMPUTED_VALUE"""),"SENIOR")</f>
        <v>SENIOR</v>
      </c>
      <c r="D147" s="76" t="str">
        <f>VLOOKUP(B147,'HEAD OF THE FAMILY'!B147:J1934,9,FALSE)</f>
        <v>BLK 45</v>
      </c>
      <c r="E147" s="3"/>
      <c r="F147" s="3"/>
      <c r="G147" s="7"/>
      <c r="H147" s="7"/>
      <c r="I147" s="7"/>
      <c r="J147" s="60"/>
      <c r="K147" s="60" t="str">
        <f t="shared" si="2"/>
        <v/>
      </c>
    </row>
    <row r="148">
      <c r="A148" s="61">
        <f t="shared" si="1"/>
        <v>143</v>
      </c>
      <c r="B148" s="73" t="str">
        <f>IFERROR(__xludf.DUMMYFUNCTION("""COMPUTED_VALUE"""),"RENATO CALAWIN")</f>
        <v>RENATO CALAWIN</v>
      </c>
      <c r="C148" s="76" t="str">
        <f>IFERROR(__xludf.DUMMYFUNCTION("""COMPUTED_VALUE"""),"SENIOR")</f>
        <v>SENIOR</v>
      </c>
      <c r="D148" s="76" t="str">
        <f>VLOOKUP(B148,'HEAD OF THE FAMILY'!B148:J1934,9,FALSE)</f>
        <v>BLK 46</v>
      </c>
      <c r="E148" s="3"/>
      <c r="F148" s="3"/>
      <c r="G148" s="7"/>
      <c r="H148" s="7"/>
      <c r="I148" s="7"/>
      <c r="J148" s="60"/>
      <c r="K148" s="60" t="str">
        <f t="shared" si="2"/>
        <v/>
      </c>
    </row>
    <row r="149">
      <c r="A149" s="61">
        <f t="shared" si="1"/>
        <v>144</v>
      </c>
      <c r="B149" s="73" t="str">
        <f>IFERROR(__xludf.DUMMYFUNCTION("""COMPUTED_VALUE"""),"RENATO P. CABALLA")</f>
        <v>RENATO P. CABALLA</v>
      </c>
      <c r="C149" s="76" t="str">
        <f>IFERROR(__xludf.DUMMYFUNCTION("""COMPUTED_VALUE"""),"SENIOR")</f>
        <v>SENIOR</v>
      </c>
      <c r="D149" s="76" t="str">
        <f>VLOOKUP(B149,'HEAD OF THE FAMILY'!B149:J1934,9,FALSE)</f>
        <v>BLK 3</v>
      </c>
      <c r="E149" s="3"/>
      <c r="F149" s="3"/>
      <c r="G149" s="7"/>
      <c r="H149" s="7"/>
      <c r="I149" s="7"/>
      <c r="J149" s="60"/>
      <c r="K149" s="60" t="str">
        <f t="shared" si="2"/>
        <v/>
      </c>
    </row>
    <row r="150">
      <c r="A150" s="61">
        <f t="shared" si="1"/>
        <v>145</v>
      </c>
      <c r="B150" s="73" t="str">
        <f>IFERROR(__xludf.DUMMYFUNCTION("""COMPUTED_VALUE"""),"RENE T. JOYA ")</f>
        <v>RENE T. JOYA </v>
      </c>
      <c r="C150" s="76" t="str">
        <f>IFERROR(__xludf.DUMMYFUNCTION("""COMPUTED_VALUE"""),"SENIOR")</f>
        <v>SENIOR</v>
      </c>
      <c r="D150" s="76" t="str">
        <f>VLOOKUP(B150,'HEAD OF THE FAMILY'!B150:J1934,9,FALSE)</f>
        <v>BLK 5</v>
      </c>
      <c r="E150" s="3"/>
      <c r="F150" s="3"/>
      <c r="G150" s="7"/>
      <c r="H150" s="7"/>
      <c r="I150" s="7"/>
      <c r="J150" s="60"/>
      <c r="K150" s="60" t="str">
        <f t="shared" si="2"/>
        <v/>
      </c>
    </row>
    <row r="151">
      <c r="A151" s="61">
        <f t="shared" si="1"/>
        <v>146</v>
      </c>
      <c r="B151" s="73" t="str">
        <f>IFERROR(__xludf.DUMMYFUNCTION("""COMPUTED_VALUE"""),"REXIE A. VILLA")</f>
        <v>REXIE A. VILLA</v>
      </c>
      <c r="C151" s="76" t="str">
        <f>IFERROR(__xludf.DUMMYFUNCTION("""COMPUTED_VALUE"""),"SENIOR")</f>
        <v>SENIOR</v>
      </c>
      <c r="D151" s="76" t="str">
        <f>VLOOKUP(B151,'HEAD OF THE FAMILY'!B151:J1934,9,FALSE)</f>
        <v>BLK 41</v>
      </c>
      <c r="E151" s="3"/>
      <c r="F151" s="3"/>
      <c r="G151" s="7"/>
      <c r="H151" s="7"/>
      <c r="I151" s="7"/>
      <c r="J151" s="60"/>
      <c r="K151" s="60" t="str">
        <f t="shared" si="2"/>
        <v/>
      </c>
    </row>
    <row r="152">
      <c r="A152" s="61">
        <f t="shared" si="1"/>
        <v>147</v>
      </c>
      <c r="B152" s="73" t="str">
        <f>IFERROR(__xludf.DUMMYFUNCTION("""COMPUTED_VALUE"""),"REYNALDO CASTRO")</f>
        <v>REYNALDO CASTRO</v>
      </c>
      <c r="C152" s="76" t="str">
        <f>IFERROR(__xludf.DUMMYFUNCTION("""COMPUTED_VALUE"""),"SENIOR")</f>
        <v>SENIOR</v>
      </c>
      <c r="D152" s="76" t="str">
        <f>VLOOKUP(B152,'HEAD OF THE FAMILY'!B152:J1934,9,FALSE)</f>
        <v>BLK 46</v>
      </c>
      <c r="E152" s="3"/>
      <c r="F152" s="3"/>
      <c r="G152" s="7"/>
      <c r="H152" s="7"/>
      <c r="I152" s="7"/>
      <c r="J152" s="60"/>
      <c r="K152" s="60" t="str">
        <f t="shared" si="2"/>
        <v/>
      </c>
    </row>
    <row r="153">
      <c r="A153" s="61">
        <f t="shared" si="1"/>
        <v>148</v>
      </c>
      <c r="B153" s="73" t="str">
        <f>IFERROR(__xludf.DUMMYFUNCTION("""COMPUTED_VALUE"""),"RHODORA PACIA")</f>
        <v>RHODORA PACIA</v>
      </c>
      <c r="C153" s="76" t="str">
        <f>IFERROR(__xludf.DUMMYFUNCTION("""COMPUTED_VALUE"""),"SENIOR")</f>
        <v>SENIOR</v>
      </c>
      <c r="D153" s="76" t="str">
        <f>VLOOKUP(B153,'HEAD OF THE FAMILY'!B153:J1934,9,FALSE)</f>
        <v>BLK 5</v>
      </c>
      <c r="E153" s="3"/>
      <c r="F153" s="3"/>
      <c r="G153" s="7"/>
      <c r="H153" s="7"/>
      <c r="I153" s="7"/>
      <c r="J153" s="60"/>
      <c r="K153" s="60" t="str">
        <f t="shared" si="2"/>
        <v/>
      </c>
    </row>
    <row r="154">
      <c r="A154" s="61">
        <f t="shared" si="1"/>
        <v>149</v>
      </c>
      <c r="B154" s="73" t="str">
        <f>IFERROR(__xludf.DUMMYFUNCTION("""COMPUTED_VALUE"""),"ROBERT B. MALAZARTE")</f>
        <v>ROBERT B. MALAZARTE</v>
      </c>
      <c r="C154" s="76" t="str">
        <f>IFERROR(__xludf.DUMMYFUNCTION("""COMPUTED_VALUE"""),"SENIOR")</f>
        <v>SENIOR</v>
      </c>
      <c r="D154" s="76" t="str">
        <f>VLOOKUP(B154,'HEAD OF THE FAMILY'!B154:J1934,9,FALSE)</f>
        <v>BLK 1</v>
      </c>
      <c r="E154" s="3"/>
      <c r="F154" s="3"/>
      <c r="G154" s="7"/>
      <c r="H154" s="7"/>
      <c r="I154" s="7"/>
      <c r="J154" s="60"/>
      <c r="K154" s="60" t="str">
        <f t="shared" si="2"/>
        <v/>
      </c>
    </row>
    <row r="155">
      <c r="A155" s="61">
        <f t="shared" si="1"/>
        <v>150</v>
      </c>
      <c r="B155" s="73" t="str">
        <f>IFERROR(__xludf.DUMMYFUNCTION("""COMPUTED_VALUE"""),"ROBERTO PAMAT")</f>
        <v>ROBERTO PAMAT</v>
      </c>
      <c r="C155" s="76" t="str">
        <f>IFERROR(__xludf.DUMMYFUNCTION("""COMPUTED_VALUE"""),"SENIOR")</f>
        <v>SENIOR</v>
      </c>
      <c r="D155" s="76" t="str">
        <f>VLOOKUP(B155,'HEAD OF THE FAMILY'!B155:J1934,9,FALSE)</f>
        <v>BLK 45</v>
      </c>
      <c r="E155" s="3"/>
      <c r="F155" s="3"/>
      <c r="G155" s="7"/>
      <c r="H155" s="7"/>
      <c r="I155" s="7"/>
      <c r="J155" s="60"/>
      <c r="K155" s="60" t="str">
        <f t="shared" si="2"/>
        <v/>
      </c>
    </row>
    <row r="156">
      <c r="A156" s="61">
        <f t="shared" si="1"/>
        <v>151</v>
      </c>
      <c r="B156" s="73" t="str">
        <f>IFERROR(__xludf.DUMMYFUNCTION("""COMPUTED_VALUE"""),"ROBERTO ZULLUETA")</f>
        <v>ROBERTO ZULLUETA</v>
      </c>
      <c r="C156" s="76" t="str">
        <f>IFERROR(__xludf.DUMMYFUNCTION("""COMPUTED_VALUE"""),"SENIOR")</f>
        <v>SENIOR</v>
      </c>
      <c r="D156" s="76" t="str">
        <f>VLOOKUP(B156,'HEAD OF THE FAMILY'!B156:J1934,9,FALSE)</f>
        <v>BLK 5</v>
      </c>
      <c r="E156" s="3"/>
      <c r="F156" s="3"/>
      <c r="G156" s="7"/>
      <c r="H156" s="7"/>
      <c r="I156" s="7"/>
      <c r="J156" s="60"/>
      <c r="K156" s="60" t="str">
        <f t="shared" si="2"/>
        <v/>
      </c>
    </row>
    <row r="157">
      <c r="A157" s="61">
        <f t="shared" si="1"/>
        <v>152</v>
      </c>
      <c r="B157" s="73" t="str">
        <f>IFERROR(__xludf.DUMMYFUNCTION("""COMPUTED_VALUE"""),"RODOLFO PASALO")</f>
        <v>RODOLFO PASALO</v>
      </c>
      <c r="C157" s="76" t="str">
        <f>IFERROR(__xludf.DUMMYFUNCTION("""COMPUTED_VALUE"""),"SENIOR")</f>
        <v>SENIOR</v>
      </c>
      <c r="D157" s="76" t="str">
        <f>VLOOKUP(B157,'HEAD OF THE FAMILY'!B157:J1934,9,FALSE)</f>
        <v>BLOCK 4</v>
      </c>
      <c r="E157" s="3"/>
      <c r="F157" s="3"/>
      <c r="G157" s="7"/>
      <c r="H157" s="7"/>
      <c r="I157" s="7"/>
      <c r="J157" s="60"/>
      <c r="K157" s="60" t="str">
        <f t="shared" si="2"/>
        <v/>
      </c>
    </row>
    <row r="158">
      <c r="A158" s="61">
        <f t="shared" si="1"/>
        <v>153</v>
      </c>
      <c r="B158" s="73" t="str">
        <f>IFERROR(__xludf.DUMMYFUNCTION("""COMPUTED_VALUE"""),"RODOLFO ROYOLA")</f>
        <v>RODOLFO ROYOLA</v>
      </c>
      <c r="C158" s="76" t="str">
        <f>IFERROR(__xludf.DUMMYFUNCTION("""COMPUTED_VALUE"""),"SENIOR")</f>
        <v>SENIOR</v>
      </c>
      <c r="D158" s="76" t="str">
        <f>VLOOKUP(B158,'HEAD OF THE FAMILY'!B158:J1934,9,FALSE)</f>
        <v>BLK 49</v>
      </c>
      <c r="E158" s="3"/>
      <c r="F158" s="3"/>
      <c r="G158" s="7"/>
      <c r="H158" s="7"/>
      <c r="I158" s="7"/>
      <c r="J158" s="60"/>
      <c r="K158" s="60" t="str">
        <f t="shared" si="2"/>
        <v/>
      </c>
    </row>
    <row r="159">
      <c r="A159" s="61">
        <f t="shared" si="1"/>
        <v>154</v>
      </c>
      <c r="B159" s="73" t="str">
        <f>IFERROR(__xludf.DUMMYFUNCTION("""COMPUTED_VALUE"""),"RODRIGO ZABALA")</f>
        <v>RODRIGO ZABALA</v>
      </c>
      <c r="C159" s="76" t="str">
        <f>IFERROR(__xludf.DUMMYFUNCTION("""COMPUTED_VALUE"""),"SENIOR")</f>
        <v>SENIOR</v>
      </c>
      <c r="D159" s="76" t="str">
        <f>VLOOKUP(B159,'HEAD OF THE FAMILY'!B159:J1934,9,FALSE)</f>
        <v>BLK 45</v>
      </c>
      <c r="E159" s="3"/>
      <c r="F159" s="3"/>
      <c r="G159" s="7"/>
      <c r="H159" s="7"/>
      <c r="I159" s="7"/>
      <c r="J159" s="60"/>
      <c r="K159" s="60" t="str">
        <f t="shared" si="2"/>
        <v/>
      </c>
    </row>
    <row r="160">
      <c r="A160" s="61">
        <f t="shared" si="1"/>
        <v>155</v>
      </c>
      <c r="B160" s="73" t="str">
        <f>IFERROR(__xludf.DUMMYFUNCTION("""COMPUTED_VALUE"""),"ROGER GARCIA")</f>
        <v>ROGER GARCIA</v>
      </c>
      <c r="C160" s="76" t="str">
        <f>IFERROR(__xludf.DUMMYFUNCTION("""COMPUTED_VALUE"""),"SENIOR")</f>
        <v>SENIOR</v>
      </c>
      <c r="D160" s="76" t="str">
        <f>VLOOKUP(B160,'HEAD OF THE FAMILY'!B160:J1934,9,FALSE)</f>
        <v>BLK 3</v>
      </c>
      <c r="E160" s="3"/>
      <c r="F160" s="3"/>
      <c r="G160" s="7"/>
      <c r="H160" s="7"/>
      <c r="I160" s="7"/>
      <c r="J160" s="60"/>
      <c r="K160" s="60" t="str">
        <f t="shared" si="2"/>
        <v/>
      </c>
    </row>
    <row r="161">
      <c r="A161" s="61">
        <f t="shared" si="1"/>
        <v>156</v>
      </c>
      <c r="B161" s="73" t="str">
        <f>IFERROR(__xludf.DUMMYFUNCTION("""COMPUTED_VALUE"""),"ROLANDO GALURAN")</f>
        <v>ROLANDO GALURAN</v>
      </c>
      <c r="C161" s="76" t="str">
        <f>IFERROR(__xludf.DUMMYFUNCTION("""COMPUTED_VALUE"""),"SENIOR")</f>
        <v>SENIOR</v>
      </c>
      <c r="D161" s="76" t="str">
        <f>VLOOKUP(B161,'HEAD OF THE FAMILY'!B161:J1934,9,FALSE)</f>
        <v>BLK 3</v>
      </c>
      <c r="E161" s="3"/>
      <c r="F161" s="3"/>
      <c r="G161" s="7"/>
      <c r="H161" s="7"/>
      <c r="I161" s="7"/>
      <c r="J161" s="60"/>
      <c r="K161" s="60" t="str">
        <f t="shared" si="2"/>
        <v/>
      </c>
    </row>
    <row r="162">
      <c r="A162" s="61">
        <f t="shared" si="1"/>
        <v>157</v>
      </c>
      <c r="B162" s="73" t="str">
        <f>IFERROR(__xludf.DUMMYFUNCTION("""COMPUTED_VALUE"""),"ROLLY IGAO")</f>
        <v>ROLLY IGAO</v>
      </c>
      <c r="C162" s="76" t="str">
        <f>IFERROR(__xludf.DUMMYFUNCTION("""COMPUTED_VALUE"""),"SENIOR")</f>
        <v>SENIOR</v>
      </c>
      <c r="D162" s="76" t="str">
        <f>VLOOKUP(B162,'HEAD OF THE FAMILY'!B162:J1934,9,FALSE)</f>
        <v>BLK 45</v>
      </c>
      <c r="E162" s="3"/>
      <c r="F162" s="3"/>
      <c r="G162" s="7"/>
      <c r="H162" s="7"/>
      <c r="I162" s="7"/>
      <c r="J162" s="60"/>
      <c r="K162" s="60" t="str">
        <f t="shared" si="2"/>
        <v/>
      </c>
    </row>
    <row r="163">
      <c r="A163" s="61">
        <f t="shared" si="1"/>
        <v>158</v>
      </c>
      <c r="B163" s="73" t="str">
        <f>IFERROR(__xludf.DUMMYFUNCTION("""COMPUTED_VALUE"""),"ROMEO ATAJAR")</f>
        <v>ROMEO ATAJAR</v>
      </c>
      <c r="C163" s="76" t="str">
        <f>IFERROR(__xludf.DUMMYFUNCTION("""COMPUTED_VALUE"""),"SENIOR")</f>
        <v>SENIOR</v>
      </c>
      <c r="D163" s="76" t="str">
        <f>VLOOKUP(B163,'HEAD OF THE FAMILY'!B163:J1934,9,FALSE)</f>
        <v>BLK 49</v>
      </c>
      <c r="E163" s="3"/>
      <c r="F163" s="3"/>
      <c r="G163" s="7"/>
      <c r="H163" s="7"/>
      <c r="I163" s="7"/>
      <c r="J163" s="60"/>
      <c r="K163" s="60" t="str">
        <f t="shared" si="2"/>
        <v/>
      </c>
    </row>
    <row r="164">
      <c r="A164" s="61">
        <f t="shared" si="1"/>
        <v>159</v>
      </c>
      <c r="B164" s="73" t="str">
        <f>IFERROR(__xludf.DUMMYFUNCTION("""COMPUTED_VALUE"""),"ROMEO LAURAYA")</f>
        <v>ROMEO LAURAYA</v>
      </c>
      <c r="C164" s="76" t="str">
        <f>IFERROR(__xludf.DUMMYFUNCTION("""COMPUTED_VALUE"""),"SENIOR")</f>
        <v>SENIOR</v>
      </c>
      <c r="D164" s="76" t="str">
        <f>VLOOKUP(B164,'HEAD OF THE FAMILY'!B164:J1934,9,FALSE)</f>
        <v>BLK 46</v>
      </c>
      <c r="E164" s="3"/>
      <c r="F164" s="3"/>
      <c r="G164" s="7"/>
      <c r="H164" s="7"/>
      <c r="I164" s="7"/>
      <c r="J164" s="60"/>
      <c r="K164" s="60" t="str">
        <f t="shared" si="2"/>
        <v/>
      </c>
    </row>
    <row r="165">
      <c r="A165" s="61">
        <f t="shared" si="1"/>
        <v>160</v>
      </c>
      <c r="B165" s="73" t="str">
        <f>IFERROR(__xludf.DUMMYFUNCTION("""COMPUTED_VALUE"""),"ROMEO P. DELA CRUZ")</f>
        <v>ROMEO P. DELA CRUZ</v>
      </c>
      <c r="C165" s="76" t="str">
        <f>IFERROR(__xludf.DUMMYFUNCTION("""COMPUTED_VALUE"""),"SENIOR")</f>
        <v>SENIOR</v>
      </c>
      <c r="D165" s="76" t="str">
        <f>VLOOKUP(B165,'HEAD OF THE FAMILY'!B165:J1934,9,FALSE)</f>
        <v>BLK 41</v>
      </c>
      <c r="E165" s="3"/>
      <c r="F165" s="3"/>
      <c r="G165" s="7"/>
      <c r="H165" s="7"/>
      <c r="I165" s="7"/>
      <c r="J165" s="60"/>
      <c r="K165" s="60" t="str">
        <f t="shared" si="2"/>
        <v/>
      </c>
    </row>
    <row r="166">
      <c r="A166" s="61">
        <f t="shared" si="1"/>
        <v>161</v>
      </c>
      <c r="B166" s="73" t="str">
        <f>IFERROR(__xludf.DUMMYFUNCTION("""COMPUTED_VALUE"""),"ROMEO PRADO")</f>
        <v>ROMEO PRADO</v>
      </c>
      <c r="C166" s="76" t="str">
        <f>IFERROR(__xludf.DUMMYFUNCTION("""COMPUTED_VALUE"""),"SENIOR")</f>
        <v>SENIOR</v>
      </c>
      <c r="D166" s="76" t="str">
        <f>VLOOKUP(B166,'HEAD OF THE FAMILY'!B166:J1934,9,FALSE)</f>
        <v>BLK 49</v>
      </c>
      <c r="E166" s="3"/>
      <c r="F166" s="3"/>
      <c r="G166" s="7"/>
      <c r="H166" s="7"/>
      <c r="I166" s="7"/>
      <c r="J166" s="60"/>
      <c r="K166" s="60" t="str">
        <f t="shared" si="2"/>
        <v/>
      </c>
    </row>
    <row r="167">
      <c r="A167" s="61">
        <f t="shared" si="1"/>
        <v>162</v>
      </c>
      <c r="B167" s="73" t="str">
        <f>IFERROR(__xludf.DUMMYFUNCTION("""COMPUTED_VALUE"""),"ROSA CONDE")</f>
        <v>ROSA CONDE</v>
      </c>
      <c r="C167" s="76" t="str">
        <f>IFERROR(__xludf.DUMMYFUNCTION("""COMPUTED_VALUE"""),"SENIOR")</f>
        <v>SENIOR</v>
      </c>
      <c r="D167" s="76" t="str">
        <f>VLOOKUP(B167,'HEAD OF THE FAMILY'!B167:J1934,9,FALSE)</f>
        <v>BLK 5</v>
      </c>
      <c r="E167" s="3"/>
      <c r="F167" s="3"/>
      <c r="G167" s="7"/>
      <c r="H167" s="7"/>
      <c r="I167" s="7"/>
      <c r="J167" s="60"/>
      <c r="K167" s="60" t="str">
        <f t="shared" si="2"/>
        <v/>
      </c>
    </row>
    <row r="168">
      <c r="A168" s="61">
        <f t="shared" si="1"/>
        <v>163</v>
      </c>
      <c r="B168" s="73" t="str">
        <f>IFERROR(__xludf.DUMMYFUNCTION("""COMPUTED_VALUE"""),"ROSADEL CONDEZ")</f>
        <v>ROSADEL CONDEZ</v>
      </c>
      <c r="C168" s="76" t="str">
        <f>IFERROR(__xludf.DUMMYFUNCTION("""COMPUTED_VALUE"""),"BRGY. OFFICIALS, SENIOR")</f>
        <v>BRGY. OFFICIALS, SENIOR</v>
      </c>
      <c r="D168" s="76" t="str">
        <f>VLOOKUP(B168,'HEAD OF THE FAMILY'!B168:J1934,9,FALSE)</f>
        <v>BLK 45</v>
      </c>
      <c r="E168" s="3"/>
      <c r="F168" s="3"/>
      <c r="G168" s="7"/>
      <c r="H168" s="7"/>
      <c r="I168" s="7"/>
      <c r="J168" s="60"/>
      <c r="K168" s="60" t="str">
        <f t="shared" si="2"/>
        <v/>
      </c>
    </row>
    <row r="169">
      <c r="A169" s="61">
        <f t="shared" si="1"/>
        <v>164</v>
      </c>
      <c r="B169" s="73" t="str">
        <f>IFERROR(__xludf.DUMMYFUNCTION("""COMPUTED_VALUE"""),"ROSALINDA T. SISON")</f>
        <v>ROSALINDA T. SISON</v>
      </c>
      <c r="C169" s="76" t="str">
        <f>IFERROR(__xludf.DUMMYFUNCTION("""COMPUTED_VALUE"""),"SENIOR")</f>
        <v>SENIOR</v>
      </c>
      <c r="D169" s="76" t="str">
        <f>VLOOKUP(B169,'HEAD OF THE FAMILY'!B169:J1934,9,FALSE)</f>
        <v>BLK 3</v>
      </c>
      <c r="E169" s="3"/>
      <c r="F169" s="3"/>
      <c r="G169" s="7"/>
      <c r="H169" s="7"/>
      <c r="I169" s="7"/>
      <c r="J169" s="60"/>
      <c r="K169" s="60" t="str">
        <f t="shared" si="2"/>
        <v/>
      </c>
    </row>
    <row r="170">
      <c r="A170" s="61">
        <f t="shared" si="1"/>
        <v>165</v>
      </c>
      <c r="B170" s="73" t="str">
        <f>IFERROR(__xludf.DUMMYFUNCTION("""COMPUTED_VALUE"""),"ROSIE RONASE")</f>
        <v>ROSIE RONASE</v>
      </c>
      <c r="C170" s="76" t="str">
        <f>IFERROR(__xludf.DUMMYFUNCTION("""COMPUTED_VALUE"""),"SENIOR")</f>
        <v>SENIOR</v>
      </c>
      <c r="D170" s="76" t="str">
        <f>VLOOKUP(B170,'HEAD OF THE FAMILY'!B170:J1934,9,FALSE)</f>
        <v>BLK 49</v>
      </c>
      <c r="E170" s="3"/>
      <c r="F170" s="3"/>
      <c r="G170" s="7"/>
      <c r="H170" s="7"/>
      <c r="I170" s="7"/>
      <c r="J170" s="60"/>
      <c r="K170" s="60" t="str">
        <f t="shared" si="2"/>
        <v/>
      </c>
    </row>
    <row r="171">
      <c r="A171" s="61">
        <f t="shared" si="1"/>
        <v>166</v>
      </c>
      <c r="B171" s="73" t="str">
        <f>IFERROR(__xludf.DUMMYFUNCTION("""COMPUTED_VALUE"""),"SALVADOR M. FLORES")</f>
        <v>SALVADOR M. FLORES</v>
      </c>
      <c r="C171" s="76" t="str">
        <f>IFERROR(__xludf.DUMMYFUNCTION("""COMPUTED_VALUE"""),"SENIOR")</f>
        <v>SENIOR</v>
      </c>
      <c r="D171" s="76" t="str">
        <f>VLOOKUP(B171,'HEAD OF THE FAMILY'!B171:J1934,9,FALSE)</f>
        <v>BLK 1</v>
      </c>
      <c r="E171" s="3"/>
      <c r="F171" s="3"/>
      <c r="G171" s="7"/>
      <c r="H171" s="7"/>
      <c r="I171" s="7"/>
      <c r="J171" s="60"/>
      <c r="K171" s="60" t="str">
        <f t="shared" si="2"/>
        <v/>
      </c>
    </row>
    <row r="172">
      <c r="A172" s="61">
        <f t="shared" si="1"/>
        <v>167</v>
      </c>
      <c r="B172" s="73" t="str">
        <f>IFERROR(__xludf.DUMMYFUNCTION("""COMPUTED_VALUE"""),"SIMEON SANTOS JR")</f>
        <v>SIMEON SANTOS JR</v>
      </c>
      <c r="C172" s="76" t="str">
        <f>IFERROR(__xludf.DUMMYFUNCTION("""COMPUTED_VALUE"""),"SENIOR")</f>
        <v>SENIOR</v>
      </c>
      <c r="D172" s="76" t="str">
        <f>VLOOKUP(B172,'HEAD OF THE FAMILY'!B172:J1934,9,FALSE)</f>
        <v>BLK 46</v>
      </c>
      <c r="E172" s="3"/>
      <c r="F172" s="3"/>
      <c r="G172" s="7"/>
      <c r="H172" s="7"/>
      <c r="I172" s="7"/>
      <c r="J172" s="60"/>
      <c r="K172" s="60" t="str">
        <f t="shared" si="2"/>
        <v/>
      </c>
    </row>
    <row r="173">
      <c r="A173" s="61">
        <f t="shared" si="1"/>
        <v>168</v>
      </c>
      <c r="B173" s="73" t="str">
        <f>IFERROR(__xludf.DUMMYFUNCTION("""COMPUTED_VALUE"""),"SIMON PUNZALAN")</f>
        <v>SIMON PUNZALAN</v>
      </c>
      <c r="C173" s="76" t="str">
        <f>IFERROR(__xludf.DUMMYFUNCTION("""COMPUTED_VALUE"""),"SENIOR")</f>
        <v>SENIOR</v>
      </c>
      <c r="D173" s="76" t="str">
        <f>VLOOKUP(B173,'HEAD OF THE FAMILY'!B173:J1934,9,FALSE)</f>
        <v>BLK 45</v>
      </c>
      <c r="E173" s="3"/>
      <c r="F173" s="3"/>
      <c r="G173" s="7"/>
      <c r="H173" s="7"/>
      <c r="I173" s="7"/>
      <c r="J173" s="60"/>
      <c r="K173" s="60" t="str">
        <f t="shared" si="2"/>
        <v/>
      </c>
    </row>
    <row r="174">
      <c r="A174" s="61">
        <f t="shared" si="1"/>
        <v>169</v>
      </c>
      <c r="B174" s="73" t="str">
        <f>IFERROR(__xludf.DUMMYFUNCTION("""COMPUTED_VALUE"""),"TERESA SALAMAT")</f>
        <v>TERESA SALAMAT</v>
      </c>
      <c r="C174" s="76" t="str">
        <f>IFERROR(__xludf.DUMMYFUNCTION("""COMPUTED_VALUE"""),"SENIOR")</f>
        <v>SENIOR</v>
      </c>
      <c r="D174" s="76" t="str">
        <f>VLOOKUP(B174,'HEAD OF THE FAMILY'!B174:J1934,9,FALSE)</f>
        <v>BLK 1</v>
      </c>
      <c r="E174" s="3"/>
      <c r="F174" s="3"/>
      <c r="G174" s="7"/>
      <c r="H174" s="7"/>
      <c r="I174" s="7"/>
      <c r="J174" s="60"/>
      <c r="K174" s="60" t="str">
        <f t="shared" si="2"/>
        <v/>
      </c>
    </row>
    <row r="175">
      <c r="A175" s="61">
        <f t="shared" si="1"/>
        <v>170</v>
      </c>
      <c r="B175" s="73" t="str">
        <f>IFERROR(__xludf.DUMMYFUNCTION("""COMPUTED_VALUE"""),"TERESITA APALLA")</f>
        <v>TERESITA APALLA</v>
      </c>
      <c r="C175" s="76" t="str">
        <f>IFERROR(__xludf.DUMMYFUNCTION("""COMPUTED_VALUE"""),"SENIOR")</f>
        <v>SENIOR</v>
      </c>
      <c r="D175" s="76" t="str">
        <f>VLOOKUP(B175,'HEAD OF THE FAMILY'!B175:J1934,9,FALSE)</f>
        <v>BLK 49</v>
      </c>
      <c r="E175" s="3"/>
      <c r="F175" s="3"/>
      <c r="G175" s="7"/>
      <c r="H175" s="7"/>
      <c r="I175" s="7"/>
      <c r="J175" s="60"/>
      <c r="K175" s="60" t="str">
        <f t="shared" si="2"/>
        <v/>
      </c>
    </row>
    <row r="176">
      <c r="A176" s="61">
        <f t="shared" si="1"/>
        <v>171</v>
      </c>
      <c r="B176" s="73" t="str">
        <f>IFERROR(__xludf.DUMMYFUNCTION("""COMPUTED_VALUE"""),"TERESITA B. ATIENZA")</f>
        <v>TERESITA B. ATIENZA</v>
      </c>
      <c r="C176" s="76" t="str">
        <f>IFERROR(__xludf.DUMMYFUNCTION("""COMPUTED_VALUE"""),"SENIOR")</f>
        <v>SENIOR</v>
      </c>
      <c r="D176" s="76" t="str">
        <f>VLOOKUP(B176,'HEAD OF THE FAMILY'!B176:J1934,9,FALSE)</f>
        <v>BLK 41</v>
      </c>
      <c r="E176" s="3"/>
      <c r="F176" s="3"/>
      <c r="G176" s="7"/>
      <c r="H176" s="7"/>
      <c r="I176" s="7"/>
      <c r="J176" s="60"/>
      <c r="K176" s="60" t="str">
        <f t="shared" si="2"/>
        <v/>
      </c>
    </row>
    <row r="177">
      <c r="A177" s="61">
        <f t="shared" si="1"/>
        <v>172</v>
      </c>
      <c r="B177" s="73" t="str">
        <f>IFERROR(__xludf.DUMMYFUNCTION("""COMPUTED_VALUE"""),"TERESITA C VICTORIA")</f>
        <v>TERESITA C VICTORIA</v>
      </c>
      <c r="C177" s="76" t="str">
        <f>IFERROR(__xludf.DUMMYFUNCTION("""COMPUTED_VALUE"""),"SENIOR")</f>
        <v>SENIOR</v>
      </c>
      <c r="D177" s="76" t="str">
        <f>VLOOKUP(B177,'HEAD OF THE FAMILY'!B177:J1934,9,FALSE)</f>
        <v>BLK 46</v>
      </c>
      <c r="E177" s="3"/>
      <c r="F177" s="3"/>
      <c r="G177" s="7"/>
      <c r="H177" s="7"/>
      <c r="I177" s="7"/>
      <c r="J177" s="60"/>
      <c r="K177" s="60" t="str">
        <f t="shared" si="2"/>
        <v/>
      </c>
    </row>
    <row r="178">
      <c r="A178" s="61">
        <f t="shared" si="1"/>
        <v>173</v>
      </c>
      <c r="B178" s="73" t="str">
        <f>IFERROR(__xludf.DUMMYFUNCTION("""COMPUTED_VALUE"""),"TERESITA HAYAG")</f>
        <v>TERESITA HAYAG</v>
      </c>
      <c r="C178" s="76" t="str">
        <f>IFERROR(__xludf.DUMMYFUNCTION("""COMPUTED_VALUE"""),"SENIOR")</f>
        <v>SENIOR</v>
      </c>
      <c r="D178" s="76" t="str">
        <f>VLOOKUP(B178,'HEAD OF THE FAMILY'!B178:J1934,9,FALSE)</f>
        <v>BLK 1</v>
      </c>
      <c r="E178" s="3"/>
      <c r="F178" s="3"/>
      <c r="G178" s="7"/>
      <c r="H178" s="7"/>
      <c r="I178" s="7"/>
      <c r="J178" s="60"/>
      <c r="K178" s="60" t="str">
        <f t="shared" si="2"/>
        <v/>
      </c>
    </row>
    <row r="179">
      <c r="A179" s="61">
        <f t="shared" si="1"/>
        <v>174</v>
      </c>
      <c r="B179" s="73" t="str">
        <f>IFERROR(__xludf.DUMMYFUNCTION("""COMPUTED_VALUE"""),"TERESITA SOLIVEN")</f>
        <v>TERESITA SOLIVEN</v>
      </c>
      <c r="C179" s="76" t="str">
        <f>IFERROR(__xludf.DUMMYFUNCTION("""COMPUTED_VALUE"""),"SENIOR")</f>
        <v>SENIOR</v>
      </c>
      <c r="D179" s="76" t="str">
        <f>VLOOKUP(B179,'HEAD OF THE FAMILY'!B179:J1934,9,FALSE)</f>
        <v>BLK 5</v>
      </c>
      <c r="E179" s="3"/>
      <c r="F179" s="3"/>
      <c r="G179" s="7"/>
      <c r="H179" s="7"/>
      <c r="I179" s="7"/>
      <c r="J179" s="60"/>
      <c r="K179" s="60" t="str">
        <f t="shared" si="2"/>
        <v/>
      </c>
    </row>
    <row r="180">
      <c r="A180" s="61">
        <f t="shared" si="1"/>
        <v>175</v>
      </c>
      <c r="B180" s="73" t="str">
        <f>IFERROR(__xludf.DUMMYFUNCTION("""COMPUTED_VALUE"""),"VENERANDO D CARRASCO")</f>
        <v>VENERANDO D CARRASCO</v>
      </c>
      <c r="C180" s="76" t="str">
        <f>IFERROR(__xludf.DUMMYFUNCTION("""COMPUTED_VALUE"""),"SENIOR")</f>
        <v>SENIOR</v>
      </c>
      <c r="D180" s="76" t="str">
        <f>VLOOKUP(B180,'HEAD OF THE FAMILY'!B180:J1934,9,FALSE)</f>
        <v>BLK 46</v>
      </c>
      <c r="E180" s="3"/>
      <c r="F180" s="3"/>
      <c r="G180" s="7"/>
      <c r="H180" s="7"/>
      <c r="I180" s="7"/>
      <c r="J180" s="60"/>
      <c r="K180" s="60" t="str">
        <f t="shared" si="2"/>
        <v/>
      </c>
    </row>
    <row r="181">
      <c r="A181" s="61">
        <f t="shared" si="1"/>
        <v>176</v>
      </c>
      <c r="B181" s="73" t="str">
        <f>IFERROR(__xludf.DUMMYFUNCTION("""COMPUTED_VALUE"""),"VIOLETA LIBAN")</f>
        <v>VIOLETA LIBAN</v>
      </c>
      <c r="C181" s="76" t="str">
        <f>IFERROR(__xludf.DUMMYFUNCTION("""COMPUTED_VALUE"""),"SENIOR")</f>
        <v>SENIOR</v>
      </c>
      <c r="D181" s="76" t="str">
        <f>VLOOKUP(B181,'HEAD OF THE FAMILY'!B181:J1934,9,FALSE)</f>
        <v>BLK 46</v>
      </c>
      <c r="E181" s="3"/>
      <c r="F181" s="3"/>
      <c r="G181" s="7"/>
      <c r="H181" s="7"/>
      <c r="I181" s="7"/>
      <c r="J181" s="60"/>
      <c r="K181" s="60" t="str">
        <f t="shared" si="2"/>
        <v/>
      </c>
    </row>
    <row r="182">
      <c r="A182" s="61">
        <f t="shared" si="1"/>
        <v>177</v>
      </c>
      <c r="B182" s="73" t="str">
        <f>IFERROR(__xludf.DUMMYFUNCTION("""COMPUTED_VALUE"""),"VIRGILIO RAMOS")</f>
        <v>VIRGILIO RAMOS</v>
      </c>
      <c r="C182" s="76" t="str">
        <f>IFERROR(__xludf.DUMMYFUNCTION("""COMPUTED_VALUE"""),"BRGY. OFFICIALS, SENIOR")</f>
        <v>BRGY. OFFICIALS, SENIOR</v>
      </c>
      <c r="D182" s="76" t="str">
        <f>VLOOKUP(B182,'HEAD OF THE FAMILY'!B182:J1934,9,FALSE)</f>
        <v>BLK 45</v>
      </c>
      <c r="E182" s="3"/>
      <c r="F182" s="3"/>
      <c r="G182" s="7"/>
      <c r="H182" s="7"/>
      <c r="I182" s="7"/>
      <c r="J182" s="60"/>
      <c r="K182" s="60" t="str">
        <f t="shared" si="2"/>
        <v/>
      </c>
    </row>
    <row r="183">
      <c r="A183" s="61">
        <f t="shared" si="1"/>
        <v>178</v>
      </c>
      <c r="B183" s="73" t="str">
        <f>IFERROR(__xludf.DUMMYFUNCTION("""COMPUTED_VALUE"""),"VIRGINIA F CUARTIZ")</f>
        <v>VIRGINIA F CUARTIZ</v>
      </c>
      <c r="C183" s="76" t="str">
        <f>IFERROR(__xludf.DUMMYFUNCTION("""COMPUTED_VALUE"""),"SENIOR")</f>
        <v>SENIOR</v>
      </c>
      <c r="D183" s="76" t="str">
        <f>VLOOKUP(B183,'HEAD OF THE FAMILY'!B183:J1934,9,FALSE)</f>
        <v>BLK 45</v>
      </c>
      <c r="E183" s="3"/>
      <c r="F183" s="3"/>
      <c r="G183" s="7"/>
      <c r="H183" s="7"/>
      <c r="I183" s="7"/>
      <c r="J183" s="60"/>
      <c r="K183" s="60" t="str">
        <f t="shared" si="2"/>
        <v/>
      </c>
    </row>
    <row r="184">
      <c r="A184" s="61">
        <f t="shared" si="1"/>
        <v>179</v>
      </c>
      <c r="B184" s="73" t="str">
        <f>IFERROR(__xludf.DUMMYFUNCTION("""COMPUTED_VALUE"""),"WILFREDO HONTIVEROS")</f>
        <v>WILFREDO HONTIVEROS</v>
      </c>
      <c r="C184" s="76" t="str">
        <f>IFERROR(__xludf.DUMMYFUNCTION("""COMPUTED_VALUE"""),"SENIOR")</f>
        <v>SENIOR</v>
      </c>
      <c r="D184" s="76" t="str">
        <f>VLOOKUP(B184,'HEAD OF THE FAMILY'!B184:J1934,9,FALSE)</f>
        <v>BLK 5</v>
      </c>
      <c r="E184" s="3"/>
      <c r="F184" s="3"/>
      <c r="G184" s="7"/>
      <c r="H184" s="7"/>
      <c r="I184" s="7"/>
      <c r="J184" s="60"/>
      <c r="K184" s="60" t="str">
        <f t="shared" si="2"/>
        <v/>
      </c>
    </row>
    <row r="185">
      <c r="A185" s="61">
        <f t="shared" si="1"/>
        <v>180</v>
      </c>
      <c r="B185" s="73" t="str">
        <f>IFERROR(__xludf.DUMMYFUNCTION("""COMPUTED_VALUE"""),"YOLANDA C. NACASABUG")</f>
        <v>YOLANDA C. NACASABUG</v>
      </c>
      <c r="C185" s="76" t="str">
        <f>IFERROR(__xludf.DUMMYFUNCTION("""COMPUTED_VALUE"""),"SENIOR")</f>
        <v>SENIOR</v>
      </c>
      <c r="D185" s="76" t="str">
        <f>VLOOKUP(B185,'HEAD OF THE FAMILY'!B185:J1934,9,FALSE)</f>
        <v>BLK 5</v>
      </c>
      <c r="E185" s="3"/>
      <c r="F185" s="3"/>
      <c r="G185" s="7"/>
      <c r="H185" s="7"/>
      <c r="I185" s="7"/>
      <c r="J185" s="60"/>
      <c r="K185" s="60" t="str">
        <f t="shared" si="2"/>
        <v/>
      </c>
    </row>
    <row r="186">
      <c r="A186" s="61">
        <f t="shared" si="1"/>
        <v>181</v>
      </c>
      <c r="B186" s="73" t="str">
        <f>IFERROR(__xludf.DUMMYFUNCTION("""COMPUTED_VALUE"""),"YOLANDA PARAS")</f>
        <v>YOLANDA PARAS</v>
      </c>
      <c r="C186" s="76" t="str">
        <f>IFERROR(__xludf.DUMMYFUNCTION("""COMPUTED_VALUE"""),"SENIOR")</f>
        <v>SENIOR</v>
      </c>
      <c r="D186" s="76" t="str">
        <f>VLOOKUP(B186,'HEAD OF THE FAMILY'!B186:J1934,9,FALSE)</f>
        <v>BLK 1</v>
      </c>
      <c r="E186" s="3"/>
      <c r="F186" s="3"/>
      <c r="G186" s="7"/>
      <c r="H186" s="7"/>
      <c r="I186" s="7"/>
      <c r="J186" s="60"/>
      <c r="K186" s="60" t="str">
        <f t="shared" si="2"/>
        <v/>
      </c>
    </row>
    <row r="187">
      <c r="A187" s="61">
        <f t="shared" si="1"/>
        <v>182</v>
      </c>
      <c r="B187" s="73" t="str">
        <f>IFERROR(__xludf.DUMMYFUNCTION("""COMPUTED_VALUE"""),"YVONNE TERESA O. VILLARBA")</f>
        <v>YVONNE TERESA O. VILLARBA</v>
      </c>
      <c r="C187" s="76" t="str">
        <f>IFERROR(__xludf.DUMMYFUNCTION("""COMPUTED_VALUE"""),"SENIOR")</f>
        <v>SENIOR</v>
      </c>
      <c r="D187" s="76" t="str">
        <f>VLOOKUP(B187,'HEAD OF THE FAMILY'!B187:J1934,9,FALSE)</f>
        <v>BLK 41</v>
      </c>
      <c r="E187" s="3"/>
      <c r="F187" s="3"/>
      <c r="G187" s="7"/>
      <c r="H187" s="7"/>
      <c r="I187" s="7"/>
      <c r="J187" s="60"/>
      <c r="K187" s="60" t="str">
        <f t="shared" si="2"/>
        <v/>
      </c>
    </row>
    <row r="188">
      <c r="A188" s="61">
        <f t="shared" si="1"/>
        <v>183</v>
      </c>
      <c r="B188" s="73" t="str">
        <f>IFERROR(__xludf.DUMMYFUNCTION("""COMPUTED_VALUE"""),"ZENAIDA R. JAVIER ")</f>
        <v>ZENAIDA R. JAVIER </v>
      </c>
      <c r="C188" s="76" t="str">
        <f>IFERROR(__xludf.DUMMYFUNCTION("""COMPUTED_VALUE"""),"SENIOR")</f>
        <v>SENIOR</v>
      </c>
      <c r="D188" s="76" t="str">
        <f>VLOOKUP(B188,'HEAD OF THE FAMILY'!B188:J1934,9,FALSE)</f>
        <v>BLOCK 4</v>
      </c>
      <c r="E188" s="3"/>
      <c r="F188" s="3"/>
      <c r="G188" s="7"/>
      <c r="H188" s="7"/>
      <c r="I188" s="7"/>
      <c r="J188" s="60"/>
      <c r="K188" s="60" t="str">
        <f t="shared" si="2"/>
        <v/>
      </c>
    </row>
    <row r="189">
      <c r="A189" s="61">
        <f t="shared" si="1"/>
        <v>184</v>
      </c>
      <c r="B189" s="73" t="str">
        <f>IFERROR(__xludf.DUMMYFUNCTION("""COMPUTED_VALUE"""),"ZOSIMA FABILA")</f>
        <v>ZOSIMA FABILA</v>
      </c>
      <c r="C189" s="76" t="str">
        <f>IFERROR(__xludf.DUMMYFUNCTION("""COMPUTED_VALUE"""),"SENIOR")</f>
        <v>SENIOR</v>
      </c>
      <c r="D189" s="76" t="str">
        <f>VLOOKUP(B189,'HEAD OF THE FAMILY'!B189:J1934,9,FALSE)</f>
        <v>BLK 46</v>
      </c>
      <c r="E189" s="3"/>
      <c r="F189" s="3"/>
      <c r="G189" s="7"/>
      <c r="H189" s="7"/>
      <c r="I189" s="7"/>
      <c r="J189" s="60"/>
      <c r="K189" s="60" t="str">
        <f t="shared" si="2"/>
        <v/>
      </c>
    </row>
    <row r="190">
      <c r="A190" s="61">
        <f t="shared" si="1"/>
        <v>185</v>
      </c>
      <c r="B190" s="73" t="str">
        <f>IFERROR(__xludf.DUMMYFUNCTION("""COMPUTED_VALUE"""),"JOSE NACION")</f>
        <v>JOSE NACION</v>
      </c>
      <c r="C190" s="76" t="str">
        <f>IFERROR(__xludf.DUMMYFUNCTION("""COMPUTED_VALUE"""),"SENIOR")</f>
        <v>SENIOR</v>
      </c>
      <c r="D190" s="76" t="str">
        <f>VLOOKUP(B190,'HEAD OF THE FAMILY'!B190:J1934,9,FALSE)</f>
        <v>BLK 45</v>
      </c>
      <c r="E190" s="3"/>
      <c r="F190" s="3"/>
      <c r="G190" s="7"/>
      <c r="H190" s="7"/>
      <c r="I190" s="7"/>
      <c r="J190" s="60"/>
      <c r="K190" s="60" t="str">
        <f t="shared" si="2"/>
        <v/>
      </c>
    </row>
    <row r="191">
      <c r="A191" s="61" t="str">
        <f t="shared" si="1"/>
        <v/>
      </c>
      <c r="B191" s="73"/>
      <c r="C191" s="76"/>
      <c r="D191" s="76" t="str">
        <f>VLOOKUP(B191,'HEAD OF THE FAMILY'!B191:J1934,9,FALSE)</f>
        <v>#N/A</v>
      </c>
      <c r="E191" s="3"/>
      <c r="F191" s="3"/>
      <c r="G191" s="7"/>
      <c r="H191" s="7"/>
      <c r="I191" s="7"/>
      <c r="J191" s="60"/>
      <c r="K191" s="60" t="str">
        <f t="shared" si="2"/>
        <v/>
      </c>
    </row>
    <row r="192">
      <c r="A192" s="61" t="str">
        <f t="shared" si="1"/>
        <v/>
      </c>
      <c r="B192" s="73"/>
      <c r="C192" s="76"/>
      <c r="D192" s="76" t="str">
        <f>VLOOKUP(B192,'HEAD OF THE FAMILY'!B192:J1934,9,FALSE)</f>
        <v>#N/A</v>
      </c>
      <c r="E192" s="3"/>
      <c r="F192" s="3"/>
      <c r="G192" s="7"/>
      <c r="H192" s="7"/>
      <c r="I192" s="7"/>
      <c r="J192" s="60"/>
      <c r="K192" s="60" t="str">
        <f t="shared" si="2"/>
        <v/>
      </c>
    </row>
    <row r="193">
      <c r="A193" s="61" t="str">
        <f t="shared" si="1"/>
        <v/>
      </c>
      <c r="B193" s="73"/>
      <c r="C193" s="76"/>
      <c r="D193" s="76" t="str">
        <f>VLOOKUP(B193,'HEAD OF THE FAMILY'!B193:J1934,9,FALSE)</f>
        <v>#N/A</v>
      </c>
      <c r="E193" s="3"/>
      <c r="F193" s="3"/>
      <c r="G193" s="7"/>
      <c r="H193" s="7"/>
      <c r="I193" s="7"/>
      <c r="J193" s="60"/>
      <c r="K193" s="60" t="str">
        <f t="shared" si="2"/>
        <v/>
      </c>
    </row>
    <row r="194">
      <c r="A194" s="61" t="str">
        <f t="shared" si="1"/>
        <v/>
      </c>
      <c r="B194" s="73"/>
      <c r="C194" s="76"/>
      <c r="D194" s="76" t="str">
        <f>VLOOKUP(B194,'HEAD OF THE FAMILY'!B194:J1934,9,FALSE)</f>
        <v>#N/A</v>
      </c>
      <c r="E194" s="3"/>
      <c r="F194" s="3"/>
      <c r="G194" s="7"/>
      <c r="H194" s="7"/>
      <c r="I194" s="7"/>
      <c r="J194" s="60"/>
      <c r="K194" s="60" t="str">
        <f t="shared" si="2"/>
        <v/>
      </c>
    </row>
    <row r="195">
      <c r="A195" s="61" t="str">
        <f t="shared" si="1"/>
        <v/>
      </c>
      <c r="B195" s="73"/>
      <c r="C195" s="76"/>
      <c r="D195" s="76" t="str">
        <f>VLOOKUP(B195,'HEAD OF THE FAMILY'!B195:J1934,9,FALSE)</f>
        <v>#N/A</v>
      </c>
      <c r="E195" s="3"/>
      <c r="F195" s="3"/>
      <c r="G195" s="7"/>
      <c r="H195" s="7"/>
      <c r="I195" s="7"/>
      <c r="J195" s="60"/>
      <c r="K195" s="60" t="str">
        <f t="shared" si="2"/>
        <v/>
      </c>
    </row>
    <row r="196">
      <c r="A196" s="61" t="str">
        <f t="shared" si="1"/>
        <v/>
      </c>
      <c r="B196" s="73"/>
      <c r="C196" s="76"/>
      <c r="D196" s="76" t="str">
        <f>VLOOKUP(B196,'HEAD OF THE FAMILY'!B196:J1934,9,FALSE)</f>
        <v>#N/A</v>
      </c>
      <c r="E196" s="3"/>
      <c r="F196" s="3"/>
      <c r="G196" s="7"/>
      <c r="H196" s="7"/>
      <c r="I196" s="7"/>
      <c r="J196" s="60"/>
      <c r="K196" s="60" t="str">
        <f t="shared" si="2"/>
        <v/>
      </c>
    </row>
    <row r="197">
      <c r="A197" s="61" t="str">
        <f t="shared" si="1"/>
        <v/>
      </c>
      <c r="B197" s="73"/>
      <c r="C197" s="76"/>
      <c r="D197" s="76" t="str">
        <f>VLOOKUP(B197,'HEAD OF THE FAMILY'!B197:J1934,9,FALSE)</f>
        <v>#N/A</v>
      </c>
      <c r="E197" s="3"/>
      <c r="F197" s="3"/>
      <c r="G197" s="7"/>
      <c r="H197" s="7"/>
      <c r="I197" s="7"/>
      <c r="J197" s="60"/>
      <c r="K197" s="60" t="str">
        <f t="shared" si="2"/>
        <v/>
      </c>
    </row>
    <row r="198">
      <c r="A198" s="61" t="str">
        <f t="shared" si="1"/>
        <v/>
      </c>
      <c r="B198" s="73"/>
      <c r="C198" s="76"/>
      <c r="D198" s="76" t="str">
        <f>VLOOKUP(B198,'HEAD OF THE FAMILY'!B198:J1934,9,FALSE)</f>
        <v>#N/A</v>
      </c>
      <c r="E198" s="3"/>
      <c r="F198" s="3"/>
      <c r="G198" s="7"/>
      <c r="H198" s="7"/>
      <c r="I198" s="7"/>
      <c r="J198" s="60"/>
      <c r="K198" s="60" t="str">
        <f t="shared" si="2"/>
        <v/>
      </c>
    </row>
    <row r="199">
      <c r="A199" s="61" t="str">
        <f t="shared" si="1"/>
        <v/>
      </c>
      <c r="B199" s="73"/>
      <c r="C199" s="76"/>
      <c r="D199" s="76" t="str">
        <f>VLOOKUP(B199,'HEAD OF THE FAMILY'!B199:J1934,9,FALSE)</f>
        <v>#N/A</v>
      </c>
      <c r="E199" s="3"/>
      <c r="F199" s="3"/>
      <c r="G199" s="7"/>
      <c r="H199" s="7"/>
      <c r="I199" s="7"/>
      <c r="J199" s="60"/>
      <c r="K199" s="60" t="str">
        <f t="shared" si="2"/>
        <v/>
      </c>
    </row>
    <row r="200">
      <c r="A200" s="61" t="str">
        <f t="shared" si="1"/>
        <v/>
      </c>
      <c r="B200" s="73"/>
      <c r="C200" s="76"/>
      <c r="D200" s="76" t="str">
        <f>VLOOKUP(B200,'HEAD OF THE FAMILY'!B200:J1934,9,FALSE)</f>
        <v>#N/A</v>
      </c>
      <c r="E200" s="3"/>
      <c r="F200" s="3"/>
      <c r="G200" s="7"/>
      <c r="H200" s="7"/>
      <c r="I200" s="7"/>
      <c r="J200" s="60"/>
      <c r="K200" s="60" t="str">
        <f t="shared" si="2"/>
        <v/>
      </c>
    </row>
    <row r="201">
      <c r="A201" s="61" t="str">
        <f t="shared" si="1"/>
        <v/>
      </c>
      <c r="B201" s="73"/>
      <c r="C201" s="76"/>
      <c r="D201" s="76" t="str">
        <f>VLOOKUP(B201,'HEAD OF THE FAMILY'!B201:J1934,9,FALSE)</f>
        <v>#N/A</v>
      </c>
      <c r="E201" s="3"/>
      <c r="F201" s="3"/>
      <c r="G201" s="7"/>
      <c r="H201" s="7"/>
      <c r="I201" s="7"/>
      <c r="J201" s="60"/>
      <c r="K201" s="60" t="str">
        <f t="shared" si="2"/>
        <v/>
      </c>
    </row>
    <row r="202">
      <c r="A202" s="61" t="str">
        <f t="shared" si="1"/>
        <v/>
      </c>
      <c r="B202" s="73"/>
      <c r="C202" s="76"/>
      <c r="D202" s="76" t="str">
        <f>VLOOKUP(B202,'HEAD OF THE FAMILY'!B202:J1934,9,FALSE)</f>
        <v>#N/A</v>
      </c>
      <c r="E202" s="3"/>
      <c r="F202" s="3"/>
      <c r="G202" s="7"/>
      <c r="H202" s="7"/>
      <c r="I202" s="7"/>
      <c r="J202" s="60"/>
      <c r="K202" s="60" t="str">
        <f t="shared" si="2"/>
        <v/>
      </c>
    </row>
    <row r="203">
      <c r="A203" s="61" t="str">
        <f t="shared" si="1"/>
        <v/>
      </c>
      <c r="B203" s="73"/>
      <c r="C203" s="76"/>
      <c r="D203" s="76" t="str">
        <f>VLOOKUP(B203,'HEAD OF THE FAMILY'!B203:J1934,9,FALSE)</f>
        <v>#N/A</v>
      </c>
      <c r="E203" s="3"/>
      <c r="F203" s="3"/>
      <c r="G203" s="7"/>
      <c r="H203" s="7"/>
      <c r="I203" s="7"/>
      <c r="J203" s="60"/>
      <c r="K203" s="60" t="str">
        <f t="shared" si="2"/>
        <v/>
      </c>
    </row>
    <row r="204">
      <c r="A204" s="61" t="str">
        <f t="shared" si="1"/>
        <v/>
      </c>
      <c r="B204" s="73"/>
      <c r="C204" s="76"/>
      <c r="D204" s="76" t="str">
        <f>VLOOKUP(B204,'HEAD OF THE FAMILY'!B204:J1934,9,FALSE)</f>
        <v>#N/A</v>
      </c>
      <c r="E204" s="3"/>
      <c r="F204" s="3"/>
      <c r="G204" s="7"/>
      <c r="H204" s="7"/>
      <c r="I204" s="7"/>
      <c r="J204" s="60"/>
      <c r="K204" s="60" t="str">
        <f t="shared" si="2"/>
        <v/>
      </c>
    </row>
    <row r="205">
      <c r="A205" s="61" t="str">
        <f t="shared" si="1"/>
        <v/>
      </c>
      <c r="B205" s="73"/>
      <c r="C205" s="76"/>
      <c r="D205" s="76" t="str">
        <f>VLOOKUP(B205,'HEAD OF THE FAMILY'!B205:J1934,9,FALSE)</f>
        <v>#N/A</v>
      </c>
      <c r="E205" s="3"/>
      <c r="F205" s="3"/>
      <c r="G205" s="7"/>
      <c r="H205" s="7"/>
      <c r="I205" s="7"/>
      <c r="J205" s="60"/>
      <c r="K205" s="60" t="str">
        <f t="shared" si="2"/>
        <v/>
      </c>
    </row>
    <row r="206">
      <c r="A206" s="61" t="str">
        <f t="shared" si="1"/>
        <v/>
      </c>
      <c r="B206" s="73"/>
      <c r="C206" s="76"/>
      <c r="D206" s="76" t="str">
        <f>VLOOKUP(B206,'HEAD OF THE FAMILY'!B206:J1934,9,FALSE)</f>
        <v>#N/A</v>
      </c>
      <c r="E206" s="3"/>
      <c r="F206" s="3"/>
      <c r="G206" s="7"/>
      <c r="H206" s="7"/>
      <c r="I206" s="7"/>
      <c r="J206" s="60"/>
      <c r="K206" s="60" t="str">
        <f t="shared" si="2"/>
        <v/>
      </c>
    </row>
    <row r="207">
      <c r="A207" s="61" t="str">
        <f t="shared" si="1"/>
        <v/>
      </c>
      <c r="B207" s="73"/>
      <c r="C207" s="76"/>
      <c r="D207" s="76" t="str">
        <f>VLOOKUP(B207,'HEAD OF THE FAMILY'!B207:J1934,9,FALSE)</f>
        <v>#N/A</v>
      </c>
      <c r="E207" s="3"/>
      <c r="F207" s="3"/>
      <c r="G207" s="7"/>
      <c r="H207" s="7"/>
      <c r="I207" s="7"/>
      <c r="J207" s="60"/>
      <c r="K207" s="60" t="str">
        <f t="shared" si="2"/>
        <v/>
      </c>
    </row>
    <row r="208">
      <c r="A208" s="61" t="str">
        <f t="shared" si="1"/>
        <v/>
      </c>
      <c r="B208" s="73"/>
      <c r="C208" s="76"/>
      <c r="D208" s="76" t="str">
        <f>VLOOKUP(B208,'HEAD OF THE FAMILY'!B208:J1934,9,FALSE)</f>
        <v>#N/A</v>
      </c>
      <c r="E208" s="3"/>
      <c r="F208" s="3"/>
      <c r="G208" s="7"/>
      <c r="H208" s="7"/>
      <c r="I208" s="7"/>
      <c r="J208" s="60"/>
      <c r="K208" s="60" t="str">
        <f t="shared" si="2"/>
        <v/>
      </c>
    </row>
    <row r="209">
      <c r="A209" s="61" t="str">
        <f t="shared" si="1"/>
        <v/>
      </c>
      <c r="B209" s="73"/>
      <c r="C209" s="76"/>
      <c r="D209" s="76" t="str">
        <f>VLOOKUP(B209,'HEAD OF THE FAMILY'!B209:J1934,9,FALSE)</f>
        <v>#N/A</v>
      </c>
      <c r="E209" s="3"/>
      <c r="F209" s="3"/>
      <c r="G209" s="7"/>
      <c r="H209" s="7"/>
      <c r="I209" s="7"/>
      <c r="J209" s="60"/>
      <c r="K209" s="60" t="str">
        <f t="shared" si="2"/>
        <v/>
      </c>
    </row>
    <row r="210">
      <c r="A210" s="61" t="str">
        <f t="shared" si="1"/>
        <v/>
      </c>
      <c r="B210" s="73"/>
      <c r="C210" s="76"/>
      <c r="D210" s="76" t="str">
        <f>VLOOKUP(B210,'HEAD OF THE FAMILY'!B210:J1934,9,FALSE)</f>
        <v>#N/A</v>
      </c>
      <c r="E210" s="3"/>
      <c r="F210" s="3"/>
      <c r="G210" s="7"/>
      <c r="H210" s="7"/>
      <c r="I210" s="7"/>
      <c r="J210" s="60"/>
      <c r="K210" s="60" t="str">
        <f t="shared" si="2"/>
        <v/>
      </c>
    </row>
    <row r="211">
      <c r="A211" s="61" t="str">
        <f t="shared" si="1"/>
        <v/>
      </c>
      <c r="B211" s="73"/>
      <c r="C211" s="76"/>
      <c r="D211" s="76" t="str">
        <f>VLOOKUP(B211,'HEAD OF THE FAMILY'!B211:J1934,9,FALSE)</f>
        <v>#N/A</v>
      </c>
      <c r="E211" s="3"/>
      <c r="F211" s="3"/>
      <c r="G211" s="7"/>
      <c r="H211" s="7"/>
      <c r="I211" s="7"/>
      <c r="J211" s="60"/>
      <c r="K211" s="60" t="str">
        <f t="shared" si="2"/>
        <v/>
      </c>
    </row>
    <row r="212">
      <c r="A212" s="61" t="str">
        <f t="shared" si="1"/>
        <v/>
      </c>
      <c r="B212" s="73"/>
      <c r="C212" s="76"/>
      <c r="D212" s="76" t="str">
        <f>VLOOKUP(B212,'HEAD OF THE FAMILY'!B212:J1934,9,FALSE)</f>
        <v>#N/A</v>
      </c>
      <c r="E212" s="3"/>
      <c r="F212" s="3"/>
      <c r="G212" s="7"/>
      <c r="H212" s="7"/>
      <c r="I212" s="7"/>
      <c r="J212" s="60"/>
      <c r="K212" s="60" t="str">
        <f t="shared" si="2"/>
        <v/>
      </c>
    </row>
    <row r="213">
      <c r="A213" s="61" t="str">
        <f t="shared" si="1"/>
        <v/>
      </c>
      <c r="B213" s="73"/>
      <c r="C213" s="76"/>
      <c r="D213" s="76" t="str">
        <f>VLOOKUP(B213,'HEAD OF THE FAMILY'!B213:J1934,9,FALSE)</f>
        <v>#N/A</v>
      </c>
      <c r="E213" s="3"/>
      <c r="F213" s="3"/>
      <c r="G213" s="7"/>
      <c r="H213" s="7"/>
      <c r="I213" s="7"/>
      <c r="J213" s="60"/>
      <c r="K213" s="60" t="str">
        <f t="shared" si="2"/>
        <v/>
      </c>
    </row>
    <row r="214">
      <c r="A214" s="61" t="str">
        <f t="shared" si="1"/>
        <v/>
      </c>
      <c r="B214" s="73"/>
      <c r="C214" s="76"/>
      <c r="D214" s="76" t="str">
        <f>VLOOKUP(B214,'HEAD OF THE FAMILY'!B214:J1934,9,FALSE)</f>
        <v>#N/A</v>
      </c>
      <c r="E214" s="3"/>
      <c r="F214" s="3"/>
      <c r="G214" s="7"/>
      <c r="H214" s="7"/>
      <c r="I214" s="7"/>
      <c r="J214" s="60"/>
      <c r="K214" s="60" t="str">
        <f t="shared" si="2"/>
        <v/>
      </c>
    </row>
    <row r="215">
      <c r="A215" s="61" t="str">
        <f t="shared" si="1"/>
        <v/>
      </c>
      <c r="B215" s="73"/>
      <c r="C215" s="76"/>
      <c r="D215" s="76" t="str">
        <f>VLOOKUP(B215,'HEAD OF THE FAMILY'!B215:J1934,9,FALSE)</f>
        <v>#N/A</v>
      </c>
      <c r="E215" s="3"/>
      <c r="F215" s="3"/>
      <c r="G215" s="7"/>
      <c r="H215" s="7"/>
      <c r="I215" s="7"/>
      <c r="J215" s="60"/>
      <c r="K215" s="60" t="str">
        <f t="shared" si="2"/>
        <v/>
      </c>
    </row>
    <row r="216">
      <c r="A216" s="61" t="str">
        <f t="shared" si="1"/>
        <v/>
      </c>
      <c r="B216" s="73"/>
      <c r="C216" s="76"/>
      <c r="D216" s="76" t="str">
        <f>VLOOKUP(B216,'HEAD OF THE FAMILY'!B216:J1934,9,FALSE)</f>
        <v>#N/A</v>
      </c>
      <c r="E216" s="3"/>
      <c r="F216" s="3"/>
      <c r="G216" s="7"/>
      <c r="H216" s="7"/>
      <c r="I216" s="7"/>
      <c r="J216" s="60"/>
      <c r="K216" s="60" t="str">
        <f t="shared" si="2"/>
        <v/>
      </c>
    </row>
    <row r="217">
      <c r="A217" s="61" t="str">
        <f t="shared" si="1"/>
        <v/>
      </c>
      <c r="B217" s="73"/>
      <c r="C217" s="76"/>
      <c r="D217" s="76" t="str">
        <f>VLOOKUP(B217,'HEAD OF THE FAMILY'!B217:J1934,9,FALSE)</f>
        <v>#N/A</v>
      </c>
      <c r="E217" s="3"/>
      <c r="F217" s="3"/>
      <c r="G217" s="7"/>
      <c r="H217" s="7"/>
      <c r="I217" s="7"/>
      <c r="J217" s="60"/>
      <c r="K217" s="60" t="str">
        <f t="shared" si="2"/>
        <v/>
      </c>
    </row>
    <row r="218">
      <c r="A218" s="61" t="str">
        <f t="shared" si="1"/>
        <v/>
      </c>
      <c r="B218" s="73"/>
      <c r="C218" s="76"/>
      <c r="D218" s="76" t="str">
        <f>VLOOKUP(B218,'HEAD OF THE FAMILY'!B218:J1934,9,FALSE)</f>
        <v>#N/A</v>
      </c>
      <c r="E218" s="3"/>
      <c r="F218" s="3"/>
      <c r="G218" s="7"/>
      <c r="H218" s="7"/>
      <c r="I218" s="7"/>
      <c r="J218" s="60"/>
      <c r="K218" s="60" t="str">
        <f t="shared" si="2"/>
        <v/>
      </c>
    </row>
    <row r="219">
      <c r="A219" s="61" t="str">
        <f t="shared" si="1"/>
        <v/>
      </c>
      <c r="B219" s="73"/>
      <c r="C219" s="76"/>
      <c r="D219" s="76" t="str">
        <f>VLOOKUP(B219,'HEAD OF THE FAMILY'!B219:J1934,9,FALSE)</f>
        <v>#N/A</v>
      </c>
      <c r="E219" s="3"/>
      <c r="F219" s="3"/>
      <c r="G219" s="7"/>
      <c r="H219" s="7"/>
      <c r="I219" s="7"/>
      <c r="J219" s="60"/>
      <c r="K219" s="60" t="str">
        <f t="shared" si="2"/>
        <v/>
      </c>
    </row>
    <row r="220">
      <c r="A220" s="61" t="str">
        <f t="shared" si="1"/>
        <v/>
      </c>
      <c r="B220" s="73"/>
      <c r="C220" s="76"/>
      <c r="D220" s="76" t="str">
        <f>VLOOKUP(B220,'HEAD OF THE FAMILY'!B220:J1934,9,FALSE)</f>
        <v>#N/A</v>
      </c>
      <c r="E220" s="3"/>
      <c r="F220" s="3"/>
      <c r="G220" s="7"/>
      <c r="H220" s="7"/>
      <c r="I220" s="7"/>
      <c r="J220" s="60"/>
      <c r="K220" s="60" t="str">
        <f t="shared" si="2"/>
        <v/>
      </c>
    </row>
    <row r="221">
      <c r="A221" s="61" t="str">
        <f t="shared" si="1"/>
        <v/>
      </c>
      <c r="B221" s="73"/>
      <c r="C221" s="76"/>
      <c r="D221" s="76" t="str">
        <f>VLOOKUP(B221,'HEAD OF THE FAMILY'!B221:J1934,9,FALSE)</f>
        <v>#N/A</v>
      </c>
      <c r="E221" s="3"/>
      <c r="F221" s="3"/>
      <c r="G221" s="7"/>
      <c r="H221" s="7"/>
      <c r="I221" s="7"/>
      <c r="J221" s="60"/>
      <c r="K221" s="60" t="str">
        <f t="shared" si="2"/>
        <v/>
      </c>
    </row>
    <row r="222">
      <c r="A222" s="61" t="str">
        <f t="shared" si="1"/>
        <v/>
      </c>
      <c r="B222" s="73"/>
      <c r="C222" s="76"/>
      <c r="D222" s="76" t="str">
        <f>VLOOKUP(B222,'HEAD OF THE FAMILY'!B222:J1934,9,FALSE)</f>
        <v>#N/A</v>
      </c>
      <c r="E222" s="3"/>
      <c r="F222" s="3"/>
      <c r="G222" s="7"/>
      <c r="H222" s="7"/>
      <c r="I222" s="7"/>
      <c r="J222" s="60"/>
      <c r="K222" s="60" t="str">
        <f t="shared" si="2"/>
        <v/>
      </c>
    </row>
    <row r="223">
      <c r="A223" s="61" t="str">
        <f t="shared" si="1"/>
        <v/>
      </c>
      <c r="B223" s="73"/>
      <c r="C223" s="76"/>
      <c r="D223" s="76" t="str">
        <f>VLOOKUP(B223,'HEAD OF THE FAMILY'!B223:J1934,9,FALSE)</f>
        <v>#N/A</v>
      </c>
      <c r="E223" s="3"/>
      <c r="F223" s="3"/>
      <c r="G223" s="7"/>
      <c r="H223" s="7"/>
      <c r="I223" s="7"/>
      <c r="J223" s="60"/>
      <c r="K223" s="60" t="str">
        <f t="shared" si="2"/>
        <v/>
      </c>
    </row>
    <row r="224">
      <c r="A224" s="61" t="str">
        <f t="shared" si="1"/>
        <v/>
      </c>
      <c r="B224" s="73"/>
      <c r="C224" s="76"/>
      <c r="D224" s="76" t="str">
        <f>VLOOKUP(B224,'HEAD OF THE FAMILY'!B224:J1934,9,FALSE)</f>
        <v>#N/A</v>
      </c>
      <c r="E224" s="3"/>
      <c r="F224" s="3"/>
      <c r="G224" s="7"/>
      <c r="H224" s="7"/>
      <c r="I224" s="7"/>
      <c r="J224" s="60"/>
      <c r="K224" s="60" t="str">
        <f t="shared" si="2"/>
        <v/>
      </c>
    </row>
    <row r="225">
      <c r="A225" s="61" t="str">
        <f t="shared" si="1"/>
        <v/>
      </c>
      <c r="B225" s="73"/>
      <c r="C225" s="76"/>
      <c r="D225" s="76" t="str">
        <f>VLOOKUP(B225,'HEAD OF THE FAMILY'!B225:J1934,9,FALSE)</f>
        <v>#N/A</v>
      </c>
      <c r="E225" s="3"/>
      <c r="F225" s="3"/>
      <c r="G225" s="7"/>
      <c r="H225" s="7"/>
      <c r="I225" s="7"/>
      <c r="J225" s="60"/>
      <c r="K225" s="60" t="str">
        <f t="shared" si="2"/>
        <v/>
      </c>
    </row>
    <row r="226">
      <c r="A226" s="61" t="str">
        <f t="shared" si="1"/>
        <v/>
      </c>
      <c r="B226" s="73"/>
      <c r="C226" s="76"/>
      <c r="D226" s="76" t="str">
        <f>VLOOKUP(B226,'HEAD OF THE FAMILY'!B226:J1934,9,FALSE)</f>
        <v>#N/A</v>
      </c>
      <c r="E226" s="3"/>
      <c r="F226" s="3"/>
      <c r="G226" s="7"/>
      <c r="H226" s="7"/>
      <c r="I226" s="7"/>
      <c r="J226" s="60"/>
      <c r="K226" s="60" t="str">
        <f t="shared" si="2"/>
        <v/>
      </c>
    </row>
    <row r="227">
      <c r="A227" s="61" t="str">
        <f t="shared" si="1"/>
        <v/>
      </c>
      <c r="B227" s="73"/>
      <c r="C227" s="76"/>
      <c r="D227" s="76" t="str">
        <f>VLOOKUP(B227,'HEAD OF THE FAMILY'!B227:J1934,9,FALSE)</f>
        <v>#N/A</v>
      </c>
      <c r="E227" s="3"/>
      <c r="F227" s="3"/>
      <c r="G227" s="7"/>
      <c r="H227" s="7"/>
      <c r="I227" s="7"/>
      <c r="J227" s="60"/>
      <c r="K227" s="60" t="str">
        <f t="shared" si="2"/>
        <v/>
      </c>
    </row>
    <row r="228">
      <c r="A228" s="61" t="str">
        <f t="shared" si="1"/>
        <v/>
      </c>
      <c r="B228" s="73"/>
      <c r="C228" s="76"/>
      <c r="D228" s="76" t="str">
        <f>VLOOKUP(B228,'HEAD OF THE FAMILY'!B228:J1934,9,FALSE)</f>
        <v>#N/A</v>
      </c>
      <c r="E228" s="3"/>
      <c r="F228" s="3"/>
      <c r="G228" s="7"/>
      <c r="H228" s="7"/>
      <c r="I228" s="7"/>
      <c r="J228" s="60"/>
      <c r="K228" s="60" t="str">
        <f t="shared" si="2"/>
        <v/>
      </c>
    </row>
    <row r="229">
      <c r="A229" s="61" t="str">
        <f t="shared" si="1"/>
        <v/>
      </c>
      <c r="B229" s="73"/>
      <c r="C229" s="76"/>
      <c r="D229" s="76" t="str">
        <f>VLOOKUP(B229,'HEAD OF THE FAMILY'!B229:J1934,9,FALSE)</f>
        <v>#N/A</v>
      </c>
      <c r="E229" s="3"/>
      <c r="F229" s="3"/>
      <c r="G229" s="7"/>
      <c r="H229" s="7"/>
      <c r="I229" s="7"/>
      <c r="J229" s="60"/>
      <c r="K229" s="60" t="str">
        <f t="shared" si="2"/>
        <v/>
      </c>
    </row>
    <row r="230">
      <c r="A230" s="61" t="str">
        <f t="shared" si="1"/>
        <v/>
      </c>
      <c r="B230" s="73"/>
      <c r="C230" s="76"/>
      <c r="D230" s="76" t="str">
        <f>VLOOKUP(B230,'HEAD OF THE FAMILY'!B230:J1934,9,FALSE)</f>
        <v>#N/A</v>
      </c>
      <c r="E230" s="3"/>
      <c r="F230" s="3"/>
      <c r="G230" s="7"/>
      <c r="H230" s="7"/>
      <c r="I230" s="7"/>
      <c r="J230" s="60"/>
      <c r="K230" s="60" t="str">
        <f t="shared" si="2"/>
        <v/>
      </c>
    </row>
    <row r="231">
      <c r="A231" s="61" t="str">
        <f t="shared" si="1"/>
        <v/>
      </c>
      <c r="B231" s="73"/>
      <c r="C231" s="76"/>
      <c r="D231" s="76" t="str">
        <f>VLOOKUP(B231,'HEAD OF THE FAMILY'!B231:J1934,9,FALSE)</f>
        <v>#N/A</v>
      </c>
      <c r="E231" s="3"/>
      <c r="F231" s="3"/>
      <c r="G231" s="7"/>
      <c r="H231" s="7"/>
      <c r="I231" s="7"/>
      <c r="J231" s="60"/>
      <c r="K231" s="60" t="str">
        <f t="shared" si="2"/>
        <v/>
      </c>
    </row>
    <row r="232">
      <c r="A232" s="61" t="str">
        <f t="shared" si="1"/>
        <v/>
      </c>
      <c r="B232" s="73"/>
      <c r="C232" s="76"/>
      <c r="D232" s="76" t="str">
        <f>VLOOKUP(B232,'HEAD OF THE FAMILY'!B232:J1934,9,FALSE)</f>
        <v>#N/A</v>
      </c>
      <c r="E232" s="3"/>
      <c r="F232" s="3"/>
      <c r="G232" s="7"/>
      <c r="H232" s="7"/>
      <c r="I232" s="7"/>
      <c r="J232" s="60"/>
      <c r="K232" s="60" t="str">
        <f t="shared" si="2"/>
        <v/>
      </c>
    </row>
    <row r="233">
      <c r="A233" s="61" t="str">
        <f t="shared" si="1"/>
        <v/>
      </c>
      <c r="B233" s="73"/>
      <c r="C233" s="76"/>
      <c r="D233" s="76" t="str">
        <f>VLOOKUP(B233,'HEAD OF THE FAMILY'!B233:J1934,9,FALSE)</f>
        <v>#N/A</v>
      </c>
      <c r="E233" s="3"/>
      <c r="F233" s="3"/>
      <c r="G233" s="7"/>
      <c r="H233" s="7"/>
      <c r="I233" s="7"/>
      <c r="J233" s="60"/>
      <c r="K233" s="60" t="str">
        <f t="shared" si="2"/>
        <v/>
      </c>
    </row>
    <row r="234">
      <c r="A234" s="61" t="str">
        <f t="shared" si="1"/>
        <v/>
      </c>
      <c r="B234" s="73"/>
      <c r="C234" s="76"/>
      <c r="D234" s="76" t="str">
        <f>VLOOKUP(B234,'HEAD OF THE FAMILY'!B234:J1934,9,FALSE)</f>
        <v>#N/A</v>
      </c>
      <c r="E234" s="3"/>
      <c r="F234" s="3"/>
      <c r="G234" s="7"/>
      <c r="H234" s="7"/>
      <c r="I234" s="7"/>
      <c r="J234" s="60"/>
      <c r="K234" s="60" t="str">
        <f t="shared" si="2"/>
        <v/>
      </c>
    </row>
    <row r="235">
      <c r="A235" s="61" t="str">
        <f t="shared" si="1"/>
        <v/>
      </c>
      <c r="B235" s="73"/>
      <c r="C235" s="76"/>
      <c r="D235" s="76" t="str">
        <f>VLOOKUP(B235,'HEAD OF THE FAMILY'!B235:J1934,9,FALSE)</f>
        <v>#N/A</v>
      </c>
      <c r="E235" s="3"/>
      <c r="F235" s="3"/>
      <c r="G235" s="7"/>
      <c r="H235" s="7"/>
      <c r="I235" s="7"/>
      <c r="J235" s="60"/>
      <c r="K235" s="60" t="str">
        <f t="shared" si="2"/>
        <v/>
      </c>
    </row>
    <row r="236">
      <c r="A236" s="61" t="str">
        <f t="shared" si="1"/>
        <v/>
      </c>
      <c r="B236" s="73"/>
      <c r="C236" s="76"/>
      <c r="D236" s="76" t="str">
        <f>VLOOKUP(B236,'HEAD OF THE FAMILY'!B236:J1934,9,FALSE)</f>
        <v>#N/A</v>
      </c>
      <c r="E236" s="3"/>
      <c r="F236" s="3"/>
      <c r="G236" s="7"/>
      <c r="H236" s="7"/>
      <c r="I236" s="7"/>
      <c r="J236" s="60"/>
      <c r="K236" s="60" t="str">
        <f t="shared" si="2"/>
        <v/>
      </c>
    </row>
    <row r="237">
      <c r="A237" s="61" t="str">
        <f t="shared" si="1"/>
        <v/>
      </c>
      <c r="B237" s="73"/>
      <c r="C237" s="76"/>
      <c r="D237" s="76" t="str">
        <f>VLOOKUP(B237,'HEAD OF THE FAMILY'!B237:J1934,9,FALSE)</f>
        <v>#N/A</v>
      </c>
      <c r="E237" s="3"/>
      <c r="F237" s="3"/>
      <c r="G237" s="7"/>
      <c r="H237" s="7"/>
      <c r="I237" s="7"/>
      <c r="J237" s="60"/>
      <c r="K237" s="60" t="str">
        <f t="shared" si="2"/>
        <v/>
      </c>
    </row>
    <row r="238">
      <c r="A238" s="61" t="str">
        <f t="shared" si="1"/>
        <v/>
      </c>
      <c r="B238" s="73"/>
      <c r="C238" s="76"/>
      <c r="D238" s="76" t="str">
        <f>VLOOKUP(B238,'HEAD OF THE FAMILY'!B238:J1934,9,FALSE)</f>
        <v>#N/A</v>
      </c>
      <c r="E238" s="3"/>
      <c r="F238" s="3"/>
      <c r="G238" s="7"/>
      <c r="H238" s="7"/>
      <c r="I238" s="7"/>
      <c r="J238" s="60"/>
      <c r="K238" s="60" t="str">
        <f t="shared" si="2"/>
        <v/>
      </c>
    </row>
    <row r="239">
      <c r="A239" s="61" t="str">
        <f t="shared" si="1"/>
        <v/>
      </c>
      <c r="B239" s="73"/>
      <c r="C239" s="76"/>
      <c r="D239" s="76" t="str">
        <f>VLOOKUP(B239,'HEAD OF THE FAMILY'!B239:J1934,9,FALSE)</f>
        <v>#N/A</v>
      </c>
      <c r="E239" s="3"/>
      <c r="F239" s="3"/>
      <c r="G239" s="7"/>
      <c r="H239" s="7"/>
      <c r="I239" s="7"/>
      <c r="J239" s="60"/>
      <c r="K239" s="60" t="str">
        <f t="shared" si="2"/>
        <v/>
      </c>
    </row>
    <row r="240">
      <c r="A240" s="61" t="str">
        <f t="shared" si="1"/>
        <v/>
      </c>
      <c r="B240" s="73"/>
      <c r="C240" s="76"/>
      <c r="D240" s="76" t="str">
        <f>VLOOKUP(B240,'HEAD OF THE FAMILY'!B240:J1934,9,FALSE)</f>
        <v>#N/A</v>
      </c>
      <c r="E240" s="3"/>
      <c r="F240" s="3"/>
      <c r="G240" s="7"/>
      <c r="H240" s="7"/>
      <c r="I240" s="7"/>
      <c r="J240" s="60"/>
      <c r="K240" s="60" t="str">
        <f t="shared" si="2"/>
        <v/>
      </c>
    </row>
    <row r="241">
      <c r="A241" s="61" t="str">
        <f t="shared" si="1"/>
        <v/>
      </c>
      <c r="B241" s="73"/>
      <c r="C241" s="76"/>
      <c r="D241" s="76" t="str">
        <f>VLOOKUP(B241,'HEAD OF THE FAMILY'!B241:J1934,9,FALSE)</f>
        <v>#N/A</v>
      </c>
      <c r="E241" s="3"/>
      <c r="F241" s="3"/>
      <c r="G241" s="7"/>
      <c r="H241" s="7"/>
      <c r="I241" s="7"/>
      <c r="J241" s="60"/>
      <c r="K241" s="60" t="str">
        <f t="shared" si="2"/>
        <v/>
      </c>
    </row>
    <row r="242">
      <c r="A242" s="61" t="str">
        <f t="shared" si="1"/>
        <v/>
      </c>
      <c r="B242" s="73"/>
      <c r="C242" s="76"/>
      <c r="D242" s="76" t="str">
        <f>VLOOKUP(B242,'HEAD OF THE FAMILY'!B242:J1934,9,FALSE)</f>
        <v>#N/A</v>
      </c>
      <c r="E242" s="3"/>
      <c r="F242" s="3"/>
      <c r="G242" s="7"/>
      <c r="H242" s="7"/>
      <c r="I242" s="7"/>
      <c r="J242" s="60"/>
      <c r="K242" s="60" t="str">
        <f t="shared" si="2"/>
        <v/>
      </c>
    </row>
    <row r="243">
      <c r="A243" s="61" t="str">
        <f t="shared" si="1"/>
        <v/>
      </c>
      <c r="B243" s="73"/>
      <c r="C243" s="76"/>
      <c r="D243" s="76" t="str">
        <f>VLOOKUP(B243,'HEAD OF THE FAMILY'!B243:J1934,9,FALSE)</f>
        <v>#N/A</v>
      </c>
      <c r="E243" s="3"/>
      <c r="F243" s="3"/>
      <c r="G243" s="7"/>
      <c r="H243" s="7"/>
      <c r="I243" s="7"/>
      <c r="J243" s="60"/>
      <c r="K243" s="60" t="str">
        <f t="shared" si="2"/>
        <v/>
      </c>
    </row>
    <row r="244">
      <c r="A244" s="61" t="str">
        <f t="shared" si="1"/>
        <v/>
      </c>
      <c r="B244" s="73"/>
      <c r="C244" s="76"/>
      <c r="D244" s="76" t="str">
        <f>VLOOKUP(B244,'HEAD OF THE FAMILY'!B244:J1934,9,FALSE)</f>
        <v>#N/A</v>
      </c>
      <c r="E244" s="3"/>
      <c r="F244" s="3"/>
      <c r="G244" s="7"/>
      <c r="H244" s="7"/>
      <c r="I244" s="7"/>
      <c r="J244" s="60"/>
      <c r="K244" s="60" t="str">
        <f t="shared" si="2"/>
        <v/>
      </c>
    </row>
    <row r="245">
      <c r="A245" s="61" t="str">
        <f t="shared" si="1"/>
        <v/>
      </c>
      <c r="B245" s="73"/>
      <c r="C245" s="76"/>
      <c r="D245" s="76" t="str">
        <f>VLOOKUP(B245,'HEAD OF THE FAMILY'!B245:J1934,9,FALSE)</f>
        <v>#N/A</v>
      </c>
      <c r="E245" s="3"/>
      <c r="F245" s="3"/>
      <c r="G245" s="7"/>
      <c r="H245" s="7"/>
      <c r="I245" s="7"/>
      <c r="J245" s="60"/>
      <c r="K245" s="60" t="str">
        <f t="shared" si="2"/>
        <v/>
      </c>
    </row>
    <row r="246">
      <c r="A246" s="61" t="str">
        <f t="shared" si="1"/>
        <v/>
      </c>
      <c r="B246" s="73"/>
      <c r="C246" s="76"/>
      <c r="D246" s="76" t="str">
        <f>VLOOKUP(B246,'HEAD OF THE FAMILY'!B246:J1934,9,FALSE)</f>
        <v>#N/A</v>
      </c>
      <c r="E246" s="3"/>
      <c r="F246" s="3"/>
      <c r="G246" s="7"/>
      <c r="H246" s="7"/>
      <c r="I246" s="7"/>
      <c r="J246" s="60"/>
      <c r="K246" s="60" t="str">
        <f t="shared" si="2"/>
        <v/>
      </c>
    </row>
    <row r="247">
      <c r="A247" s="61" t="str">
        <f t="shared" si="1"/>
        <v/>
      </c>
      <c r="B247" s="73"/>
      <c r="C247" s="76"/>
      <c r="D247" s="76" t="str">
        <f>VLOOKUP(B247,'HEAD OF THE FAMILY'!B247:J1934,9,FALSE)</f>
        <v>#N/A</v>
      </c>
      <c r="E247" s="3"/>
      <c r="F247" s="3"/>
      <c r="G247" s="7"/>
      <c r="H247" s="7"/>
      <c r="I247" s="7"/>
      <c r="J247" s="60"/>
      <c r="K247" s="60" t="str">
        <f t="shared" si="2"/>
        <v/>
      </c>
    </row>
    <row r="248">
      <c r="A248" s="61" t="str">
        <f t="shared" si="1"/>
        <v/>
      </c>
      <c r="B248" s="73"/>
      <c r="C248" s="76"/>
      <c r="D248" s="76" t="str">
        <f>VLOOKUP(B248,'HEAD OF THE FAMILY'!B248:J1934,9,FALSE)</f>
        <v>#N/A</v>
      </c>
      <c r="E248" s="3"/>
      <c r="F248" s="3"/>
      <c r="G248" s="7"/>
      <c r="H248" s="7"/>
      <c r="I248" s="7"/>
      <c r="J248" s="60"/>
      <c r="K248" s="60" t="str">
        <f t="shared" si="2"/>
        <v/>
      </c>
    </row>
    <row r="249">
      <c r="A249" s="61" t="str">
        <f t="shared" si="1"/>
        <v/>
      </c>
      <c r="B249" s="73"/>
      <c r="C249" s="76"/>
      <c r="D249" s="76" t="str">
        <f>VLOOKUP(B249,'HEAD OF THE FAMILY'!B249:J1934,9,FALSE)</f>
        <v>#N/A</v>
      </c>
      <c r="E249" s="3"/>
      <c r="F249" s="3"/>
      <c r="G249" s="7"/>
      <c r="H249" s="7"/>
      <c r="I249" s="7"/>
      <c r="J249" s="60"/>
      <c r="K249" s="60" t="str">
        <f t="shared" si="2"/>
        <v/>
      </c>
    </row>
    <row r="250">
      <c r="A250" s="61" t="str">
        <f t="shared" si="1"/>
        <v/>
      </c>
      <c r="B250" s="73"/>
      <c r="C250" s="76"/>
      <c r="D250" s="76" t="str">
        <f>VLOOKUP(B250,'HEAD OF THE FAMILY'!B250:J1934,9,FALSE)</f>
        <v>#N/A</v>
      </c>
      <c r="E250" s="3"/>
      <c r="F250" s="3"/>
      <c r="G250" s="7"/>
      <c r="H250" s="7"/>
      <c r="I250" s="7"/>
      <c r="J250" s="60"/>
      <c r="K250" s="60" t="str">
        <f t="shared" si="2"/>
        <v/>
      </c>
    </row>
    <row r="251">
      <c r="A251" s="61" t="str">
        <f t="shared" si="1"/>
        <v/>
      </c>
      <c r="B251" s="73"/>
      <c r="C251" s="76"/>
      <c r="D251" s="76" t="str">
        <f>VLOOKUP(B251,'HEAD OF THE FAMILY'!B251:J1934,9,FALSE)</f>
        <v>#N/A</v>
      </c>
      <c r="E251" s="3"/>
      <c r="F251" s="3"/>
      <c r="G251" s="7"/>
      <c r="H251" s="7"/>
      <c r="I251" s="7"/>
      <c r="J251" s="60"/>
      <c r="K251" s="60" t="str">
        <f t="shared" si="2"/>
        <v/>
      </c>
    </row>
    <row r="252">
      <c r="A252" s="61" t="str">
        <f t="shared" si="1"/>
        <v/>
      </c>
      <c r="B252" s="73"/>
      <c r="C252" s="76"/>
      <c r="D252" s="76" t="str">
        <f>VLOOKUP(B252,'HEAD OF THE FAMILY'!B252:J1934,9,FALSE)</f>
        <v>#N/A</v>
      </c>
      <c r="E252" s="3"/>
      <c r="F252" s="3"/>
      <c r="G252" s="7"/>
      <c r="H252" s="7"/>
      <c r="I252" s="7"/>
      <c r="J252" s="60"/>
      <c r="K252" s="60" t="str">
        <f t="shared" si="2"/>
        <v/>
      </c>
    </row>
    <row r="253">
      <c r="A253" s="61" t="str">
        <f t="shared" si="1"/>
        <v/>
      </c>
      <c r="B253" s="73"/>
      <c r="C253" s="76"/>
      <c r="D253" s="76" t="str">
        <f>VLOOKUP(B253,'HEAD OF THE FAMILY'!B253:J1934,9,FALSE)</f>
        <v>#N/A</v>
      </c>
      <c r="E253" s="3"/>
      <c r="F253" s="3"/>
      <c r="G253" s="7"/>
      <c r="H253" s="7"/>
      <c r="I253" s="7"/>
      <c r="J253" s="60"/>
      <c r="K253" s="60" t="str">
        <f t="shared" si="2"/>
        <v/>
      </c>
    </row>
    <row r="254">
      <c r="A254" s="61" t="str">
        <f t="shared" si="1"/>
        <v/>
      </c>
      <c r="B254" s="73"/>
      <c r="C254" s="76"/>
      <c r="D254" s="76" t="str">
        <f>VLOOKUP(B254,'HEAD OF THE FAMILY'!B254:J1934,9,FALSE)</f>
        <v>#N/A</v>
      </c>
      <c r="E254" s="3"/>
      <c r="F254" s="3"/>
      <c r="G254" s="7"/>
      <c r="H254" s="7"/>
      <c r="I254" s="7"/>
      <c r="J254" s="60"/>
      <c r="K254" s="60" t="str">
        <f t="shared" si="2"/>
        <v/>
      </c>
    </row>
    <row r="255">
      <c r="A255" s="61" t="str">
        <f t="shared" si="1"/>
        <v/>
      </c>
      <c r="B255" s="73"/>
      <c r="C255" s="76"/>
      <c r="D255" s="76" t="str">
        <f>VLOOKUP(B255,'HEAD OF THE FAMILY'!B255:J1934,9,FALSE)</f>
        <v>#N/A</v>
      </c>
      <c r="E255" s="3"/>
      <c r="F255" s="3"/>
      <c r="G255" s="7"/>
      <c r="H255" s="7"/>
      <c r="I255" s="7"/>
      <c r="J255" s="60"/>
      <c r="K255" s="60" t="str">
        <f t="shared" si="2"/>
        <v/>
      </c>
    </row>
    <row r="256">
      <c r="A256" s="61" t="str">
        <f t="shared" si="1"/>
        <v/>
      </c>
      <c r="B256" s="73"/>
      <c r="C256" s="76"/>
      <c r="D256" s="76" t="str">
        <f>VLOOKUP(B256,'HEAD OF THE FAMILY'!B256:J1934,9,FALSE)</f>
        <v>#N/A</v>
      </c>
      <c r="E256" s="3"/>
      <c r="F256" s="3"/>
      <c r="G256" s="7"/>
      <c r="H256" s="7"/>
      <c r="I256" s="7"/>
      <c r="J256" s="60"/>
      <c r="K256" s="60" t="str">
        <f t="shared" si="2"/>
        <v/>
      </c>
    </row>
    <row r="257">
      <c r="A257" s="61" t="str">
        <f t="shared" si="1"/>
        <v/>
      </c>
      <c r="B257" s="73"/>
      <c r="C257" s="76"/>
      <c r="D257" s="76" t="str">
        <f>VLOOKUP(B257,'HEAD OF THE FAMILY'!B257:J1934,9,FALSE)</f>
        <v>#N/A</v>
      </c>
      <c r="E257" s="3"/>
      <c r="F257" s="3"/>
      <c r="G257" s="7"/>
      <c r="H257" s="7"/>
      <c r="I257" s="7"/>
      <c r="J257" s="60"/>
      <c r="K257" s="60" t="str">
        <f t="shared" si="2"/>
        <v/>
      </c>
    </row>
    <row r="258">
      <c r="A258" s="61" t="str">
        <f t="shared" si="1"/>
        <v/>
      </c>
      <c r="B258" s="73"/>
      <c r="C258" s="76"/>
      <c r="D258" s="76" t="str">
        <f>VLOOKUP(B258,'HEAD OF THE FAMILY'!B258:J1934,9,FALSE)</f>
        <v>#N/A</v>
      </c>
      <c r="E258" s="3"/>
      <c r="F258" s="3"/>
      <c r="G258" s="7"/>
      <c r="H258" s="7"/>
      <c r="I258" s="7"/>
      <c r="J258" s="60"/>
      <c r="K258" s="60" t="str">
        <f t="shared" si="2"/>
        <v/>
      </c>
    </row>
    <row r="259">
      <c r="A259" s="61" t="str">
        <f t="shared" si="1"/>
        <v/>
      </c>
      <c r="B259" s="73"/>
      <c r="C259" s="76"/>
      <c r="D259" s="76" t="str">
        <f>VLOOKUP(B259,'HEAD OF THE FAMILY'!B259:J1934,9,FALSE)</f>
        <v>#N/A</v>
      </c>
      <c r="E259" s="3"/>
      <c r="F259" s="3"/>
      <c r="G259" s="7"/>
      <c r="H259" s="7"/>
      <c r="I259" s="7"/>
      <c r="J259" s="60"/>
      <c r="K259" s="60" t="str">
        <f t="shared" si="2"/>
        <v/>
      </c>
    </row>
    <row r="260">
      <c r="A260" s="61" t="str">
        <f t="shared" si="1"/>
        <v/>
      </c>
      <c r="B260" s="73"/>
      <c r="C260" s="76"/>
      <c r="D260" s="76" t="str">
        <f>VLOOKUP(B260,'HEAD OF THE FAMILY'!B260:J1934,9,FALSE)</f>
        <v>#N/A</v>
      </c>
      <c r="E260" s="3"/>
      <c r="F260" s="3"/>
      <c r="G260" s="7"/>
      <c r="H260" s="7"/>
      <c r="I260" s="7"/>
      <c r="J260" s="60"/>
      <c r="K260" s="60" t="str">
        <f t="shared" si="2"/>
        <v/>
      </c>
    </row>
    <row r="261">
      <c r="A261" s="61" t="str">
        <f t="shared" si="1"/>
        <v/>
      </c>
      <c r="B261" s="73"/>
      <c r="C261" s="76"/>
      <c r="D261" s="76" t="str">
        <f>VLOOKUP(B261,'HEAD OF THE FAMILY'!B261:J1934,9,FALSE)</f>
        <v>#N/A</v>
      </c>
      <c r="E261" s="3"/>
      <c r="F261" s="3"/>
      <c r="G261" s="7"/>
      <c r="H261" s="7"/>
      <c r="I261" s="7"/>
      <c r="J261" s="60"/>
      <c r="K261" s="60" t="str">
        <f t="shared" si="2"/>
        <v/>
      </c>
    </row>
    <row r="262">
      <c r="A262" s="61" t="str">
        <f t="shared" si="1"/>
        <v/>
      </c>
      <c r="B262" s="73"/>
      <c r="C262" s="76"/>
      <c r="D262" s="76" t="str">
        <f>VLOOKUP(B262,'HEAD OF THE FAMILY'!B262:J1934,9,FALSE)</f>
        <v>#N/A</v>
      </c>
      <c r="E262" s="3"/>
      <c r="F262" s="3"/>
      <c r="G262" s="7"/>
      <c r="H262" s="7"/>
      <c r="I262" s="7"/>
      <c r="J262" s="60"/>
      <c r="K262" s="60" t="str">
        <f t="shared" si="2"/>
        <v/>
      </c>
    </row>
    <row r="263">
      <c r="A263" s="61" t="str">
        <f t="shared" si="1"/>
        <v/>
      </c>
      <c r="B263" s="73"/>
      <c r="C263" s="76"/>
      <c r="D263" s="76" t="str">
        <f>VLOOKUP(B263,'HEAD OF THE FAMILY'!B263:J1934,9,FALSE)</f>
        <v>#N/A</v>
      </c>
      <c r="E263" s="3"/>
      <c r="F263" s="3"/>
      <c r="G263" s="7"/>
      <c r="H263" s="7"/>
      <c r="I263" s="7"/>
      <c r="J263" s="60"/>
      <c r="K263" s="60" t="str">
        <f t="shared" si="2"/>
        <v/>
      </c>
    </row>
    <row r="264">
      <c r="A264" s="61" t="str">
        <f t="shared" si="1"/>
        <v/>
      </c>
      <c r="B264" s="73"/>
      <c r="C264" s="76"/>
      <c r="D264" s="76" t="str">
        <f>VLOOKUP(B264,'HEAD OF THE FAMILY'!B264:J1934,9,FALSE)</f>
        <v>#N/A</v>
      </c>
      <c r="E264" s="3"/>
      <c r="F264" s="3"/>
      <c r="G264" s="7"/>
      <c r="H264" s="7"/>
      <c r="I264" s="7"/>
      <c r="J264" s="60"/>
      <c r="K264" s="60" t="str">
        <f t="shared" si="2"/>
        <v/>
      </c>
    </row>
    <row r="265">
      <c r="A265" s="61" t="str">
        <f t="shared" si="1"/>
        <v/>
      </c>
      <c r="B265" s="73"/>
      <c r="C265" s="76"/>
      <c r="D265" s="76" t="str">
        <f>VLOOKUP(B265,'HEAD OF THE FAMILY'!B265:J1934,9,FALSE)</f>
        <v>#N/A</v>
      </c>
      <c r="E265" s="3"/>
      <c r="F265" s="3"/>
      <c r="G265" s="7"/>
      <c r="H265" s="7"/>
      <c r="I265" s="7"/>
      <c r="J265" s="60"/>
      <c r="K265" s="60" t="str">
        <f t="shared" si="2"/>
        <v/>
      </c>
    </row>
    <row r="266">
      <c r="A266" s="61" t="str">
        <f t="shared" si="1"/>
        <v/>
      </c>
      <c r="B266" s="73"/>
      <c r="C266" s="76"/>
      <c r="D266" s="76" t="str">
        <f>VLOOKUP(B266,'HEAD OF THE FAMILY'!B266:J1934,9,FALSE)</f>
        <v>#N/A</v>
      </c>
      <c r="E266" s="3"/>
      <c r="F266" s="3"/>
      <c r="G266" s="7"/>
      <c r="H266" s="7"/>
      <c r="I266" s="7"/>
      <c r="J266" s="60"/>
      <c r="K266" s="60" t="str">
        <f t="shared" si="2"/>
        <v/>
      </c>
    </row>
    <row r="267">
      <c r="A267" s="61" t="str">
        <f t="shared" si="1"/>
        <v/>
      </c>
      <c r="B267" s="73"/>
      <c r="C267" s="76"/>
      <c r="D267" s="76" t="str">
        <f>VLOOKUP(B267,'HEAD OF THE FAMILY'!B267:J1934,9,FALSE)</f>
        <v>#N/A</v>
      </c>
      <c r="E267" s="3"/>
      <c r="F267" s="3"/>
      <c r="G267" s="7"/>
      <c r="H267" s="7"/>
      <c r="I267" s="7"/>
      <c r="J267" s="60"/>
      <c r="K267" s="60" t="str">
        <f t="shared" si="2"/>
        <v/>
      </c>
    </row>
    <row r="268">
      <c r="A268" s="61" t="str">
        <f t="shared" si="1"/>
        <v/>
      </c>
      <c r="B268" s="73"/>
      <c r="C268" s="76"/>
      <c r="D268" s="76" t="str">
        <f>VLOOKUP(B268,'HEAD OF THE FAMILY'!B268:J1934,9,FALSE)</f>
        <v>#N/A</v>
      </c>
      <c r="E268" s="3"/>
      <c r="F268" s="3"/>
      <c r="G268" s="7"/>
      <c r="H268" s="7"/>
      <c r="I268" s="7"/>
      <c r="J268" s="60"/>
      <c r="K268" s="60" t="str">
        <f t="shared" si="2"/>
        <v/>
      </c>
    </row>
    <row r="269">
      <c r="A269" s="61" t="str">
        <f t="shared" si="1"/>
        <v/>
      </c>
      <c r="B269" s="73"/>
      <c r="C269" s="76"/>
      <c r="D269" s="76" t="str">
        <f>VLOOKUP(B269,'HEAD OF THE FAMILY'!B269:J1934,9,FALSE)</f>
        <v>#N/A</v>
      </c>
      <c r="E269" s="3"/>
      <c r="F269" s="3"/>
      <c r="G269" s="7"/>
      <c r="H269" s="7"/>
      <c r="I269" s="7"/>
      <c r="J269" s="60"/>
      <c r="K269" s="60" t="str">
        <f t="shared" si="2"/>
        <v/>
      </c>
    </row>
    <row r="270">
      <c r="A270" s="61" t="str">
        <f t="shared" si="1"/>
        <v/>
      </c>
      <c r="B270" s="73"/>
      <c r="C270" s="76"/>
      <c r="D270" s="76" t="str">
        <f>VLOOKUP(B270,'HEAD OF THE FAMILY'!B270:J1934,9,FALSE)</f>
        <v>#N/A</v>
      </c>
      <c r="E270" s="3"/>
      <c r="F270" s="3"/>
      <c r="G270" s="7"/>
      <c r="H270" s="7"/>
      <c r="I270" s="7"/>
      <c r="J270" s="60"/>
      <c r="K270" s="60" t="str">
        <f t="shared" si="2"/>
        <v/>
      </c>
    </row>
    <row r="271">
      <c r="A271" s="61" t="str">
        <f t="shared" si="1"/>
        <v/>
      </c>
      <c r="B271" s="73"/>
      <c r="C271" s="76"/>
      <c r="D271" s="76" t="str">
        <f>VLOOKUP(B271,'HEAD OF THE FAMILY'!B271:J1934,9,FALSE)</f>
        <v>#N/A</v>
      </c>
      <c r="E271" s="3"/>
      <c r="F271" s="3"/>
      <c r="G271" s="7"/>
      <c r="H271" s="7"/>
      <c r="I271" s="7"/>
      <c r="J271" s="60"/>
      <c r="K271" s="60" t="str">
        <f t="shared" si="2"/>
        <v/>
      </c>
    </row>
    <row r="272">
      <c r="A272" s="61" t="str">
        <f t="shared" si="1"/>
        <v/>
      </c>
      <c r="B272" s="73"/>
      <c r="C272" s="76"/>
      <c r="D272" s="76" t="str">
        <f>VLOOKUP(B272,'HEAD OF THE FAMILY'!B272:J1934,9,FALSE)</f>
        <v>#N/A</v>
      </c>
      <c r="E272" s="3"/>
      <c r="F272" s="3"/>
      <c r="G272" s="7"/>
      <c r="H272" s="7"/>
      <c r="I272" s="7"/>
      <c r="J272" s="60"/>
      <c r="K272" s="60" t="str">
        <f t="shared" si="2"/>
        <v/>
      </c>
    </row>
    <row r="273">
      <c r="A273" s="61" t="str">
        <f t="shared" si="1"/>
        <v/>
      </c>
      <c r="B273" s="73"/>
      <c r="C273" s="76"/>
      <c r="D273" s="76" t="str">
        <f>VLOOKUP(B273,'HEAD OF THE FAMILY'!B273:J1934,9,FALSE)</f>
        <v>#N/A</v>
      </c>
      <c r="E273" s="3"/>
      <c r="F273" s="3"/>
      <c r="G273" s="7"/>
      <c r="H273" s="7"/>
      <c r="I273" s="7"/>
      <c r="J273" s="60"/>
      <c r="K273" s="60" t="str">
        <f t="shared" si="2"/>
        <v/>
      </c>
    </row>
    <row r="274">
      <c r="A274" s="61" t="str">
        <f t="shared" si="1"/>
        <v/>
      </c>
      <c r="B274" s="73"/>
      <c r="C274" s="76"/>
      <c r="D274" s="76" t="str">
        <f>VLOOKUP(B274,'HEAD OF THE FAMILY'!B274:J1934,9,FALSE)</f>
        <v>#N/A</v>
      </c>
      <c r="E274" s="3"/>
      <c r="F274" s="3"/>
      <c r="G274" s="7"/>
      <c r="H274" s="7"/>
      <c r="I274" s="7"/>
      <c r="J274" s="60"/>
      <c r="K274" s="60" t="str">
        <f t="shared" si="2"/>
        <v/>
      </c>
    </row>
    <row r="275">
      <c r="A275" s="61" t="str">
        <f t="shared" si="1"/>
        <v/>
      </c>
      <c r="B275" s="73"/>
      <c r="C275" s="76"/>
      <c r="D275" s="76" t="str">
        <f>VLOOKUP(B275,'HEAD OF THE FAMILY'!B275:J1934,9,FALSE)</f>
        <v>#N/A</v>
      </c>
      <c r="E275" s="3"/>
      <c r="F275" s="3"/>
      <c r="G275" s="7"/>
      <c r="H275" s="7"/>
      <c r="I275" s="7"/>
      <c r="J275" s="60"/>
      <c r="K275" s="60" t="str">
        <f t="shared" si="2"/>
        <v/>
      </c>
    </row>
    <row r="276">
      <c r="A276" s="61" t="str">
        <f t="shared" si="1"/>
        <v/>
      </c>
      <c r="B276" s="73"/>
      <c r="C276" s="76"/>
      <c r="D276" s="76" t="str">
        <f>VLOOKUP(B276,'HEAD OF THE FAMILY'!B276:J1934,9,FALSE)</f>
        <v>#N/A</v>
      </c>
      <c r="E276" s="3"/>
      <c r="F276" s="3"/>
      <c r="G276" s="7"/>
      <c r="H276" s="7"/>
      <c r="I276" s="7"/>
      <c r="J276" s="60"/>
      <c r="K276" s="60" t="str">
        <f t="shared" si="2"/>
        <v/>
      </c>
    </row>
    <row r="277">
      <c r="A277" s="61" t="str">
        <f t="shared" si="1"/>
        <v/>
      </c>
      <c r="B277" s="73"/>
      <c r="C277" s="76"/>
      <c r="D277" s="76" t="str">
        <f>VLOOKUP(B277,'HEAD OF THE FAMILY'!B277:J1934,9,FALSE)</f>
        <v>#N/A</v>
      </c>
      <c r="E277" s="3"/>
      <c r="F277" s="3"/>
      <c r="G277" s="7"/>
      <c r="H277" s="7"/>
      <c r="I277" s="7"/>
      <c r="J277" s="60"/>
      <c r="K277" s="60" t="str">
        <f t="shared" si="2"/>
        <v/>
      </c>
    </row>
    <row r="278">
      <c r="A278" s="61" t="str">
        <f t="shared" si="1"/>
        <v/>
      </c>
      <c r="B278" s="73"/>
      <c r="C278" s="76"/>
      <c r="D278" s="76" t="str">
        <f>VLOOKUP(B278,'HEAD OF THE FAMILY'!B278:J1934,9,FALSE)</f>
        <v>#N/A</v>
      </c>
      <c r="E278" s="3"/>
      <c r="F278" s="3"/>
      <c r="G278" s="7"/>
      <c r="H278" s="7"/>
      <c r="I278" s="7"/>
      <c r="J278" s="60"/>
      <c r="K278" s="60" t="str">
        <f t="shared" si="2"/>
        <v/>
      </c>
    </row>
    <row r="279">
      <c r="A279" s="61" t="str">
        <f t="shared" si="1"/>
        <v/>
      </c>
      <c r="B279" s="73"/>
      <c r="C279" s="76"/>
      <c r="D279" s="76" t="str">
        <f>VLOOKUP(B279,'HEAD OF THE FAMILY'!B279:J1934,9,FALSE)</f>
        <v>#N/A</v>
      </c>
      <c r="E279" s="3"/>
      <c r="F279" s="3"/>
      <c r="G279" s="7"/>
      <c r="H279" s="7"/>
      <c r="I279" s="7"/>
      <c r="J279" s="60"/>
      <c r="K279" s="60" t="str">
        <f t="shared" si="2"/>
        <v/>
      </c>
    </row>
    <row r="280">
      <c r="A280" s="61" t="str">
        <f t="shared" si="1"/>
        <v/>
      </c>
      <c r="B280" s="73"/>
      <c r="C280" s="76"/>
      <c r="D280" s="76" t="str">
        <f>VLOOKUP(B280,'HEAD OF THE FAMILY'!B280:J1934,9,FALSE)</f>
        <v>#N/A</v>
      </c>
      <c r="E280" s="3"/>
      <c r="F280" s="3"/>
      <c r="G280" s="7"/>
      <c r="H280" s="7"/>
      <c r="I280" s="7"/>
      <c r="J280" s="60"/>
      <c r="K280" s="60" t="str">
        <f t="shared" si="2"/>
        <v/>
      </c>
    </row>
    <row r="281">
      <c r="A281" s="61" t="str">
        <f t="shared" si="1"/>
        <v/>
      </c>
      <c r="B281" s="73"/>
      <c r="C281" s="76"/>
      <c r="D281" s="76" t="str">
        <f>VLOOKUP(B281,'HEAD OF THE FAMILY'!B281:J1934,9,FALSE)</f>
        <v>#N/A</v>
      </c>
      <c r="E281" s="3"/>
      <c r="F281" s="3"/>
      <c r="G281" s="7"/>
      <c r="H281" s="7"/>
      <c r="I281" s="7"/>
      <c r="J281" s="60"/>
      <c r="K281" s="60" t="str">
        <f t="shared" si="2"/>
        <v/>
      </c>
    </row>
    <row r="282">
      <c r="A282" s="61" t="str">
        <f t="shared" si="1"/>
        <v/>
      </c>
      <c r="B282" s="73"/>
      <c r="C282" s="76"/>
      <c r="D282" s="76" t="str">
        <f>VLOOKUP(B282,'HEAD OF THE FAMILY'!B282:J1934,9,FALSE)</f>
        <v>#N/A</v>
      </c>
      <c r="E282" s="3"/>
      <c r="F282" s="3"/>
      <c r="G282" s="7"/>
      <c r="H282" s="7"/>
      <c r="I282" s="7"/>
      <c r="J282" s="60"/>
      <c r="K282" s="60" t="str">
        <f t="shared" si="2"/>
        <v/>
      </c>
    </row>
    <row r="283">
      <c r="A283" s="61" t="str">
        <f t="shared" si="1"/>
        <v/>
      </c>
      <c r="B283" s="73"/>
      <c r="C283" s="76"/>
      <c r="D283" s="76" t="str">
        <f>VLOOKUP(B283,'HEAD OF THE FAMILY'!B283:J1934,9,FALSE)</f>
        <v>#N/A</v>
      </c>
      <c r="E283" s="3"/>
      <c r="F283" s="3"/>
      <c r="G283" s="7"/>
      <c r="H283" s="7"/>
      <c r="I283" s="7"/>
      <c r="J283" s="60"/>
      <c r="K283" s="60" t="str">
        <f t="shared" si="2"/>
        <v/>
      </c>
    </row>
    <row r="284">
      <c r="A284" s="61" t="str">
        <f t="shared" si="1"/>
        <v/>
      </c>
      <c r="B284" s="73"/>
      <c r="C284" s="76"/>
      <c r="D284" s="76" t="str">
        <f>VLOOKUP(B284,'HEAD OF THE FAMILY'!B284:J1934,9,FALSE)</f>
        <v>#N/A</v>
      </c>
      <c r="E284" s="3"/>
      <c r="F284" s="3"/>
      <c r="G284" s="7"/>
      <c r="H284" s="7"/>
      <c r="I284" s="7"/>
      <c r="J284" s="60"/>
      <c r="K284" s="60" t="str">
        <f t="shared" si="2"/>
        <v/>
      </c>
    </row>
    <row r="285">
      <c r="A285" s="61" t="str">
        <f t="shared" si="1"/>
        <v/>
      </c>
      <c r="B285" s="73"/>
      <c r="C285" s="76"/>
      <c r="D285" s="76" t="str">
        <f>VLOOKUP(B285,'HEAD OF THE FAMILY'!B285:J1934,9,FALSE)</f>
        <v>#N/A</v>
      </c>
      <c r="E285" s="3"/>
      <c r="F285" s="3"/>
      <c r="G285" s="7"/>
      <c r="H285" s="7"/>
      <c r="I285" s="7"/>
      <c r="J285" s="60"/>
      <c r="K285" s="60" t="str">
        <f t="shared" si="2"/>
        <v/>
      </c>
    </row>
    <row r="286">
      <c r="A286" s="61" t="str">
        <f t="shared" si="1"/>
        <v/>
      </c>
      <c r="B286" s="73"/>
      <c r="C286" s="76"/>
      <c r="D286" s="76" t="str">
        <f>VLOOKUP(B286,'HEAD OF THE FAMILY'!B286:J1934,9,FALSE)</f>
        <v>#N/A</v>
      </c>
      <c r="E286" s="3"/>
      <c r="F286" s="3"/>
      <c r="G286" s="7"/>
      <c r="H286" s="7"/>
      <c r="I286" s="7"/>
      <c r="J286" s="60"/>
      <c r="K286" s="60" t="str">
        <f t="shared" si="2"/>
        <v/>
      </c>
    </row>
    <row r="287">
      <c r="A287" s="61" t="str">
        <f t="shared" si="1"/>
        <v/>
      </c>
      <c r="B287" s="73"/>
      <c r="C287" s="76"/>
      <c r="D287" s="76" t="str">
        <f>VLOOKUP(B287,'HEAD OF THE FAMILY'!B287:J1934,9,FALSE)</f>
        <v>#N/A</v>
      </c>
      <c r="E287" s="3"/>
      <c r="F287" s="3"/>
      <c r="G287" s="7"/>
      <c r="H287" s="7"/>
      <c r="I287" s="7"/>
      <c r="J287" s="60"/>
      <c r="K287" s="60" t="str">
        <f t="shared" si="2"/>
        <v/>
      </c>
    </row>
    <row r="288">
      <c r="A288" s="61" t="str">
        <f t="shared" si="1"/>
        <v/>
      </c>
      <c r="B288" s="73"/>
      <c r="C288" s="76"/>
      <c r="D288" s="76" t="str">
        <f>VLOOKUP(B288,'HEAD OF THE FAMILY'!B288:J1934,9,FALSE)</f>
        <v>#N/A</v>
      </c>
      <c r="E288" s="3"/>
      <c r="F288" s="3"/>
      <c r="G288" s="7"/>
      <c r="H288" s="7"/>
      <c r="I288" s="7"/>
      <c r="J288" s="60"/>
      <c r="K288" s="60" t="str">
        <f t="shared" si="2"/>
        <v/>
      </c>
    </row>
    <row r="289">
      <c r="A289" s="61" t="str">
        <f t="shared" si="1"/>
        <v/>
      </c>
      <c r="B289" s="73"/>
      <c r="C289" s="76"/>
      <c r="D289" s="76" t="str">
        <f>VLOOKUP(B289,'HEAD OF THE FAMILY'!B289:J1934,9,FALSE)</f>
        <v>#N/A</v>
      </c>
      <c r="E289" s="3"/>
      <c r="F289" s="3"/>
      <c r="G289" s="7"/>
      <c r="H289" s="7"/>
      <c r="I289" s="7"/>
      <c r="J289" s="60"/>
      <c r="K289" s="60" t="str">
        <f t="shared" si="2"/>
        <v/>
      </c>
    </row>
    <row r="290">
      <c r="A290" s="61" t="str">
        <f t="shared" si="1"/>
        <v/>
      </c>
      <c r="B290" s="73"/>
      <c r="C290" s="76"/>
      <c r="D290" s="76" t="str">
        <f>VLOOKUP(B290,'HEAD OF THE FAMILY'!B290:J1934,9,FALSE)</f>
        <v>#N/A</v>
      </c>
      <c r="E290" s="3"/>
      <c r="F290" s="3"/>
      <c r="G290" s="7"/>
      <c r="H290" s="7"/>
      <c r="I290" s="7"/>
      <c r="J290" s="60"/>
      <c r="K290" s="60" t="str">
        <f t="shared" si="2"/>
        <v/>
      </c>
    </row>
    <row r="291">
      <c r="A291" s="61" t="str">
        <f t="shared" si="1"/>
        <v/>
      </c>
      <c r="B291" s="73"/>
      <c r="C291" s="76"/>
      <c r="D291" s="76" t="str">
        <f>VLOOKUP(B291,'HEAD OF THE FAMILY'!B291:J1934,9,FALSE)</f>
        <v>#N/A</v>
      </c>
      <c r="E291" s="3"/>
      <c r="F291" s="3"/>
      <c r="G291" s="7"/>
      <c r="H291" s="7"/>
      <c r="I291" s="7"/>
      <c r="J291" s="60"/>
      <c r="K291" s="60" t="str">
        <f t="shared" si="2"/>
        <v/>
      </c>
    </row>
    <row r="292">
      <c r="A292" s="61" t="str">
        <f t="shared" si="1"/>
        <v/>
      </c>
      <c r="B292" s="73"/>
      <c r="C292" s="76"/>
      <c r="D292" s="76" t="str">
        <f>VLOOKUP(B292,'HEAD OF THE FAMILY'!B292:J1934,9,FALSE)</f>
        <v>#N/A</v>
      </c>
      <c r="E292" s="3"/>
      <c r="F292" s="3"/>
      <c r="G292" s="7"/>
      <c r="H292" s="7"/>
      <c r="I292" s="7"/>
      <c r="J292" s="60"/>
      <c r="K292" s="60" t="str">
        <f t="shared" si="2"/>
        <v/>
      </c>
    </row>
    <row r="293">
      <c r="A293" s="61" t="str">
        <f t="shared" si="1"/>
        <v/>
      </c>
      <c r="B293" s="73"/>
      <c r="C293" s="76"/>
      <c r="D293" s="76" t="str">
        <f>VLOOKUP(B293,'HEAD OF THE FAMILY'!B293:J1934,9,FALSE)</f>
        <v>#N/A</v>
      </c>
      <c r="E293" s="3"/>
      <c r="F293" s="3"/>
      <c r="G293" s="7"/>
      <c r="H293" s="7"/>
      <c r="I293" s="7"/>
      <c r="J293" s="60"/>
      <c r="K293" s="60" t="str">
        <f t="shared" si="2"/>
        <v/>
      </c>
    </row>
    <row r="294">
      <c r="A294" s="61" t="str">
        <f t="shared" si="1"/>
        <v/>
      </c>
      <c r="B294" s="73"/>
      <c r="C294" s="76"/>
      <c r="D294" s="76" t="str">
        <f>VLOOKUP(B294,'HEAD OF THE FAMILY'!B294:J1934,9,FALSE)</f>
        <v>#N/A</v>
      </c>
      <c r="E294" s="3"/>
      <c r="F294" s="3"/>
      <c r="G294" s="7"/>
      <c r="H294" s="7"/>
      <c r="I294" s="7"/>
      <c r="J294" s="60"/>
      <c r="K294" s="60" t="str">
        <f t="shared" si="2"/>
        <v/>
      </c>
    </row>
    <row r="295">
      <c r="A295" s="61" t="str">
        <f t="shared" si="1"/>
        <v/>
      </c>
      <c r="B295" s="73"/>
      <c r="C295" s="76"/>
      <c r="D295" s="76" t="str">
        <f>VLOOKUP(B295,'HEAD OF THE FAMILY'!B295:J1934,9,FALSE)</f>
        <v>#N/A</v>
      </c>
      <c r="E295" s="3"/>
      <c r="F295" s="3"/>
      <c r="G295" s="7"/>
      <c r="H295" s="7"/>
      <c r="I295" s="7"/>
      <c r="J295" s="60"/>
      <c r="K295" s="60" t="str">
        <f t="shared" si="2"/>
        <v/>
      </c>
    </row>
    <row r="296">
      <c r="A296" s="61" t="str">
        <f t="shared" si="1"/>
        <v/>
      </c>
      <c r="B296" s="73"/>
      <c r="C296" s="76"/>
      <c r="D296" s="76" t="str">
        <f>VLOOKUP(B296,'HEAD OF THE FAMILY'!B296:J1934,9,FALSE)</f>
        <v>#N/A</v>
      </c>
      <c r="E296" s="3"/>
      <c r="F296" s="3"/>
      <c r="G296" s="7"/>
      <c r="H296" s="7"/>
      <c r="I296" s="7"/>
      <c r="J296" s="60"/>
      <c r="K296" s="60" t="str">
        <f t="shared" si="2"/>
        <v/>
      </c>
    </row>
    <row r="297">
      <c r="A297" s="61" t="str">
        <f t="shared" si="1"/>
        <v/>
      </c>
      <c r="B297" s="73"/>
      <c r="C297" s="76"/>
      <c r="D297" s="76" t="str">
        <f>VLOOKUP(B297,'HEAD OF THE FAMILY'!B297:J1934,9,FALSE)</f>
        <v>#N/A</v>
      </c>
      <c r="E297" s="3"/>
      <c r="F297" s="3"/>
      <c r="G297" s="7"/>
      <c r="H297" s="7"/>
      <c r="I297" s="7"/>
      <c r="J297" s="60"/>
      <c r="K297" s="60" t="str">
        <f t="shared" si="2"/>
        <v/>
      </c>
    </row>
    <row r="298">
      <c r="A298" s="61" t="str">
        <f t="shared" si="1"/>
        <v/>
      </c>
      <c r="B298" s="73"/>
      <c r="C298" s="76"/>
      <c r="D298" s="76" t="str">
        <f>VLOOKUP(B298,'HEAD OF THE FAMILY'!B298:J1934,9,FALSE)</f>
        <v>#N/A</v>
      </c>
      <c r="E298" s="3"/>
      <c r="F298" s="3"/>
      <c r="G298" s="7"/>
      <c r="H298" s="7"/>
      <c r="I298" s="7"/>
      <c r="J298" s="60"/>
      <c r="K298" s="60" t="str">
        <f t="shared" si="2"/>
        <v/>
      </c>
    </row>
    <row r="299">
      <c r="A299" s="61" t="str">
        <f t="shared" si="1"/>
        <v/>
      </c>
      <c r="B299" s="73"/>
      <c r="C299" s="76"/>
      <c r="D299" s="76" t="str">
        <f>VLOOKUP(B299,'HEAD OF THE FAMILY'!B299:J1934,9,FALSE)</f>
        <v>#N/A</v>
      </c>
      <c r="E299" s="3"/>
      <c r="F299" s="3"/>
      <c r="G299" s="7"/>
      <c r="H299" s="7"/>
      <c r="I299" s="7"/>
      <c r="J299" s="60"/>
      <c r="K299" s="60" t="str">
        <f t="shared" si="2"/>
        <v/>
      </c>
    </row>
    <row r="300">
      <c r="A300" s="61" t="str">
        <f t="shared" si="1"/>
        <v/>
      </c>
      <c r="B300" s="73"/>
      <c r="C300" s="76"/>
      <c r="D300" s="76" t="str">
        <f>VLOOKUP(B300,'HEAD OF THE FAMILY'!B300:J1934,9,FALSE)</f>
        <v>#N/A</v>
      </c>
      <c r="E300" s="3"/>
      <c r="F300" s="3"/>
      <c r="G300" s="7"/>
      <c r="H300" s="7"/>
      <c r="I300" s="7"/>
      <c r="J300" s="60"/>
      <c r="K300" s="60" t="str">
        <f t="shared" si="2"/>
        <v/>
      </c>
    </row>
    <row r="301">
      <c r="A301" s="61" t="str">
        <f t="shared" si="1"/>
        <v/>
      </c>
      <c r="B301" s="73"/>
      <c r="C301" s="76"/>
      <c r="D301" s="76" t="str">
        <f>VLOOKUP(B301,'HEAD OF THE FAMILY'!B301:J1934,9,FALSE)</f>
        <v>#N/A</v>
      </c>
      <c r="E301" s="3"/>
      <c r="F301" s="3"/>
      <c r="G301" s="7"/>
      <c r="H301" s="7"/>
      <c r="I301" s="7"/>
      <c r="J301" s="60"/>
      <c r="K301" s="60" t="str">
        <f t="shared" si="2"/>
        <v/>
      </c>
    </row>
    <row r="302">
      <c r="A302" s="61" t="str">
        <f t="shared" si="1"/>
        <v/>
      </c>
      <c r="B302" s="73"/>
      <c r="C302" s="76"/>
      <c r="D302" s="76" t="str">
        <f>VLOOKUP(B302,'HEAD OF THE FAMILY'!B302:J1934,9,FALSE)</f>
        <v>#N/A</v>
      </c>
      <c r="E302" s="3"/>
      <c r="F302" s="3"/>
      <c r="G302" s="7"/>
      <c r="H302" s="7"/>
      <c r="I302" s="7"/>
      <c r="J302" s="60"/>
      <c r="K302" s="60" t="str">
        <f t="shared" si="2"/>
        <v/>
      </c>
    </row>
    <row r="303">
      <c r="A303" s="61" t="str">
        <f t="shared" si="1"/>
        <v/>
      </c>
      <c r="B303" s="73"/>
      <c r="C303" s="76"/>
      <c r="D303" s="76" t="str">
        <f>VLOOKUP(B303,'HEAD OF THE FAMILY'!B303:J1934,9,FALSE)</f>
        <v>#N/A</v>
      </c>
      <c r="E303" s="3"/>
      <c r="F303" s="3"/>
      <c r="G303" s="7"/>
      <c r="H303" s="7"/>
      <c r="I303" s="7"/>
      <c r="J303" s="60"/>
      <c r="K303" s="60" t="str">
        <f t="shared" si="2"/>
        <v/>
      </c>
    </row>
    <row r="304">
      <c r="A304" s="61" t="str">
        <f t="shared" si="1"/>
        <v/>
      </c>
      <c r="B304" s="73"/>
      <c r="C304" s="76"/>
      <c r="D304" s="76" t="str">
        <f>VLOOKUP(B304,'HEAD OF THE FAMILY'!B304:J1934,9,FALSE)</f>
        <v>#N/A</v>
      </c>
      <c r="E304" s="3"/>
      <c r="F304" s="3"/>
      <c r="G304" s="7"/>
      <c r="H304" s="7"/>
      <c r="I304" s="7"/>
      <c r="J304" s="60"/>
      <c r="K304" s="60" t="str">
        <f t="shared" si="2"/>
        <v/>
      </c>
    </row>
    <row r="305">
      <c r="A305" s="61" t="str">
        <f t="shared" si="1"/>
        <v/>
      </c>
      <c r="B305" s="73"/>
      <c r="C305" s="76"/>
      <c r="D305" s="76" t="str">
        <f>VLOOKUP(B305,'HEAD OF THE FAMILY'!B305:J1934,9,FALSE)</f>
        <v>#N/A</v>
      </c>
      <c r="E305" s="3"/>
      <c r="F305" s="3"/>
      <c r="G305" s="7"/>
      <c r="H305" s="7"/>
      <c r="I305" s="7"/>
      <c r="J305" s="60"/>
      <c r="K305" s="60" t="str">
        <f t="shared" si="2"/>
        <v/>
      </c>
    </row>
    <row r="306">
      <c r="A306" s="61" t="str">
        <f t="shared" si="1"/>
        <v/>
      </c>
      <c r="B306" s="73"/>
      <c r="C306" s="76"/>
      <c r="D306" s="76" t="str">
        <f>VLOOKUP(B306,'HEAD OF THE FAMILY'!B306:J1934,9,FALSE)</f>
        <v>#N/A</v>
      </c>
      <c r="E306" s="3"/>
      <c r="F306" s="3"/>
      <c r="G306" s="7"/>
      <c r="H306" s="7"/>
      <c r="I306" s="7"/>
      <c r="J306" s="60"/>
      <c r="K306" s="60" t="str">
        <f t="shared" si="2"/>
        <v/>
      </c>
    </row>
    <row r="307">
      <c r="A307" s="61" t="str">
        <f t="shared" si="1"/>
        <v/>
      </c>
      <c r="B307" s="73"/>
      <c r="C307" s="76"/>
      <c r="D307" s="76" t="str">
        <f>VLOOKUP(B307,'HEAD OF THE FAMILY'!B307:J1934,9,FALSE)</f>
        <v>#N/A</v>
      </c>
      <c r="E307" s="3"/>
      <c r="F307" s="3"/>
      <c r="G307" s="7"/>
      <c r="H307" s="7"/>
      <c r="I307" s="7"/>
      <c r="J307" s="60"/>
      <c r="K307" s="60" t="str">
        <f t="shared" si="2"/>
        <v/>
      </c>
    </row>
    <row r="308">
      <c r="A308" s="61" t="str">
        <f t="shared" si="1"/>
        <v/>
      </c>
      <c r="B308" s="73"/>
      <c r="C308" s="76"/>
      <c r="D308" s="76" t="str">
        <f>VLOOKUP(B308,'HEAD OF THE FAMILY'!B308:J1934,9,FALSE)</f>
        <v>#N/A</v>
      </c>
      <c r="E308" s="3"/>
      <c r="F308" s="3"/>
      <c r="G308" s="7"/>
      <c r="H308" s="7"/>
      <c r="I308" s="7"/>
      <c r="J308" s="60"/>
      <c r="K308" s="60" t="str">
        <f t="shared" si="2"/>
        <v/>
      </c>
    </row>
    <row r="309">
      <c r="A309" s="61" t="str">
        <f t="shared" si="1"/>
        <v/>
      </c>
      <c r="B309" s="73"/>
      <c r="C309" s="76"/>
      <c r="D309" s="76" t="str">
        <f>VLOOKUP(B309,'HEAD OF THE FAMILY'!B309:J1934,9,FALSE)</f>
        <v>#N/A</v>
      </c>
      <c r="E309" s="3"/>
      <c r="F309" s="3"/>
      <c r="G309" s="7"/>
      <c r="H309" s="7"/>
      <c r="I309" s="7"/>
      <c r="J309" s="60"/>
      <c r="K309" s="60" t="str">
        <f t="shared" si="2"/>
        <v/>
      </c>
    </row>
    <row r="310">
      <c r="A310" s="61" t="str">
        <f t="shared" si="1"/>
        <v/>
      </c>
      <c r="B310" s="73"/>
      <c r="C310" s="76"/>
      <c r="D310" s="76" t="str">
        <f>VLOOKUP(B310,'HEAD OF THE FAMILY'!B310:J1934,9,FALSE)</f>
        <v>#N/A</v>
      </c>
      <c r="E310" s="3"/>
      <c r="F310" s="3"/>
      <c r="G310" s="7"/>
      <c r="H310" s="7"/>
      <c r="I310" s="7"/>
      <c r="J310" s="60"/>
      <c r="K310" s="60" t="str">
        <f t="shared" si="2"/>
        <v/>
      </c>
    </row>
    <row r="311">
      <c r="A311" s="61" t="str">
        <f t="shared" si="1"/>
        <v/>
      </c>
      <c r="B311" s="73"/>
      <c r="C311" s="76"/>
      <c r="D311" s="76" t="str">
        <f>VLOOKUP(B311,'HEAD OF THE FAMILY'!B311:J1934,9,FALSE)</f>
        <v>#N/A</v>
      </c>
      <c r="E311" s="3"/>
      <c r="F311" s="3"/>
      <c r="G311" s="7"/>
      <c r="H311" s="7"/>
      <c r="I311" s="7"/>
      <c r="J311" s="60"/>
      <c r="K311" s="60" t="str">
        <f t="shared" si="2"/>
        <v/>
      </c>
    </row>
    <row r="312">
      <c r="A312" s="61" t="str">
        <f t="shared" si="1"/>
        <v/>
      </c>
      <c r="B312" s="73"/>
      <c r="C312" s="76"/>
      <c r="D312" s="76" t="str">
        <f>VLOOKUP(B312,'HEAD OF THE FAMILY'!B312:J1934,9,FALSE)</f>
        <v>#N/A</v>
      </c>
      <c r="E312" s="3"/>
      <c r="F312" s="3"/>
      <c r="G312" s="7"/>
      <c r="H312" s="7"/>
      <c r="I312" s="7"/>
      <c r="J312" s="60"/>
      <c r="K312" s="60" t="str">
        <f t="shared" si="2"/>
        <v/>
      </c>
    </row>
    <row r="313">
      <c r="A313" s="61" t="str">
        <f t="shared" si="1"/>
        <v/>
      </c>
      <c r="B313" s="73"/>
      <c r="C313" s="76"/>
      <c r="D313" s="76" t="str">
        <f>VLOOKUP(B313,'HEAD OF THE FAMILY'!B313:J1934,9,FALSE)</f>
        <v>#N/A</v>
      </c>
      <c r="E313" s="3"/>
      <c r="F313" s="3"/>
      <c r="G313" s="7"/>
      <c r="H313" s="7"/>
      <c r="I313" s="7"/>
      <c r="J313" s="60"/>
      <c r="K313" s="60" t="str">
        <f t="shared" si="2"/>
        <v/>
      </c>
    </row>
    <row r="314">
      <c r="A314" s="61" t="str">
        <f t="shared" si="1"/>
        <v/>
      </c>
      <c r="B314" s="73"/>
      <c r="C314" s="76"/>
      <c r="D314" s="76" t="str">
        <f>VLOOKUP(B314,'HEAD OF THE FAMILY'!B314:J1934,9,FALSE)</f>
        <v>#N/A</v>
      </c>
      <c r="E314" s="3"/>
      <c r="F314" s="3"/>
      <c r="G314" s="7"/>
      <c r="H314" s="7"/>
      <c r="I314" s="7"/>
      <c r="J314" s="60"/>
      <c r="K314" s="60" t="str">
        <f t="shared" si="2"/>
        <v/>
      </c>
    </row>
    <row r="315">
      <c r="A315" s="61" t="str">
        <f t="shared" si="1"/>
        <v/>
      </c>
      <c r="B315" s="73"/>
      <c r="C315" s="76"/>
      <c r="D315" s="76" t="str">
        <f>VLOOKUP(B315,'HEAD OF THE FAMILY'!B315:J1934,9,FALSE)</f>
        <v>#N/A</v>
      </c>
      <c r="E315" s="3"/>
      <c r="F315" s="3"/>
      <c r="G315" s="7"/>
      <c r="H315" s="7"/>
      <c r="I315" s="7"/>
      <c r="J315" s="60"/>
      <c r="K315" s="60" t="str">
        <f t="shared" si="2"/>
        <v/>
      </c>
    </row>
    <row r="316">
      <c r="A316" s="61" t="str">
        <f t="shared" si="1"/>
        <v/>
      </c>
      <c r="B316" s="73"/>
      <c r="C316" s="76"/>
      <c r="D316" s="76" t="str">
        <f>VLOOKUP(B316,'HEAD OF THE FAMILY'!B316:J1934,9,FALSE)</f>
        <v>#N/A</v>
      </c>
      <c r="E316" s="3"/>
      <c r="F316" s="3"/>
      <c r="G316" s="7"/>
      <c r="H316" s="7"/>
      <c r="I316" s="7"/>
      <c r="J316" s="60"/>
      <c r="K316" s="60" t="str">
        <f t="shared" si="2"/>
        <v/>
      </c>
    </row>
    <row r="317">
      <c r="A317" s="61" t="str">
        <f t="shared" si="1"/>
        <v/>
      </c>
      <c r="B317" s="73"/>
      <c r="C317" s="76"/>
      <c r="D317" s="76" t="str">
        <f>VLOOKUP(B317,'HEAD OF THE FAMILY'!B317:J1934,9,FALSE)</f>
        <v>#N/A</v>
      </c>
      <c r="E317" s="3"/>
      <c r="F317" s="3"/>
      <c r="G317" s="7"/>
      <c r="H317" s="7"/>
      <c r="I317" s="7"/>
      <c r="J317" s="60"/>
      <c r="K317" s="60" t="str">
        <f t="shared" si="2"/>
        <v/>
      </c>
    </row>
    <row r="318">
      <c r="A318" s="61" t="str">
        <f t="shared" si="1"/>
        <v/>
      </c>
      <c r="B318" s="73"/>
      <c r="C318" s="76"/>
      <c r="D318" s="76" t="str">
        <f>VLOOKUP(B318,'HEAD OF THE FAMILY'!B318:J1934,9,FALSE)</f>
        <v>#N/A</v>
      </c>
      <c r="E318" s="3"/>
      <c r="F318" s="3"/>
      <c r="G318" s="7"/>
      <c r="H318" s="7"/>
      <c r="I318" s="7"/>
      <c r="J318" s="60"/>
      <c r="K318" s="60" t="str">
        <f t="shared" si="2"/>
        <v/>
      </c>
    </row>
    <row r="319">
      <c r="A319" s="61" t="str">
        <f t="shared" si="1"/>
        <v/>
      </c>
      <c r="B319" s="73"/>
      <c r="C319" s="76"/>
      <c r="D319" s="76" t="str">
        <f>VLOOKUP(B319,'HEAD OF THE FAMILY'!B319:J1934,9,FALSE)</f>
        <v>#N/A</v>
      </c>
      <c r="E319" s="3"/>
      <c r="F319" s="3"/>
      <c r="G319" s="7"/>
      <c r="H319" s="7"/>
      <c r="I319" s="7"/>
      <c r="J319" s="60"/>
      <c r="K319" s="60" t="str">
        <f t="shared" si="2"/>
        <v/>
      </c>
    </row>
    <row r="320">
      <c r="A320" s="61" t="str">
        <f t="shared" si="1"/>
        <v/>
      </c>
      <c r="B320" s="73"/>
      <c r="C320" s="76"/>
      <c r="D320" s="76" t="str">
        <f>VLOOKUP(B320,'HEAD OF THE FAMILY'!B320:J1934,9,FALSE)</f>
        <v>#N/A</v>
      </c>
      <c r="E320" s="3"/>
      <c r="F320" s="3"/>
      <c r="G320" s="7"/>
      <c r="H320" s="7"/>
      <c r="I320" s="7"/>
      <c r="J320" s="60"/>
      <c r="K320" s="60" t="str">
        <f t="shared" si="2"/>
        <v/>
      </c>
    </row>
    <row r="321">
      <c r="A321" s="61" t="str">
        <f t="shared" si="1"/>
        <v/>
      </c>
      <c r="B321" s="73"/>
      <c r="C321" s="76"/>
      <c r="D321" s="76" t="str">
        <f>VLOOKUP(B321,'HEAD OF THE FAMILY'!B321:J1934,9,FALSE)</f>
        <v>#N/A</v>
      </c>
      <c r="E321" s="3"/>
      <c r="F321" s="3"/>
      <c r="G321" s="7"/>
      <c r="H321" s="7"/>
      <c r="I321" s="7"/>
      <c r="J321" s="60"/>
      <c r="K321" s="60" t="str">
        <f t="shared" si="2"/>
        <v/>
      </c>
    </row>
    <row r="322">
      <c r="A322" s="61" t="str">
        <f t="shared" si="1"/>
        <v/>
      </c>
      <c r="B322" s="73"/>
      <c r="C322" s="76"/>
      <c r="D322" s="76" t="str">
        <f>VLOOKUP(B322,'HEAD OF THE FAMILY'!B322:J1934,9,FALSE)</f>
        <v>#N/A</v>
      </c>
      <c r="E322" s="3"/>
      <c r="F322" s="3"/>
      <c r="G322" s="7"/>
      <c r="H322" s="7"/>
      <c r="I322" s="7"/>
      <c r="J322" s="60"/>
      <c r="K322" s="60" t="str">
        <f t="shared" si="2"/>
        <v/>
      </c>
    </row>
    <row r="323">
      <c r="A323" s="61" t="str">
        <f t="shared" si="1"/>
        <v/>
      </c>
      <c r="B323" s="73"/>
      <c r="C323" s="76"/>
      <c r="D323" s="76" t="str">
        <f>VLOOKUP(B323,'HEAD OF THE FAMILY'!B323:J1934,9,FALSE)</f>
        <v>#N/A</v>
      </c>
      <c r="E323" s="3"/>
      <c r="F323" s="3"/>
      <c r="G323" s="7"/>
      <c r="H323" s="7"/>
      <c r="I323" s="7"/>
      <c r="J323" s="60"/>
      <c r="K323" s="60" t="str">
        <f t="shared" si="2"/>
        <v/>
      </c>
    </row>
    <row r="324">
      <c r="A324" s="61" t="str">
        <f t="shared" si="1"/>
        <v/>
      </c>
      <c r="B324" s="73"/>
      <c r="C324" s="76"/>
      <c r="D324" s="76" t="str">
        <f>VLOOKUP(B324,'HEAD OF THE FAMILY'!B324:J1934,9,FALSE)</f>
        <v>#N/A</v>
      </c>
      <c r="E324" s="3"/>
      <c r="F324" s="3"/>
      <c r="G324" s="7"/>
      <c r="H324" s="7"/>
      <c r="I324" s="7"/>
      <c r="J324" s="60"/>
      <c r="K324" s="60" t="str">
        <f t="shared" si="2"/>
        <v/>
      </c>
    </row>
    <row r="325">
      <c r="A325" s="61" t="str">
        <f t="shared" si="1"/>
        <v/>
      </c>
      <c r="B325" s="73"/>
      <c r="C325" s="76"/>
      <c r="D325" s="76" t="str">
        <f>VLOOKUP(B325,'HEAD OF THE FAMILY'!B325:J1934,9,FALSE)</f>
        <v>#N/A</v>
      </c>
      <c r="E325" s="3"/>
      <c r="F325" s="3"/>
      <c r="G325" s="7"/>
      <c r="H325" s="7"/>
      <c r="I325" s="7"/>
      <c r="J325" s="60"/>
      <c r="K325" s="60" t="str">
        <f t="shared" si="2"/>
        <v/>
      </c>
    </row>
    <row r="326">
      <c r="A326" s="61" t="str">
        <f t="shared" si="1"/>
        <v/>
      </c>
      <c r="B326" s="73"/>
      <c r="C326" s="76"/>
      <c r="D326" s="76" t="str">
        <f>VLOOKUP(B326,'HEAD OF THE FAMILY'!B326:J1934,9,FALSE)</f>
        <v>#N/A</v>
      </c>
      <c r="E326" s="3"/>
      <c r="F326" s="3"/>
      <c r="G326" s="7"/>
      <c r="H326" s="7"/>
      <c r="I326" s="7"/>
      <c r="J326" s="60"/>
      <c r="K326" s="60" t="str">
        <f t="shared" si="2"/>
        <v/>
      </c>
    </row>
    <row r="327">
      <c r="A327" s="61" t="str">
        <f t="shared" si="1"/>
        <v/>
      </c>
      <c r="B327" s="73"/>
      <c r="C327" s="76"/>
      <c r="D327" s="76" t="str">
        <f>VLOOKUP(B327,'HEAD OF THE FAMILY'!B327:J1934,9,FALSE)</f>
        <v>#N/A</v>
      </c>
      <c r="E327" s="3"/>
      <c r="F327" s="3"/>
      <c r="G327" s="7"/>
      <c r="H327" s="7"/>
      <c r="I327" s="7"/>
      <c r="J327" s="60"/>
      <c r="K327" s="60" t="str">
        <f t="shared" si="2"/>
        <v/>
      </c>
    </row>
    <row r="328">
      <c r="A328" s="61" t="str">
        <f t="shared" si="1"/>
        <v/>
      </c>
      <c r="B328" s="73"/>
      <c r="C328" s="76"/>
      <c r="D328" s="76" t="str">
        <f>VLOOKUP(B328,'HEAD OF THE FAMILY'!B328:J1934,9,FALSE)</f>
        <v>#N/A</v>
      </c>
      <c r="E328" s="3"/>
      <c r="F328" s="3"/>
      <c r="G328" s="7"/>
      <c r="H328" s="7"/>
      <c r="I328" s="7"/>
      <c r="J328" s="60"/>
      <c r="K328" s="60" t="str">
        <f t="shared" si="2"/>
        <v/>
      </c>
    </row>
    <row r="329">
      <c r="A329" s="61" t="str">
        <f t="shared" si="1"/>
        <v/>
      </c>
      <c r="B329" s="73"/>
      <c r="C329" s="76"/>
      <c r="D329" s="76" t="str">
        <f>VLOOKUP(B329,'HEAD OF THE FAMILY'!B329:J1934,9,FALSE)</f>
        <v>#N/A</v>
      </c>
      <c r="E329" s="3"/>
      <c r="F329" s="3"/>
      <c r="G329" s="7"/>
      <c r="H329" s="7"/>
      <c r="I329" s="7"/>
      <c r="J329" s="60"/>
      <c r="K329" s="60" t="str">
        <f t="shared" si="2"/>
        <v/>
      </c>
    </row>
    <row r="330">
      <c r="A330" s="61" t="str">
        <f t="shared" si="1"/>
        <v/>
      </c>
      <c r="B330" s="73"/>
      <c r="C330" s="76"/>
      <c r="D330" s="76" t="str">
        <f>VLOOKUP(B330,'HEAD OF THE FAMILY'!B330:J1934,9,FALSE)</f>
        <v>#N/A</v>
      </c>
      <c r="E330" s="3"/>
      <c r="F330" s="3"/>
      <c r="G330" s="7"/>
      <c r="H330" s="7"/>
      <c r="I330" s="7"/>
      <c r="J330" s="60"/>
      <c r="K330" s="60" t="str">
        <f t="shared" si="2"/>
        <v/>
      </c>
    </row>
    <row r="331">
      <c r="A331" s="61" t="str">
        <f t="shared" si="1"/>
        <v/>
      </c>
      <c r="B331" s="73"/>
      <c r="C331" s="76"/>
      <c r="D331" s="76" t="str">
        <f>VLOOKUP(B331,'HEAD OF THE FAMILY'!B331:J1934,9,FALSE)</f>
        <v>#N/A</v>
      </c>
      <c r="E331" s="3"/>
      <c r="F331" s="3"/>
      <c r="G331" s="7"/>
      <c r="H331" s="7"/>
      <c r="I331" s="7"/>
      <c r="J331" s="60"/>
      <c r="K331" s="60" t="str">
        <f t="shared" si="2"/>
        <v/>
      </c>
    </row>
    <row r="332">
      <c r="A332" s="61" t="str">
        <f t="shared" si="1"/>
        <v/>
      </c>
      <c r="B332" s="73"/>
      <c r="C332" s="76"/>
      <c r="D332" s="76" t="str">
        <f>VLOOKUP(B332,'HEAD OF THE FAMILY'!B332:J1934,9,FALSE)</f>
        <v>#N/A</v>
      </c>
      <c r="E332" s="3"/>
      <c r="F332" s="3"/>
      <c r="G332" s="7"/>
      <c r="H332" s="7"/>
      <c r="I332" s="7"/>
      <c r="J332" s="60"/>
      <c r="K332" s="60" t="str">
        <f t="shared" si="2"/>
        <v/>
      </c>
    </row>
    <row r="333">
      <c r="A333" s="61" t="str">
        <f t="shared" si="1"/>
        <v/>
      </c>
      <c r="B333" s="73"/>
      <c r="C333" s="76"/>
      <c r="D333" s="76" t="str">
        <f>VLOOKUP(B333,'HEAD OF THE FAMILY'!B333:J1934,9,FALSE)</f>
        <v>#N/A</v>
      </c>
      <c r="E333" s="3"/>
      <c r="F333" s="3"/>
      <c r="G333" s="7"/>
      <c r="H333" s="7"/>
      <c r="I333" s="7"/>
      <c r="J333" s="60"/>
      <c r="K333" s="60" t="str">
        <f t="shared" si="2"/>
        <v/>
      </c>
    </row>
    <row r="334">
      <c r="A334" s="61" t="str">
        <f t="shared" si="1"/>
        <v/>
      </c>
      <c r="B334" s="73"/>
      <c r="C334" s="76"/>
      <c r="D334" s="76" t="str">
        <f>VLOOKUP(B334,'HEAD OF THE FAMILY'!B334:J1934,9,FALSE)</f>
        <v>#N/A</v>
      </c>
      <c r="E334" s="3"/>
      <c r="F334" s="3"/>
      <c r="G334" s="7"/>
      <c r="H334" s="7"/>
      <c r="I334" s="7"/>
      <c r="J334" s="60"/>
      <c r="K334" s="60" t="str">
        <f t="shared" si="2"/>
        <v/>
      </c>
    </row>
    <row r="335">
      <c r="A335" s="61" t="str">
        <f t="shared" si="1"/>
        <v/>
      </c>
      <c r="B335" s="73"/>
      <c r="C335" s="76"/>
      <c r="D335" s="76" t="str">
        <f>VLOOKUP(B335,'HEAD OF THE FAMILY'!B335:J1934,9,FALSE)</f>
        <v>#N/A</v>
      </c>
      <c r="E335" s="3"/>
      <c r="F335" s="3"/>
      <c r="G335" s="7"/>
      <c r="H335" s="7"/>
      <c r="I335" s="7"/>
      <c r="J335" s="60"/>
      <c r="K335" s="60" t="str">
        <f t="shared" si="2"/>
        <v/>
      </c>
    </row>
    <row r="336">
      <c r="A336" s="61" t="str">
        <f t="shared" si="1"/>
        <v/>
      </c>
      <c r="B336" s="73"/>
      <c r="C336" s="76"/>
      <c r="D336" s="76" t="str">
        <f>VLOOKUP(B336,'HEAD OF THE FAMILY'!B336:J1934,9,FALSE)</f>
        <v>#N/A</v>
      </c>
      <c r="E336" s="3"/>
      <c r="F336" s="3"/>
      <c r="G336" s="7"/>
      <c r="H336" s="7"/>
      <c r="I336" s="7"/>
      <c r="J336" s="60"/>
      <c r="K336" s="60" t="str">
        <f t="shared" si="2"/>
        <v/>
      </c>
    </row>
    <row r="337">
      <c r="A337" s="61" t="str">
        <f t="shared" si="1"/>
        <v/>
      </c>
      <c r="B337" s="73"/>
      <c r="C337" s="76"/>
      <c r="D337" s="76" t="str">
        <f>VLOOKUP(B337,'HEAD OF THE FAMILY'!B337:J1934,9,FALSE)</f>
        <v>#N/A</v>
      </c>
      <c r="E337" s="3"/>
      <c r="F337" s="3"/>
      <c r="G337" s="7"/>
      <c r="H337" s="7"/>
      <c r="I337" s="7"/>
      <c r="J337" s="60"/>
      <c r="K337" s="60" t="str">
        <f t="shared" si="2"/>
        <v/>
      </c>
    </row>
    <row r="338">
      <c r="A338" s="61" t="str">
        <f t="shared" si="1"/>
        <v/>
      </c>
      <c r="B338" s="73"/>
      <c r="C338" s="76"/>
      <c r="D338" s="76" t="str">
        <f>VLOOKUP(B338,'HEAD OF THE FAMILY'!B338:J1934,9,FALSE)</f>
        <v>#N/A</v>
      </c>
      <c r="E338" s="3"/>
      <c r="F338" s="3"/>
      <c r="G338" s="7"/>
      <c r="H338" s="7"/>
      <c r="I338" s="7"/>
      <c r="J338" s="60"/>
      <c r="K338" s="60" t="str">
        <f t="shared" si="2"/>
        <v/>
      </c>
    </row>
    <row r="339">
      <c r="A339" s="61" t="str">
        <f t="shared" si="1"/>
        <v/>
      </c>
      <c r="B339" s="73"/>
      <c r="C339" s="76"/>
      <c r="D339" s="76" t="str">
        <f>VLOOKUP(B339,'HEAD OF THE FAMILY'!B339:J1934,9,FALSE)</f>
        <v>#N/A</v>
      </c>
      <c r="E339" s="3"/>
      <c r="F339" s="3"/>
      <c r="G339" s="7"/>
      <c r="H339" s="7"/>
      <c r="I339" s="7"/>
      <c r="J339" s="60"/>
      <c r="K339" s="60" t="str">
        <f t="shared" si="2"/>
        <v/>
      </c>
    </row>
    <row r="340">
      <c r="A340" s="61" t="str">
        <f t="shared" si="1"/>
        <v/>
      </c>
      <c r="B340" s="73"/>
      <c r="C340" s="76"/>
      <c r="D340" s="76" t="str">
        <f>VLOOKUP(B340,'HEAD OF THE FAMILY'!B340:J1934,9,FALSE)</f>
        <v>#N/A</v>
      </c>
      <c r="E340" s="3"/>
      <c r="F340" s="3"/>
      <c r="G340" s="7"/>
      <c r="H340" s="7"/>
      <c r="I340" s="7"/>
      <c r="J340" s="60"/>
      <c r="K340" s="60" t="str">
        <f t="shared" si="2"/>
        <v/>
      </c>
    </row>
    <row r="341">
      <c r="A341" s="61" t="str">
        <f t="shared" si="1"/>
        <v/>
      </c>
      <c r="B341" s="73"/>
      <c r="C341" s="76"/>
      <c r="D341" s="76" t="str">
        <f>VLOOKUP(B341,'HEAD OF THE FAMILY'!B341:J1934,9,FALSE)</f>
        <v>#N/A</v>
      </c>
      <c r="E341" s="3"/>
      <c r="F341" s="3"/>
      <c r="G341" s="7"/>
      <c r="H341" s="7"/>
      <c r="I341" s="7"/>
      <c r="J341" s="60"/>
      <c r="K341" s="60" t="str">
        <f t="shared" si="2"/>
        <v/>
      </c>
    </row>
    <row r="342">
      <c r="A342" s="61" t="str">
        <f t="shared" si="1"/>
        <v/>
      </c>
      <c r="B342" s="73"/>
      <c r="C342" s="76"/>
      <c r="D342" s="76" t="str">
        <f>VLOOKUP(B342,'HEAD OF THE FAMILY'!B342:J1934,9,FALSE)</f>
        <v>#N/A</v>
      </c>
      <c r="E342" s="3"/>
      <c r="F342" s="3"/>
      <c r="G342" s="7"/>
      <c r="H342" s="7"/>
      <c r="I342" s="7"/>
      <c r="J342" s="60"/>
      <c r="K342" s="60" t="str">
        <f t="shared" si="2"/>
        <v/>
      </c>
    </row>
    <row r="343">
      <c r="A343" s="61" t="str">
        <f t="shared" si="1"/>
        <v/>
      </c>
      <c r="B343" s="73"/>
      <c r="C343" s="76"/>
      <c r="D343" s="76" t="str">
        <f>VLOOKUP(B343,'HEAD OF THE FAMILY'!B343:J1934,9,FALSE)</f>
        <v>#N/A</v>
      </c>
      <c r="E343" s="3"/>
      <c r="F343" s="3"/>
      <c r="G343" s="7"/>
      <c r="H343" s="7"/>
      <c r="I343" s="7"/>
      <c r="J343" s="60"/>
      <c r="K343" s="60" t="str">
        <f t="shared" si="2"/>
        <v/>
      </c>
    </row>
    <row r="344">
      <c r="A344" s="61" t="str">
        <f t="shared" si="1"/>
        <v/>
      </c>
      <c r="B344" s="73"/>
      <c r="C344" s="76"/>
      <c r="D344" s="76" t="str">
        <f>VLOOKUP(B344,'HEAD OF THE FAMILY'!B344:J1934,9,FALSE)</f>
        <v>#N/A</v>
      </c>
      <c r="E344" s="3"/>
      <c r="F344" s="3"/>
      <c r="G344" s="7"/>
      <c r="H344" s="7"/>
      <c r="I344" s="7"/>
      <c r="J344" s="60"/>
      <c r="K344" s="60" t="str">
        <f t="shared" si="2"/>
        <v/>
      </c>
    </row>
    <row r="345">
      <c r="A345" s="61" t="str">
        <f t="shared" si="1"/>
        <v/>
      </c>
      <c r="B345" s="73"/>
      <c r="C345" s="76"/>
      <c r="D345" s="76" t="str">
        <f>VLOOKUP(B345,'HEAD OF THE FAMILY'!B345:J1934,9,FALSE)</f>
        <v>#N/A</v>
      </c>
      <c r="E345" s="3"/>
      <c r="F345" s="3"/>
      <c r="G345" s="7"/>
      <c r="H345" s="7"/>
      <c r="I345" s="7"/>
      <c r="J345" s="60"/>
      <c r="K345" s="60" t="str">
        <f t="shared" si="2"/>
        <v/>
      </c>
    </row>
    <row r="346">
      <c r="A346" s="61" t="str">
        <f t="shared" si="1"/>
        <v/>
      </c>
      <c r="B346" s="73"/>
      <c r="C346" s="76"/>
      <c r="D346" s="76" t="str">
        <f>VLOOKUP(B346,'HEAD OF THE FAMILY'!B346:J1934,9,FALSE)</f>
        <v>#N/A</v>
      </c>
      <c r="E346" s="3"/>
      <c r="F346" s="3"/>
      <c r="G346" s="7"/>
      <c r="H346" s="7"/>
      <c r="I346" s="7"/>
      <c r="J346" s="60"/>
      <c r="K346" s="60" t="str">
        <f t="shared" si="2"/>
        <v/>
      </c>
    </row>
    <row r="347">
      <c r="A347" s="61" t="str">
        <f t="shared" si="1"/>
        <v/>
      </c>
      <c r="B347" s="73"/>
      <c r="C347" s="76"/>
      <c r="D347" s="76" t="str">
        <f>VLOOKUP(B347,'HEAD OF THE FAMILY'!B347:J1934,9,FALSE)</f>
        <v>#N/A</v>
      </c>
      <c r="E347" s="3"/>
      <c r="F347" s="3"/>
      <c r="G347" s="7"/>
      <c r="H347" s="7"/>
      <c r="I347" s="7"/>
      <c r="J347" s="60"/>
      <c r="K347" s="60" t="str">
        <f t="shared" si="2"/>
        <v/>
      </c>
    </row>
    <row r="348">
      <c r="A348" s="61" t="str">
        <f t="shared" si="1"/>
        <v/>
      </c>
      <c r="B348" s="73"/>
      <c r="C348" s="76"/>
      <c r="D348" s="76" t="str">
        <f>VLOOKUP(B348,'HEAD OF THE FAMILY'!B348:J1934,9,FALSE)</f>
        <v>#N/A</v>
      </c>
      <c r="E348" s="3"/>
      <c r="F348" s="3"/>
      <c r="G348" s="7"/>
      <c r="H348" s="7"/>
      <c r="I348" s="7"/>
      <c r="J348" s="60"/>
      <c r="K348" s="60" t="str">
        <f t="shared" si="2"/>
        <v/>
      </c>
    </row>
    <row r="349">
      <c r="A349" s="61" t="str">
        <f t="shared" si="1"/>
        <v/>
      </c>
      <c r="B349" s="73"/>
      <c r="C349" s="76"/>
      <c r="D349" s="76" t="str">
        <f>VLOOKUP(B349,'HEAD OF THE FAMILY'!B349:J1934,9,FALSE)</f>
        <v>#N/A</v>
      </c>
      <c r="E349" s="3"/>
      <c r="F349" s="3"/>
      <c r="G349" s="7"/>
      <c r="H349" s="7"/>
      <c r="I349" s="7"/>
      <c r="J349" s="60"/>
      <c r="K349" s="60" t="str">
        <f t="shared" si="2"/>
        <v/>
      </c>
    </row>
    <row r="350">
      <c r="A350" s="61" t="str">
        <f t="shared" si="1"/>
        <v/>
      </c>
      <c r="B350" s="73"/>
      <c r="C350" s="76"/>
      <c r="D350" s="76" t="str">
        <f>VLOOKUP(B350,'HEAD OF THE FAMILY'!B350:J1934,9,FALSE)</f>
        <v>#N/A</v>
      </c>
      <c r="E350" s="3"/>
      <c r="F350" s="3"/>
      <c r="G350" s="7"/>
      <c r="H350" s="7"/>
      <c r="I350" s="7"/>
      <c r="J350" s="60"/>
      <c r="K350" s="60" t="str">
        <f t="shared" si="2"/>
        <v/>
      </c>
    </row>
    <row r="351">
      <c r="A351" s="61" t="str">
        <f t="shared" si="1"/>
        <v/>
      </c>
      <c r="B351" s="73"/>
      <c r="C351" s="76"/>
      <c r="D351" s="76" t="str">
        <f>VLOOKUP(B351,'HEAD OF THE FAMILY'!B351:J1934,9,FALSE)</f>
        <v>#N/A</v>
      </c>
      <c r="E351" s="3"/>
      <c r="F351" s="3"/>
      <c r="G351" s="7"/>
      <c r="H351" s="7"/>
      <c r="I351" s="7"/>
      <c r="J351" s="60"/>
      <c r="K351" s="60" t="str">
        <f t="shared" si="2"/>
        <v/>
      </c>
    </row>
    <row r="352">
      <c r="A352" s="61" t="str">
        <f t="shared" si="1"/>
        <v/>
      </c>
      <c r="B352" s="73"/>
      <c r="C352" s="76"/>
      <c r="D352" s="76" t="str">
        <f>VLOOKUP(B352,'HEAD OF THE FAMILY'!B352:J1934,9,FALSE)</f>
        <v>#N/A</v>
      </c>
      <c r="E352" s="3"/>
      <c r="F352" s="3"/>
      <c r="G352" s="7"/>
      <c r="H352" s="7"/>
      <c r="I352" s="7"/>
      <c r="J352" s="60"/>
      <c r="K352" s="60" t="str">
        <f t="shared" si="2"/>
        <v/>
      </c>
    </row>
    <row r="353">
      <c r="A353" s="61" t="str">
        <f t="shared" si="1"/>
        <v/>
      </c>
      <c r="B353" s="73"/>
      <c r="C353" s="76"/>
      <c r="D353" s="76" t="str">
        <f>VLOOKUP(B353,'HEAD OF THE FAMILY'!B353:J1934,9,FALSE)</f>
        <v>#N/A</v>
      </c>
      <c r="E353" s="3"/>
      <c r="F353" s="3"/>
      <c r="G353" s="7"/>
      <c r="H353" s="7"/>
      <c r="I353" s="7"/>
      <c r="J353" s="60"/>
      <c r="K353" s="60" t="str">
        <f t="shared" si="2"/>
        <v/>
      </c>
    </row>
    <row r="354">
      <c r="A354" s="61" t="str">
        <f t="shared" si="1"/>
        <v/>
      </c>
      <c r="B354" s="73"/>
      <c r="C354" s="76"/>
      <c r="D354" s="76" t="str">
        <f>VLOOKUP(B354,'HEAD OF THE FAMILY'!B354:J1934,9,FALSE)</f>
        <v>#N/A</v>
      </c>
      <c r="E354" s="3"/>
      <c r="F354" s="3"/>
      <c r="G354" s="7"/>
      <c r="H354" s="7"/>
      <c r="I354" s="7"/>
      <c r="J354" s="60"/>
      <c r="K354" s="60" t="str">
        <f t="shared" si="2"/>
        <v/>
      </c>
    </row>
    <row r="355">
      <c r="A355" s="61" t="str">
        <f t="shared" si="1"/>
        <v/>
      </c>
      <c r="B355" s="73"/>
      <c r="C355" s="76"/>
      <c r="D355" s="76" t="str">
        <f>VLOOKUP(B355,'HEAD OF THE FAMILY'!B355:J1934,9,FALSE)</f>
        <v>#N/A</v>
      </c>
      <c r="E355" s="3"/>
      <c r="F355" s="3"/>
      <c r="G355" s="7"/>
      <c r="H355" s="7"/>
      <c r="I355" s="7"/>
      <c r="J355" s="60"/>
      <c r="K355" s="60" t="str">
        <f t="shared" si="2"/>
        <v/>
      </c>
    </row>
    <row r="356">
      <c r="A356" s="61" t="str">
        <f t="shared" si="1"/>
        <v/>
      </c>
      <c r="B356" s="73"/>
      <c r="C356" s="76"/>
      <c r="D356" s="76" t="str">
        <f>VLOOKUP(B356,'HEAD OF THE FAMILY'!B356:J1934,9,FALSE)</f>
        <v>#N/A</v>
      </c>
      <c r="E356" s="3"/>
      <c r="F356" s="3"/>
      <c r="G356" s="7"/>
      <c r="H356" s="7"/>
      <c r="I356" s="7"/>
      <c r="J356" s="60"/>
      <c r="K356" s="60" t="str">
        <f t="shared" si="2"/>
        <v/>
      </c>
    </row>
    <row r="357">
      <c r="A357" s="61" t="str">
        <f t="shared" si="1"/>
        <v/>
      </c>
      <c r="B357" s="73"/>
      <c r="C357" s="76"/>
      <c r="D357" s="76" t="str">
        <f>VLOOKUP(B357,'HEAD OF THE FAMILY'!B357:J1934,9,FALSE)</f>
        <v>#N/A</v>
      </c>
      <c r="E357" s="3"/>
      <c r="F357" s="3"/>
      <c r="G357" s="7"/>
      <c r="H357" s="7"/>
      <c r="I357" s="7"/>
      <c r="J357" s="60"/>
      <c r="K357" s="60" t="str">
        <f t="shared" si="2"/>
        <v/>
      </c>
    </row>
    <row r="358">
      <c r="A358" s="61" t="str">
        <f t="shared" si="1"/>
        <v/>
      </c>
      <c r="B358" s="73"/>
      <c r="C358" s="76"/>
      <c r="D358" s="76" t="str">
        <f>VLOOKUP(B358,'HEAD OF THE FAMILY'!B358:J1934,9,FALSE)</f>
        <v>#N/A</v>
      </c>
      <c r="E358" s="3"/>
      <c r="F358" s="3"/>
      <c r="G358" s="7"/>
      <c r="H358" s="7"/>
      <c r="I358" s="7"/>
      <c r="J358" s="60"/>
      <c r="K358" s="60" t="str">
        <f t="shared" si="2"/>
        <v/>
      </c>
    </row>
    <row r="359">
      <c r="A359" s="61" t="str">
        <f t="shared" si="1"/>
        <v/>
      </c>
      <c r="B359" s="73"/>
      <c r="C359" s="76"/>
      <c r="D359" s="76" t="str">
        <f>VLOOKUP(B359,'HEAD OF THE FAMILY'!B359:J1934,9,FALSE)</f>
        <v>#N/A</v>
      </c>
      <c r="E359" s="3"/>
      <c r="F359" s="3"/>
      <c r="G359" s="7"/>
      <c r="H359" s="7"/>
      <c r="I359" s="7"/>
      <c r="J359" s="60"/>
      <c r="K359" s="60" t="str">
        <f t="shared" si="2"/>
        <v/>
      </c>
    </row>
    <row r="360">
      <c r="A360" s="61" t="str">
        <f t="shared" si="1"/>
        <v/>
      </c>
      <c r="B360" s="73"/>
      <c r="C360" s="76"/>
      <c r="D360" s="76" t="str">
        <f>VLOOKUP(B360,'HEAD OF THE FAMILY'!B360:J1934,9,FALSE)</f>
        <v>#N/A</v>
      </c>
      <c r="E360" s="3"/>
      <c r="F360" s="3"/>
      <c r="G360" s="7"/>
      <c r="H360" s="7"/>
      <c r="I360" s="7"/>
      <c r="J360" s="60"/>
      <c r="K360" s="60" t="str">
        <f t="shared" si="2"/>
        <v/>
      </c>
    </row>
    <row r="361">
      <c r="A361" s="61" t="str">
        <f t="shared" si="1"/>
        <v/>
      </c>
      <c r="B361" s="73"/>
      <c r="C361" s="76"/>
      <c r="D361" s="76" t="str">
        <f>VLOOKUP(B361,'HEAD OF THE FAMILY'!B361:J1934,9,FALSE)</f>
        <v>#N/A</v>
      </c>
      <c r="E361" s="3"/>
      <c r="F361" s="3"/>
      <c r="G361" s="7"/>
      <c r="H361" s="7"/>
      <c r="I361" s="7"/>
      <c r="J361" s="60"/>
      <c r="K361" s="60" t="str">
        <f t="shared" si="2"/>
        <v/>
      </c>
    </row>
    <row r="362">
      <c r="A362" s="61" t="str">
        <f t="shared" si="1"/>
        <v/>
      </c>
      <c r="B362" s="73"/>
      <c r="C362" s="76"/>
      <c r="D362" s="76" t="str">
        <f>VLOOKUP(B362,'HEAD OF THE FAMILY'!B362:J1934,9,FALSE)</f>
        <v>#N/A</v>
      </c>
      <c r="E362" s="3"/>
      <c r="F362" s="3"/>
      <c r="G362" s="7"/>
      <c r="H362" s="7"/>
      <c r="I362" s="7"/>
      <c r="J362" s="60"/>
      <c r="K362" s="60" t="str">
        <f t="shared" si="2"/>
        <v/>
      </c>
    </row>
    <row r="363">
      <c r="A363" s="61" t="str">
        <f t="shared" si="1"/>
        <v/>
      </c>
      <c r="B363" s="73"/>
      <c r="C363" s="76"/>
      <c r="D363" s="76" t="str">
        <f>VLOOKUP(B363,'HEAD OF THE FAMILY'!B363:J1934,9,FALSE)</f>
        <v>#N/A</v>
      </c>
      <c r="E363" s="3"/>
      <c r="F363" s="3"/>
      <c r="G363" s="7"/>
      <c r="H363" s="7"/>
      <c r="I363" s="7"/>
      <c r="J363" s="60"/>
      <c r="K363" s="60" t="str">
        <f t="shared" si="2"/>
        <v/>
      </c>
    </row>
    <row r="364">
      <c r="A364" s="61" t="str">
        <f t="shared" si="1"/>
        <v/>
      </c>
      <c r="B364" s="73"/>
      <c r="C364" s="76"/>
      <c r="D364" s="76" t="str">
        <f>VLOOKUP(B364,'HEAD OF THE FAMILY'!B364:J1934,9,FALSE)</f>
        <v>#N/A</v>
      </c>
      <c r="E364" s="3"/>
      <c r="F364" s="3"/>
      <c r="G364" s="7"/>
      <c r="H364" s="7"/>
      <c r="I364" s="7"/>
      <c r="J364" s="60"/>
      <c r="K364" s="60" t="str">
        <f t="shared" si="2"/>
        <v/>
      </c>
    </row>
    <row r="365">
      <c r="A365" s="61" t="str">
        <f t="shared" si="1"/>
        <v/>
      </c>
      <c r="B365" s="73"/>
      <c r="C365" s="76"/>
      <c r="D365" s="76" t="str">
        <f>VLOOKUP(B365,'HEAD OF THE FAMILY'!B365:J1934,9,FALSE)</f>
        <v>#N/A</v>
      </c>
      <c r="E365" s="3"/>
      <c r="F365" s="3"/>
      <c r="G365" s="7"/>
      <c r="H365" s="7"/>
      <c r="I365" s="7"/>
      <c r="J365" s="60"/>
      <c r="K365" s="60" t="str">
        <f t="shared" si="2"/>
        <v/>
      </c>
    </row>
    <row r="366">
      <c r="A366" s="61" t="str">
        <f t="shared" si="1"/>
        <v/>
      </c>
      <c r="B366" s="73"/>
      <c r="C366" s="76"/>
      <c r="D366" s="76" t="str">
        <f>VLOOKUP(B366,'HEAD OF THE FAMILY'!B366:J1934,9,FALSE)</f>
        <v>#N/A</v>
      </c>
      <c r="E366" s="3"/>
      <c r="F366" s="3"/>
      <c r="G366" s="7"/>
      <c r="H366" s="7"/>
      <c r="I366" s="7"/>
      <c r="J366" s="60"/>
      <c r="K366" s="60" t="str">
        <f t="shared" si="2"/>
        <v/>
      </c>
    </row>
    <row r="367">
      <c r="A367" s="61" t="str">
        <f t="shared" si="1"/>
        <v/>
      </c>
      <c r="B367" s="73"/>
      <c r="C367" s="76"/>
      <c r="D367" s="76" t="str">
        <f>VLOOKUP(B367,'HEAD OF THE FAMILY'!B367:J1934,9,FALSE)</f>
        <v>#N/A</v>
      </c>
      <c r="E367" s="3"/>
      <c r="F367" s="3"/>
      <c r="G367" s="7"/>
      <c r="H367" s="7"/>
      <c r="I367" s="7"/>
      <c r="J367" s="60"/>
      <c r="K367" s="60" t="str">
        <f t="shared" si="2"/>
        <v/>
      </c>
    </row>
    <row r="368">
      <c r="A368" s="61" t="str">
        <f t="shared" si="1"/>
        <v/>
      </c>
      <c r="B368" s="73"/>
      <c r="C368" s="76"/>
      <c r="D368" s="76" t="str">
        <f>VLOOKUP(B368,'HEAD OF THE FAMILY'!B368:J1934,9,FALSE)</f>
        <v>#N/A</v>
      </c>
      <c r="E368" s="3"/>
      <c r="F368" s="3"/>
      <c r="G368" s="7"/>
      <c r="H368" s="7"/>
      <c r="I368" s="7"/>
      <c r="J368" s="60"/>
      <c r="K368" s="60" t="str">
        <f t="shared" si="2"/>
        <v/>
      </c>
    </row>
    <row r="369">
      <c r="A369" s="61" t="str">
        <f t="shared" si="1"/>
        <v/>
      </c>
      <c r="B369" s="73"/>
      <c r="C369" s="76"/>
      <c r="D369" s="76" t="str">
        <f>VLOOKUP(B369,'HEAD OF THE FAMILY'!B369:J1934,9,FALSE)</f>
        <v>#N/A</v>
      </c>
      <c r="E369" s="3"/>
      <c r="F369" s="3"/>
      <c r="G369" s="7"/>
      <c r="H369" s="7"/>
      <c r="I369" s="7"/>
      <c r="J369" s="60"/>
      <c r="K369" s="60" t="str">
        <f t="shared" si="2"/>
        <v/>
      </c>
    </row>
    <row r="370">
      <c r="A370" s="61" t="str">
        <f t="shared" si="1"/>
        <v/>
      </c>
      <c r="B370" s="73"/>
      <c r="C370" s="76"/>
      <c r="D370" s="76" t="str">
        <f>VLOOKUP(B370,'HEAD OF THE FAMILY'!B370:J1934,9,FALSE)</f>
        <v>#N/A</v>
      </c>
      <c r="E370" s="3"/>
      <c r="F370" s="3"/>
      <c r="G370" s="7"/>
      <c r="H370" s="7"/>
      <c r="I370" s="7"/>
      <c r="J370" s="60"/>
      <c r="K370" s="60" t="str">
        <f t="shared" si="2"/>
        <v/>
      </c>
    </row>
    <row r="371">
      <c r="A371" s="61" t="str">
        <f t="shared" si="1"/>
        <v/>
      </c>
      <c r="B371" s="73"/>
      <c r="C371" s="76"/>
      <c r="D371" s="76" t="str">
        <f>VLOOKUP(B371,'HEAD OF THE FAMILY'!B371:J1934,9,FALSE)</f>
        <v>#N/A</v>
      </c>
      <c r="E371" s="3"/>
      <c r="F371" s="3"/>
      <c r="G371" s="7"/>
      <c r="H371" s="7"/>
      <c r="I371" s="7"/>
      <c r="J371" s="60"/>
      <c r="K371" s="60" t="str">
        <f t="shared" si="2"/>
        <v/>
      </c>
    </row>
    <row r="372">
      <c r="A372" s="61" t="str">
        <f t="shared" si="1"/>
        <v/>
      </c>
      <c r="B372" s="73"/>
      <c r="C372" s="76"/>
      <c r="D372" s="76" t="str">
        <f>VLOOKUP(B372,'HEAD OF THE FAMILY'!B372:J1934,9,FALSE)</f>
        <v>#N/A</v>
      </c>
      <c r="E372" s="3"/>
      <c r="F372" s="3"/>
      <c r="G372" s="7"/>
      <c r="H372" s="7"/>
      <c r="I372" s="7"/>
      <c r="J372" s="60"/>
      <c r="K372" s="60" t="str">
        <f t="shared" si="2"/>
        <v/>
      </c>
    </row>
    <row r="373">
      <c r="A373" s="61" t="str">
        <f t="shared" si="1"/>
        <v/>
      </c>
      <c r="B373" s="73"/>
      <c r="C373" s="76"/>
      <c r="D373" s="76" t="str">
        <f>VLOOKUP(B373,'HEAD OF THE FAMILY'!B373:J1934,9,FALSE)</f>
        <v>#N/A</v>
      </c>
      <c r="E373" s="3"/>
      <c r="F373" s="3"/>
      <c r="G373" s="7"/>
      <c r="H373" s="7"/>
      <c r="I373" s="7"/>
      <c r="J373" s="60"/>
      <c r="K373" s="60" t="str">
        <f t="shared" si="2"/>
        <v/>
      </c>
    </row>
    <row r="374">
      <c r="A374" s="61" t="str">
        <f t="shared" si="1"/>
        <v/>
      </c>
      <c r="B374" s="73"/>
      <c r="C374" s="76"/>
      <c r="D374" s="76" t="str">
        <f>VLOOKUP(B374,'HEAD OF THE FAMILY'!B374:J1934,9,FALSE)</f>
        <v>#N/A</v>
      </c>
      <c r="E374" s="3"/>
      <c r="F374" s="3"/>
      <c r="G374" s="7"/>
      <c r="H374" s="7"/>
      <c r="I374" s="7"/>
      <c r="J374" s="60"/>
      <c r="K374" s="60" t="str">
        <f t="shared" si="2"/>
        <v/>
      </c>
    </row>
    <row r="375">
      <c r="A375" s="61" t="str">
        <f t="shared" si="1"/>
        <v/>
      </c>
      <c r="B375" s="73"/>
      <c r="C375" s="76"/>
      <c r="D375" s="76" t="str">
        <f>VLOOKUP(B375,'HEAD OF THE FAMILY'!B375:J1934,9,FALSE)</f>
        <v>#N/A</v>
      </c>
      <c r="E375" s="3"/>
      <c r="F375" s="3"/>
      <c r="G375" s="7"/>
      <c r="H375" s="7"/>
      <c r="I375" s="7"/>
      <c r="J375" s="60"/>
      <c r="K375" s="60" t="str">
        <f t="shared" si="2"/>
        <v/>
      </c>
    </row>
    <row r="376">
      <c r="A376" s="61" t="str">
        <f t="shared" si="1"/>
        <v/>
      </c>
      <c r="B376" s="73"/>
      <c r="C376" s="76"/>
      <c r="D376" s="76" t="str">
        <f>VLOOKUP(B376,'HEAD OF THE FAMILY'!B376:J1934,9,FALSE)</f>
        <v>#N/A</v>
      </c>
      <c r="E376" s="3"/>
      <c r="F376" s="3"/>
      <c r="G376" s="7"/>
      <c r="H376" s="7"/>
      <c r="I376" s="7"/>
      <c r="J376" s="60"/>
      <c r="K376" s="60" t="str">
        <f t="shared" si="2"/>
        <v/>
      </c>
    </row>
    <row r="377">
      <c r="A377" s="61" t="str">
        <f t="shared" si="1"/>
        <v/>
      </c>
      <c r="B377" s="73"/>
      <c r="C377" s="76"/>
      <c r="D377" s="76" t="str">
        <f>VLOOKUP(B377,'HEAD OF THE FAMILY'!B377:J1934,9,FALSE)</f>
        <v>#N/A</v>
      </c>
      <c r="E377" s="3"/>
      <c r="F377" s="3"/>
      <c r="G377" s="7"/>
      <c r="H377" s="7"/>
      <c r="I377" s="7"/>
      <c r="J377" s="60"/>
      <c r="K377" s="60" t="str">
        <f t="shared" si="2"/>
        <v/>
      </c>
    </row>
    <row r="378">
      <c r="A378" s="61" t="str">
        <f t="shared" si="1"/>
        <v/>
      </c>
      <c r="B378" s="73"/>
      <c r="C378" s="76"/>
      <c r="D378" s="76" t="str">
        <f>VLOOKUP(B378,'HEAD OF THE FAMILY'!B378:J1934,9,FALSE)</f>
        <v>#N/A</v>
      </c>
      <c r="E378" s="3"/>
      <c r="F378" s="3"/>
      <c r="G378" s="7"/>
      <c r="H378" s="7"/>
      <c r="I378" s="7"/>
      <c r="J378" s="60"/>
      <c r="K378" s="60" t="str">
        <f t="shared" si="2"/>
        <v/>
      </c>
    </row>
    <row r="379">
      <c r="A379" s="61" t="str">
        <f t="shared" si="1"/>
        <v/>
      </c>
      <c r="B379" s="73"/>
      <c r="C379" s="76"/>
      <c r="D379" s="76" t="str">
        <f>VLOOKUP(B379,'HEAD OF THE FAMILY'!B379:J1934,9,FALSE)</f>
        <v>#N/A</v>
      </c>
      <c r="E379" s="3"/>
      <c r="F379" s="3"/>
      <c r="G379" s="7"/>
      <c r="H379" s="7"/>
      <c r="I379" s="7"/>
      <c r="J379" s="60"/>
      <c r="K379" s="60" t="str">
        <f t="shared" si="2"/>
        <v/>
      </c>
    </row>
    <row r="380">
      <c r="A380" s="61" t="str">
        <f t="shared" si="1"/>
        <v/>
      </c>
      <c r="B380" s="73"/>
      <c r="C380" s="76"/>
      <c r="D380" s="76" t="str">
        <f>VLOOKUP(B380,'HEAD OF THE FAMILY'!B380:J1934,9,FALSE)</f>
        <v>#N/A</v>
      </c>
      <c r="E380" s="3"/>
      <c r="F380" s="3"/>
      <c r="G380" s="7"/>
      <c r="H380" s="7"/>
      <c r="I380" s="7"/>
      <c r="J380" s="60"/>
      <c r="K380" s="60" t="str">
        <f t="shared" si="2"/>
        <v/>
      </c>
    </row>
    <row r="381">
      <c r="A381" s="61" t="str">
        <f t="shared" si="1"/>
        <v/>
      </c>
      <c r="B381" s="73"/>
      <c r="C381" s="76"/>
      <c r="D381" s="76" t="str">
        <f>VLOOKUP(B381,'HEAD OF THE FAMILY'!B381:J1934,9,FALSE)</f>
        <v>#N/A</v>
      </c>
      <c r="E381" s="3"/>
      <c r="F381" s="3"/>
      <c r="G381" s="7"/>
      <c r="H381" s="7"/>
      <c r="I381" s="7"/>
      <c r="J381" s="60"/>
      <c r="K381" s="60" t="str">
        <f t="shared" si="2"/>
        <v/>
      </c>
    </row>
    <row r="382">
      <c r="A382" s="61" t="str">
        <f t="shared" si="1"/>
        <v/>
      </c>
      <c r="B382" s="73"/>
      <c r="C382" s="76"/>
      <c r="D382" s="76" t="str">
        <f>VLOOKUP(B382,'HEAD OF THE FAMILY'!B382:J1934,9,FALSE)</f>
        <v>#N/A</v>
      </c>
      <c r="E382" s="3"/>
      <c r="F382" s="3"/>
      <c r="G382" s="7"/>
      <c r="H382" s="7"/>
      <c r="I382" s="7"/>
      <c r="J382" s="60"/>
      <c r="K382" s="60" t="str">
        <f t="shared" si="2"/>
        <v/>
      </c>
    </row>
    <row r="383">
      <c r="A383" s="61" t="str">
        <f t="shared" si="1"/>
        <v/>
      </c>
      <c r="B383" s="73"/>
      <c r="C383" s="76"/>
      <c r="D383" s="76" t="str">
        <f>VLOOKUP(B383,'HEAD OF THE FAMILY'!B383:J1934,9,FALSE)</f>
        <v>#N/A</v>
      </c>
      <c r="E383" s="3"/>
      <c r="F383" s="3"/>
      <c r="G383" s="7"/>
      <c r="H383" s="7"/>
      <c r="I383" s="7"/>
      <c r="J383" s="60"/>
      <c r="K383" s="60" t="str">
        <f t="shared" si="2"/>
        <v/>
      </c>
    </row>
    <row r="384">
      <c r="A384" s="61" t="str">
        <f t="shared" si="1"/>
        <v/>
      </c>
      <c r="B384" s="73"/>
      <c r="C384" s="76"/>
      <c r="D384" s="76" t="str">
        <f>VLOOKUP(B384,'HEAD OF THE FAMILY'!B384:J1934,9,FALSE)</f>
        <v>#N/A</v>
      </c>
      <c r="E384" s="3"/>
      <c r="F384" s="3"/>
      <c r="G384" s="7"/>
      <c r="H384" s="7"/>
      <c r="I384" s="7"/>
      <c r="J384" s="60"/>
      <c r="K384" s="60" t="str">
        <f t="shared" si="2"/>
        <v/>
      </c>
    </row>
    <row r="385">
      <c r="A385" s="61" t="str">
        <f t="shared" si="1"/>
        <v/>
      </c>
      <c r="B385" s="73"/>
      <c r="C385" s="76"/>
      <c r="D385" s="76" t="str">
        <f>VLOOKUP(B385,'HEAD OF THE FAMILY'!B385:J1934,9,FALSE)</f>
        <v>#N/A</v>
      </c>
      <c r="E385" s="3"/>
      <c r="F385" s="3"/>
      <c r="G385" s="7"/>
      <c r="H385" s="7"/>
      <c r="I385" s="7"/>
      <c r="J385" s="60"/>
      <c r="K385" s="60" t="str">
        <f t="shared" si="2"/>
        <v/>
      </c>
    </row>
    <row r="386">
      <c r="A386" s="61" t="str">
        <f t="shared" si="1"/>
        <v/>
      </c>
      <c r="B386" s="73"/>
      <c r="C386" s="76"/>
      <c r="D386" s="76" t="str">
        <f>VLOOKUP(B386,'HEAD OF THE FAMILY'!B386:J1934,9,FALSE)</f>
        <v>#N/A</v>
      </c>
      <c r="E386" s="3"/>
      <c r="F386" s="3"/>
      <c r="G386" s="7"/>
      <c r="H386" s="7"/>
      <c r="I386" s="7"/>
      <c r="J386" s="60"/>
      <c r="K386" s="60" t="str">
        <f t="shared" si="2"/>
        <v/>
      </c>
    </row>
    <row r="387">
      <c r="A387" s="61" t="str">
        <f t="shared" si="1"/>
        <v/>
      </c>
      <c r="B387" s="73"/>
      <c r="C387" s="76"/>
      <c r="D387" s="76" t="str">
        <f>VLOOKUP(B387,'HEAD OF THE FAMILY'!B387:J1934,9,FALSE)</f>
        <v>#N/A</v>
      </c>
      <c r="E387" s="3"/>
      <c r="F387" s="3"/>
      <c r="G387" s="7"/>
      <c r="H387" s="7"/>
      <c r="I387" s="7"/>
      <c r="J387" s="60"/>
      <c r="K387" s="60" t="str">
        <f t="shared" si="2"/>
        <v/>
      </c>
    </row>
    <row r="388">
      <c r="A388" s="61" t="str">
        <f t="shared" si="1"/>
        <v/>
      </c>
      <c r="B388" s="73"/>
      <c r="C388" s="76"/>
      <c r="D388" s="76" t="str">
        <f>VLOOKUP(B388,'HEAD OF THE FAMILY'!B388:J1934,9,FALSE)</f>
        <v>#N/A</v>
      </c>
      <c r="E388" s="3"/>
      <c r="F388" s="3"/>
      <c r="G388" s="7"/>
      <c r="H388" s="7"/>
      <c r="I388" s="7"/>
      <c r="J388" s="60"/>
      <c r="K388" s="60" t="str">
        <f t="shared" si="2"/>
        <v/>
      </c>
    </row>
    <row r="389">
      <c r="A389" s="61" t="str">
        <f t="shared" si="1"/>
        <v/>
      </c>
      <c r="B389" s="73"/>
      <c r="C389" s="76"/>
      <c r="D389" s="76" t="str">
        <f>VLOOKUP(B389,'HEAD OF THE FAMILY'!B389:J1934,9,FALSE)</f>
        <v>#N/A</v>
      </c>
      <c r="E389" s="3"/>
      <c r="F389" s="3"/>
      <c r="G389" s="7"/>
      <c r="H389" s="7"/>
      <c r="I389" s="7"/>
      <c r="J389" s="60"/>
      <c r="K389" s="60" t="str">
        <f t="shared" si="2"/>
        <v/>
      </c>
    </row>
    <row r="390">
      <c r="A390" s="61" t="str">
        <f t="shared" si="1"/>
        <v/>
      </c>
      <c r="B390" s="73"/>
      <c r="C390" s="76"/>
      <c r="D390" s="76" t="str">
        <f>VLOOKUP(B390,'HEAD OF THE FAMILY'!B390:J1934,9,FALSE)</f>
        <v>#N/A</v>
      </c>
      <c r="E390" s="3"/>
      <c r="F390" s="3"/>
      <c r="G390" s="7"/>
      <c r="H390" s="7"/>
      <c r="I390" s="7"/>
      <c r="J390" s="60"/>
      <c r="K390" s="60" t="str">
        <f t="shared" si="2"/>
        <v/>
      </c>
    </row>
    <row r="391">
      <c r="A391" s="61" t="str">
        <f t="shared" si="1"/>
        <v/>
      </c>
      <c r="B391" s="73"/>
      <c r="C391" s="76"/>
      <c r="D391" s="76" t="str">
        <f>VLOOKUP(B391,'HEAD OF THE FAMILY'!B391:J1934,9,FALSE)</f>
        <v>#N/A</v>
      </c>
      <c r="E391" s="3"/>
      <c r="F391" s="3"/>
      <c r="G391" s="7"/>
      <c r="H391" s="7"/>
      <c r="I391" s="7"/>
      <c r="J391" s="60"/>
      <c r="K391" s="60" t="str">
        <f t="shared" si="2"/>
        <v/>
      </c>
    </row>
    <row r="392">
      <c r="A392" s="61" t="str">
        <f t="shared" si="1"/>
        <v/>
      </c>
      <c r="B392" s="73"/>
      <c r="C392" s="76"/>
      <c r="D392" s="76" t="str">
        <f>VLOOKUP(B392,'HEAD OF THE FAMILY'!B392:J1934,9,FALSE)</f>
        <v>#N/A</v>
      </c>
      <c r="E392" s="3"/>
      <c r="F392" s="3"/>
      <c r="G392" s="7"/>
      <c r="H392" s="7"/>
      <c r="I392" s="7"/>
      <c r="J392" s="60"/>
      <c r="K392" s="60" t="str">
        <f t="shared" si="2"/>
        <v/>
      </c>
    </row>
    <row r="393">
      <c r="A393" s="61" t="str">
        <f t="shared" si="1"/>
        <v/>
      </c>
      <c r="B393" s="73"/>
      <c r="C393" s="76"/>
      <c r="D393" s="76" t="str">
        <f>VLOOKUP(B393,'HEAD OF THE FAMILY'!B393:J1934,9,FALSE)</f>
        <v>#N/A</v>
      </c>
      <c r="E393" s="3"/>
      <c r="F393" s="3"/>
      <c r="G393" s="7"/>
      <c r="H393" s="7"/>
      <c r="I393" s="7"/>
      <c r="J393" s="60"/>
      <c r="K393" s="60" t="str">
        <f t="shared" si="2"/>
        <v/>
      </c>
    </row>
    <row r="394">
      <c r="A394" s="61" t="str">
        <f t="shared" si="1"/>
        <v/>
      </c>
      <c r="B394" s="73"/>
      <c r="C394" s="76"/>
      <c r="D394" s="76" t="str">
        <f>VLOOKUP(B394,'HEAD OF THE FAMILY'!B394:J1934,9,FALSE)</f>
        <v>#N/A</v>
      </c>
      <c r="E394" s="3"/>
      <c r="F394" s="3"/>
      <c r="G394" s="7"/>
      <c r="H394" s="7"/>
      <c r="I394" s="7"/>
      <c r="J394" s="60"/>
      <c r="K394" s="60" t="str">
        <f t="shared" si="2"/>
        <v/>
      </c>
    </row>
    <row r="395">
      <c r="A395" s="61" t="str">
        <f t="shared" si="1"/>
        <v/>
      </c>
      <c r="B395" s="73"/>
      <c r="C395" s="76"/>
      <c r="D395" s="76" t="str">
        <f>VLOOKUP(B395,'HEAD OF THE FAMILY'!B395:J1934,9,FALSE)</f>
        <v>#N/A</v>
      </c>
      <c r="E395" s="3"/>
      <c r="F395" s="3"/>
      <c r="G395" s="7"/>
      <c r="H395" s="7"/>
      <c r="I395" s="7"/>
      <c r="J395" s="60"/>
      <c r="K395" s="60" t="str">
        <f t="shared" si="2"/>
        <v/>
      </c>
    </row>
    <row r="396">
      <c r="A396" s="61" t="str">
        <f t="shared" si="1"/>
        <v/>
      </c>
      <c r="B396" s="73"/>
      <c r="C396" s="76"/>
      <c r="D396" s="76" t="str">
        <f>VLOOKUP(B396,'HEAD OF THE FAMILY'!B396:J1934,9,FALSE)</f>
        <v>#N/A</v>
      </c>
      <c r="E396" s="3"/>
      <c r="F396" s="3"/>
      <c r="G396" s="7"/>
      <c r="H396" s="7"/>
      <c r="I396" s="7"/>
      <c r="J396" s="60"/>
      <c r="K396" s="60" t="str">
        <f t="shared" si="2"/>
        <v/>
      </c>
    </row>
    <row r="397">
      <c r="A397" s="61" t="str">
        <f t="shared" si="1"/>
        <v/>
      </c>
      <c r="B397" s="73"/>
      <c r="C397" s="76"/>
      <c r="D397" s="76" t="str">
        <f>VLOOKUP(B397,'HEAD OF THE FAMILY'!B397:J1934,9,FALSE)</f>
        <v>#N/A</v>
      </c>
      <c r="E397" s="3"/>
      <c r="F397" s="3"/>
      <c r="G397" s="7"/>
      <c r="H397" s="7"/>
      <c r="I397" s="7"/>
      <c r="J397" s="60"/>
      <c r="K397" s="60" t="str">
        <f t="shared" si="2"/>
        <v/>
      </c>
    </row>
    <row r="398">
      <c r="A398" s="61" t="str">
        <f t="shared" si="1"/>
        <v/>
      </c>
      <c r="B398" s="73"/>
      <c r="C398" s="76"/>
      <c r="D398" s="76" t="str">
        <f>VLOOKUP(B398,'HEAD OF THE FAMILY'!B398:J1934,9,FALSE)</f>
        <v>#N/A</v>
      </c>
      <c r="E398" s="3"/>
      <c r="F398" s="3"/>
      <c r="G398" s="7"/>
      <c r="H398" s="7"/>
      <c r="I398" s="7"/>
      <c r="J398" s="60"/>
      <c r="K398" s="60" t="str">
        <f t="shared" si="2"/>
        <v/>
      </c>
    </row>
    <row r="399">
      <c r="A399" s="61" t="str">
        <f t="shared" si="1"/>
        <v/>
      </c>
      <c r="B399" s="73"/>
      <c r="C399" s="76"/>
      <c r="D399" s="76" t="str">
        <f>VLOOKUP(B399,'HEAD OF THE FAMILY'!B399:J1934,9,FALSE)</f>
        <v>#N/A</v>
      </c>
      <c r="E399" s="3"/>
      <c r="F399" s="3"/>
      <c r="G399" s="7"/>
      <c r="H399" s="7"/>
      <c r="I399" s="7"/>
      <c r="J399" s="60"/>
      <c r="K399" s="60" t="str">
        <f t="shared" si="2"/>
        <v/>
      </c>
    </row>
    <row r="400">
      <c r="A400" s="61" t="str">
        <f t="shared" si="1"/>
        <v/>
      </c>
      <c r="B400" s="73"/>
      <c r="C400" s="76"/>
      <c r="D400" s="76" t="str">
        <f>VLOOKUP(B400,'HEAD OF THE FAMILY'!B400:J1934,9,FALSE)</f>
        <v>#N/A</v>
      </c>
      <c r="E400" s="3"/>
      <c r="F400" s="3"/>
      <c r="G400" s="7"/>
      <c r="H400" s="7"/>
      <c r="I400" s="7"/>
      <c r="J400" s="60"/>
      <c r="K400" s="60" t="str">
        <f t="shared" si="2"/>
        <v/>
      </c>
    </row>
    <row r="401">
      <c r="A401" s="61" t="str">
        <f t="shared" si="1"/>
        <v/>
      </c>
      <c r="B401" s="73"/>
      <c r="C401" s="76"/>
      <c r="D401" s="76" t="str">
        <f>VLOOKUP(B401,'HEAD OF THE FAMILY'!B401:J1934,9,FALSE)</f>
        <v>#N/A</v>
      </c>
      <c r="E401" s="3"/>
      <c r="F401" s="3"/>
      <c r="G401" s="7"/>
      <c r="H401" s="7"/>
      <c r="I401" s="7"/>
      <c r="J401" s="60"/>
      <c r="K401" s="60" t="str">
        <f t="shared" si="2"/>
        <v/>
      </c>
    </row>
    <row r="402">
      <c r="A402" s="61" t="str">
        <f t="shared" si="1"/>
        <v/>
      </c>
      <c r="B402" s="73"/>
      <c r="C402" s="76"/>
      <c r="D402" s="76" t="str">
        <f>VLOOKUP(B402,'HEAD OF THE FAMILY'!B402:J1934,9,FALSE)</f>
        <v>#N/A</v>
      </c>
      <c r="E402" s="3"/>
      <c r="F402" s="3"/>
      <c r="G402" s="7"/>
      <c r="H402" s="7"/>
      <c r="I402" s="7"/>
      <c r="J402" s="60"/>
      <c r="K402" s="60" t="str">
        <f t="shared" si="2"/>
        <v/>
      </c>
    </row>
    <row r="403">
      <c r="A403" s="61" t="str">
        <f t="shared" si="1"/>
        <v/>
      </c>
      <c r="B403" s="73"/>
      <c r="C403" s="76"/>
      <c r="D403" s="76" t="str">
        <f>VLOOKUP(B403,'HEAD OF THE FAMILY'!B403:J1934,9,FALSE)</f>
        <v>#N/A</v>
      </c>
      <c r="E403" s="3"/>
      <c r="F403" s="3"/>
      <c r="G403" s="7"/>
      <c r="H403" s="7"/>
      <c r="I403" s="7"/>
      <c r="J403" s="60"/>
      <c r="K403" s="60" t="str">
        <f t="shared" si="2"/>
        <v/>
      </c>
    </row>
    <row r="404">
      <c r="A404" s="61" t="str">
        <f t="shared" si="1"/>
        <v/>
      </c>
      <c r="B404" s="73"/>
      <c r="C404" s="76"/>
      <c r="D404" s="76" t="str">
        <f>VLOOKUP(B404,'HEAD OF THE FAMILY'!B404:J1934,9,FALSE)</f>
        <v>#N/A</v>
      </c>
      <c r="E404" s="3"/>
      <c r="F404" s="3"/>
      <c r="G404" s="7"/>
      <c r="H404" s="7"/>
      <c r="I404" s="7"/>
      <c r="J404" s="60"/>
      <c r="K404" s="60" t="str">
        <f t="shared" si="2"/>
        <v/>
      </c>
    </row>
    <row r="405">
      <c r="A405" s="61" t="str">
        <f t="shared" si="1"/>
        <v/>
      </c>
      <c r="B405" s="73"/>
      <c r="C405" s="76"/>
      <c r="D405" s="76" t="str">
        <f>VLOOKUP(B405,'HEAD OF THE FAMILY'!B405:J1934,9,FALSE)</f>
        <v>#N/A</v>
      </c>
      <c r="E405" s="3"/>
      <c r="F405" s="3"/>
      <c r="G405" s="7"/>
      <c r="H405" s="7"/>
      <c r="I405" s="7"/>
      <c r="J405" s="60"/>
      <c r="K405" s="60" t="str">
        <f t="shared" si="2"/>
        <v/>
      </c>
    </row>
    <row r="406">
      <c r="A406" s="61" t="str">
        <f t="shared" si="1"/>
        <v/>
      </c>
      <c r="B406" s="73"/>
      <c r="C406" s="76"/>
      <c r="D406" s="76" t="str">
        <f>VLOOKUP(B406,'HEAD OF THE FAMILY'!B406:J1934,9,FALSE)</f>
        <v>#N/A</v>
      </c>
      <c r="E406" s="3"/>
      <c r="F406" s="3"/>
      <c r="G406" s="7"/>
      <c r="H406" s="7"/>
      <c r="I406" s="7"/>
      <c r="J406" s="60"/>
      <c r="K406" s="60" t="str">
        <f t="shared" si="2"/>
        <v/>
      </c>
    </row>
    <row r="407">
      <c r="A407" s="61" t="str">
        <f t="shared" si="1"/>
        <v/>
      </c>
      <c r="B407" s="73"/>
      <c r="C407" s="76"/>
      <c r="D407" s="76" t="str">
        <f>VLOOKUP(B407,'HEAD OF THE FAMILY'!B407:J1934,9,FALSE)</f>
        <v>#N/A</v>
      </c>
      <c r="E407" s="3"/>
      <c r="F407" s="3"/>
      <c r="G407" s="7"/>
      <c r="H407" s="7"/>
      <c r="I407" s="7"/>
      <c r="J407" s="60"/>
      <c r="K407" s="60" t="str">
        <f t="shared" si="2"/>
        <v/>
      </c>
    </row>
    <row r="408">
      <c r="A408" s="61" t="str">
        <f t="shared" si="1"/>
        <v/>
      </c>
      <c r="B408" s="73"/>
      <c r="C408" s="76"/>
      <c r="D408" s="76" t="str">
        <f>VLOOKUP(B408,'HEAD OF THE FAMILY'!B408:J1934,9,FALSE)</f>
        <v>#N/A</v>
      </c>
      <c r="E408" s="3"/>
      <c r="F408" s="3"/>
      <c r="G408" s="7"/>
      <c r="H408" s="7"/>
      <c r="I408" s="7"/>
      <c r="J408" s="60"/>
      <c r="K408" s="60" t="str">
        <f t="shared" si="2"/>
        <v/>
      </c>
    </row>
    <row r="409">
      <c r="A409" s="61" t="str">
        <f t="shared" si="1"/>
        <v/>
      </c>
      <c r="B409" s="73"/>
      <c r="C409" s="76"/>
      <c r="D409" s="76" t="str">
        <f>VLOOKUP(B409,'HEAD OF THE FAMILY'!B409:J1934,9,FALSE)</f>
        <v>#N/A</v>
      </c>
      <c r="E409" s="3"/>
      <c r="F409" s="3"/>
      <c r="G409" s="7"/>
      <c r="H409" s="7"/>
      <c r="I409" s="7"/>
      <c r="J409" s="60"/>
      <c r="K409" s="60" t="str">
        <f t="shared" si="2"/>
        <v/>
      </c>
    </row>
    <row r="410">
      <c r="A410" s="61" t="str">
        <f t="shared" si="1"/>
        <v/>
      </c>
      <c r="B410" s="73"/>
      <c r="C410" s="76"/>
      <c r="D410" s="76" t="str">
        <f>VLOOKUP(B410,'HEAD OF THE FAMILY'!B410:J1934,9,FALSE)</f>
        <v>#N/A</v>
      </c>
      <c r="E410" s="3"/>
      <c r="F410" s="3"/>
      <c r="G410" s="7"/>
      <c r="H410" s="7"/>
      <c r="I410" s="7"/>
      <c r="J410" s="60"/>
      <c r="K410" s="60" t="str">
        <f t="shared" si="2"/>
        <v/>
      </c>
    </row>
    <row r="411">
      <c r="A411" s="61" t="str">
        <f t="shared" si="1"/>
        <v/>
      </c>
      <c r="B411" s="73"/>
      <c r="C411" s="76"/>
      <c r="D411" s="76" t="str">
        <f>VLOOKUP(B411,'HEAD OF THE FAMILY'!B411:J1934,9,FALSE)</f>
        <v>#N/A</v>
      </c>
      <c r="E411" s="3"/>
      <c r="F411" s="3"/>
      <c r="G411" s="7"/>
      <c r="H411" s="7"/>
      <c r="I411" s="7"/>
      <c r="J411" s="60"/>
      <c r="K411" s="60" t="str">
        <f t="shared" si="2"/>
        <v/>
      </c>
    </row>
    <row r="412">
      <c r="A412" s="61" t="str">
        <f t="shared" si="1"/>
        <v/>
      </c>
      <c r="B412" s="73"/>
      <c r="C412" s="76"/>
      <c r="D412" s="76" t="str">
        <f>VLOOKUP(B412,'HEAD OF THE FAMILY'!B412:J1934,9,FALSE)</f>
        <v>#N/A</v>
      </c>
      <c r="E412" s="3"/>
      <c r="F412" s="3"/>
      <c r="G412" s="7"/>
      <c r="H412" s="7"/>
      <c r="I412" s="7"/>
      <c r="J412" s="60"/>
      <c r="K412" s="60" t="str">
        <f t="shared" si="2"/>
        <v/>
      </c>
    </row>
    <row r="413">
      <c r="A413" s="61" t="str">
        <f t="shared" si="1"/>
        <v/>
      </c>
      <c r="B413" s="73"/>
      <c r="C413" s="76"/>
      <c r="D413" s="76" t="str">
        <f>VLOOKUP(B413,'HEAD OF THE FAMILY'!B413:J1934,9,FALSE)</f>
        <v>#N/A</v>
      </c>
      <c r="E413" s="3"/>
      <c r="F413" s="3"/>
      <c r="G413" s="7"/>
      <c r="H413" s="7"/>
      <c r="I413" s="7"/>
      <c r="J413" s="60"/>
      <c r="K413" s="60" t="str">
        <f t="shared" si="2"/>
        <v/>
      </c>
    </row>
    <row r="414">
      <c r="A414" s="61" t="str">
        <f t="shared" si="1"/>
        <v/>
      </c>
      <c r="B414" s="73"/>
      <c r="C414" s="76"/>
      <c r="D414" s="76" t="str">
        <f>VLOOKUP(B414,'HEAD OF THE FAMILY'!B414:J1934,9,FALSE)</f>
        <v>#N/A</v>
      </c>
      <c r="E414" s="3"/>
      <c r="F414" s="3"/>
      <c r="G414" s="7"/>
      <c r="H414" s="7"/>
      <c r="I414" s="7"/>
      <c r="J414" s="60"/>
      <c r="K414" s="60" t="str">
        <f t="shared" si="2"/>
        <v/>
      </c>
    </row>
    <row r="415">
      <c r="A415" s="61" t="str">
        <f t="shared" si="1"/>
        <v/>
      </c>
      <c r="B415" s="73"/>
      <c r="C415" s="76"/>
      <c r="D415" s="76" t="str">
        <f>VLOOKUP(B415,'HEAD OF THE FAMILY'!B415:J1934,9,FALSE)</f>
        <v>#N/A</v>
      </c>
      <c r="E415" s="3"/>
      <c r="F415" s="3"/>
      <c r="G415" s="7"/>
      <c r="H415" s="7"/>
      <c r="I415" s="7"/>
      <c r="J415" s="60"/>
      <c r="K415" s="60" t="str">
        <f t="shared" si="2"/>
        <v/>
      </c>
    </row>
    <row r="416">
      <c r="A416" s="61" t="str">
        <f t="shared" si="1"/>
        <v/>
      </c>
      <c r="B416" s="73"/>
      <c r="C416" s="76"/>
      <c r="D416" s="76" t="str">
        <f>VLOOKUP(B416,'HEAD OF THE FAMILY'!B416:J1934,9,FALSE)</f>
        <v>#N/A</v>
      </c>
      <c r="E416" s="3"/>
      <c r="F416" s="3"/>
      <c r="G416" s="7"/>
      <c r="H416" s="7"/>
      <c r="I416" s="7"/>
      <c r="J416" s="60"/>
      <c r="K416" s="60" t="str">
        <f t="shared" si="2"/>
        <v/>
      </c>
    </row>
    <row r="417">
      <c r="A417" s="61" t="str">
        <f t="shared" si="1"/>
        <v/>
      </c>
      <c r="B417" s="73"/>
      <c r="C417" s="76"/>
      <c r="D417" s="76" t="str">
        <f>VLOOKUP(B417,'HEAD OF THE FAMILY'!B417:J1934,9,FALSE)</f>
        <v>#N/A</v>
      </c>
      <c r="E417" s="3"/>
      <c r="F417" s="3"/>
      <c r="G417" s="7"/>
      <c r="H417" s="7"/>
      <c r="I417" s="7"/>
      <c r="J417" s="60"/>
      <c r="K417" s="60" t="str">
        <f t="shared" si="2"/>
        <v/>
      </c>
    </row>
    <row r="418">
      <c r="A418" s="61" t="str">
        <f t="shared" si="1"/>
        <v/>
      </c>
      <c r="B418" s="73"/>
      <c r="C418" s="76"/>
      <c r="D418" s="76" t="str">
        <f>VLOOKUP(B418,'HEAD OF THE FAMILY'!B418:J1934,9,FALSE)</f>
        <v>#N/A</v>
      </c>
      <c r="E418" s="3"/>
      <c r="F418" s="3"/>
      <c r="G418" s="7"/>
      <c r="H418" s="7"/>
      <c r="I418" s="7"/>
      <c r="J418" s="60"/>
      <c r="K418" s="60" t="str">
        <f t="shared" si="2"/>
        <v/>
      </c>
    </row>
    <row r="419">
      <c r="A419" s="61" t="str">
        <f t="shared" si="1"/>
        <v/>
      </c>
      <c r="B419" s="73"/>
      <c r="C419" s="76"/>
      <c r="D419" s="76" t="str">
        <f>VLOOKUP(B419,'HEAD OF THE FAMILY'!B419:J1934,9,FALSE)</f>
        <v>#N/A</v>
      </c>
      <c r="E419" s="3"/>
      <c r="F419" s="3"/>
      <c r="G419" s="7"/>
      <c r="H419" s="7"/>
      <c r="I419" s="7"/>
      <c r="J419" s="60"/>
      <c r="K419" s="60" t="str">
        <f t="shared" si="2"/>
        <v/>
      </c>
    </row>
    <row r="420">
      <c r="A420" s="61" t="str">
        <f t="shared" si="1"/>
        <v/>
      </c>
      <c r="B420" s="73"/>
      <c r="C420" s="76"/>
      <c r="D420" s="76" t="str">
        <f>VLOOKUP(B420,'HEAD OF THE FAMILY'!B420:J1934,9,FALSE)</f>
        <v>#N/A</v>
      </c>
      <c r="E420" s="3"/>
      <c r="F420" s="3"/>
      <c r="G420" s="7"/>
      <c r="H420" s="7"/>
      <c r="I420" s="7"/>
      <c r="J420" s="60"/>
      <c r="K420" s="60" t="str">
        <f t="shared" si="2"/>
        <v/>
      </c>
    </row>
    <row r="421">
      <c r="A421" s="61" t="str">
        <f t="shared" si="1"/>
        <v/>
      </c>
      <c r="B421" s="73"/>
      <c r="C421" s="76"/>
      <c r="D421" s="76" t="str">
        <f>VLOOKUP(B421,'HEAD OF THE FAMILY'!B421:J1934,9,FALSE)</f>
        <v>#N/A</v>
      </c>
      <c r="E421" s="3"/>
      <c r="F421" s="3"/>
      <c r="G421" s="7"/>
      <c r="H421" s="7"/>
      <c r="I421" s="7"/>
      <c r="J421" s="60"/>
      <c r="K421" s="60" t="str">
        <f t="shared" si="2"/>
        <v/>
      </c>
    </row>
    <row r="422">
      <c r="A422" s="61" t="str">
        <f t="shared" si="1"/>
        <v/>
      </c>
      <c r="B422" s="73"/>
      <c r="C422" s="76"/>
      <c r="D422" s="76" t="str">
        <f>VLOOKUP(B422,'HEAD OF THE FAMILY'!B422:J1934,9,FALSE)</f>
        <v>#N/A</v>
      </c>
      <c r="E422" s="3"/>
      <c r="F422" s="3"/>
      <c r="G422" s="7"/>
      <c r="H422" s="7"/>
      <c r="I422" s="7"/>
      <c r="J422" s="60"/>
      <c r="K422" s="60" t="str">
        <f t="shared" si="2"/>
        <v/>
      </c>
    </row>
    <row r="423">
      <c r="A423" s="61" t="str">
        <f t="shared" si="1"/>
        <v/>
      </c>
      <c r="B423" s="73"/>
      <c r="C423" s="76"/>
      <c r="D423" s="76" t="str">
        <f>VLOOKUP(B423,'HEAD OF THE FAMILY'!B423:J1934,9,FALSE)</f>
        <v>#N/A</v>
      </c>
      <c r="E423" s="3"/>
      <c r="F423" s="3"/>
      <c r="G423" s="7"/>
      <c r="H423" s="7"/>
      <c r="I423" s="7"/>
      <c r="J423" s="60"/>
      <c r="K423" s="60" t="str">
        <f t="shared" si="2"/>
        <v/>
      </c>
    </row>
    <row r="424">
      <c r="A424" s="61" t="str">
        <f t="shared" si="1"/>
        <v/>
      </c>
      <c r="B424" s="73"/>
      <c r="C424" s="76"/>
      <c r="D424" s="76" t="str">
        <f>VLOOKUP(B424,'HEAD OF THE FAMILY'!B424:J1934,9,FALSE)</f>
        <v>#N/A</v>
      </c>
      <c r="E424" s="3"/>
      <c r="F424" s="3"/>
      <c r="G424" s="7"/>
      <c r="H424" s="7"/>
      <c r="I424" s="7"/>
      <c r="J424" s="60"/>
      <c r="K424" s="60" t="str">
        <f t="shared" si="2"/>
        <v/>
      </c>
    </row>
    <row r="425">
      <c r="A425" s="61" t="str">
        <f t="shared" si="1"/>
        <v/>
      </c>
      <c r="B425" s="73"/>
      <c r="C425" s="76"/>
      <c r="D425" s="76" t="str">
        <f>VLOOKUP(B425,'HEAD OF THE FAMILY'!B425:J1934,9,FALSE)</f>
        <v>#N/A</v>
      </c>
      <c r="E425" s="3"/>
      <c r="F425" s="3"/>
      <c r="G425" s="7"/>
      <c r="H425" s="7"/>
      <c r="I425" s="7"/>
      <c r="J425" s="60"/>
      <c r="K425" s="60" t="str">
        <f t="shared" si="2"/>
        <v/>
      </c>
    </row>
    <row r="426">
      <c r="A426" s="61" t="str">
        <f t="shared" si="1"/>
        <v/>
      </c>
      <c r="B426" s="73"/>
      <c r="C426" s="76"/>
      <c r="D426" s="76" t="str">
        <f>VLOOKUP(B426,'HEAD OF THE FAMILY'!B426:J1934,9,FALSE)</f>
        <v>#N/A</v>
      </c>
      <c r="E426" s="3"/>
      <c r="F426" s="3"/>
      <c r="G426" s="7"/>
      <c r="H426" s="7"/>
      <c r="I426" s="7"/>
      <c r="J426" s="60"/>
      <c r="K426" s="60" t="str">
        <f t="shared" si="2"/>
        <v/>
      </c>
    </row>
    <row r="427">
      <c r="A427" s="61" t="str">
        <f t="shared" si="1"/>
        <v/>
      </c>
      <c r="B427" s="73"/>
      <c r="C427" s="76"/>
      <c r="D427" s="76" t="str">
        <f>VLOOKUP(B427,'HEAD OF THE FAMILY'!B427:J1934,9,FALSE)</f>
        <v>#N/A</v>
      </c>
      <c r="E427" s="3"/>
      <c r="F427" s="3"/>
      <c r="G427" s="7"/>
      <c r="H427" s="7"/>
      <c r="I427" s="7"/>
      <c r="J427" s="60"/>
      <c r="K427" s="60" t="str">
        <f t="shared" si="2"/>
        <v/>
      </c>
    </row>
    <row r="428">
      <c r="A428" s="61" t="str">
        <f t="shared" si="1"/>
        <v/>
      </c>
      <c r="B428" s="73"/>
      <c r="C428" s="76"/>
      <c r="D428" s="76" t="str">
        <f>VLOOKUP(B428,'HEAD OF THE FAMILY'!B428:J1934,9,FALSE)</f>
        <v>#N/A</v>
      </c>
      <c r="E428" s="3"/>
      <c r="F428" s="3"/>
      <c r="G428" s="7"/>
      <c r="H428" s="7"/>
      <c r="I428" s="7"/>
      <c r="J428" s="60"/>
      <c r="K428" s="60" t="str">
        <f t="shared" si="2"/>
        <v/>
      </c>
    </row>
    <row r="429">
      <c r="A429" s="61" t="str">
        <f t="shared" si="1"/>
        <v/>
      </c>
      <c r="B429" s="73"/>
      <c r="C429" s="76"/>
      <c r="D429" s="76" t="str">
        <f>VLOOKUP(B429,'HEAD OF THE FAMILY'!B429:J1934,9,FALSE)</f>
        <v>#N/A</v>
      </c>
      <c r="E429" s="3"/>
      <c r="F429" s="3"/>
      <c r="G429" s="7"/>
      <c r="H429" s="7"/>
      <c r="I429" s="7"/>
      <c r="J429" s="60"/>
      <c r="K429" s="60" t="str">
        <f t="shared" si="2"/>
        <v/>
      </c>
    </row>
    <row r="430">
      <c r="A430" s="61" t="str">
        <f t="shared" si="1"/>
        <v/>
      </c>
      <c r="B430" s="73"/>
      <c r="C430" s="76"/>
      <c r="D430" s="76" t="str">
        <f>VLOOKUP(B430,'HEAD OF THE FAMILY'!B430:J1934,9,FALSE)</f>
        <v>#N/A</v>
      </c>
      <c r="E430" s="3"/>
      <c r="F430" s="3"/>
      <c r="G430" s="7"/>
      <c r="H430" s="7"/>
      <c r="I430" s="7"/>
      <c r="J430" s="60"/>
      <c r="K430" s="60" t="str">
        <f t="shared" si="2"/>
        <v/>
      </c>
    </row>
    <row r="431">
      <c r="A431" s="61" t="str">
        <f t="shared" si="1"/>
        <v/>
      </c>
      <c r="B431" s="73"/>
      <c r="C431" s="76"/>
      <c r="D431" s="76" t="str">
        <f>VLOOKUP(B431,'HEAD OF THE FAMILY'!B431:J1934,9,FALSE)</f>
        <v>#N/A</v>
      </c>
      <c r="E431" s="3"/>
      <c r="F431" s="3"/>
      <c r="G431" s="7"/>
      <c r="H431" s="7"/>
      <c r="I431" s="7"/>
      <c r="J431" s="60"/>
      <c r="K431" s="60" t="str">
        <f t="shared" si="2"/>
        <v/>
      </c>
    </row>
    <row r="432">
      <c r="A432" s="61" t="str">
        <f t="shared" si="1"/>
        <v/>
      </c>
      <c r="B432" s="73"/>
      <c r="C432" s="76"/>
      <c r="D432" s="76" t="str">
        <f>VLOOKUP(B432,'HEAD OF THE FAMILY'!B432:J1934,9,FALSE)</f>
        <v>#N/A</v>
      </c>
      <c r="E432" s="3"/>
      <c r="F432" s="3"/>
      <c r="G432" s="7"/>
      <c r="H432" s="7"/>
      <c r="I432" s="7"/>
      <c r="J432" s="60"/>
      <c r="K432" s="60" t="str">
        <f t="shared" si="2"/>
        <v/>
      </c>
    </row>
    <row r="433">
      <c r="A433" s="61" t="str">
        <f t="shared" si="1"/>
        <v/>
      </c>
      <c r="B433" s="73"/>
      <c r="C433" s="76"/>
      <c r="D433" s="76" t="str">
        <f>VLOOKUP(B433,'HEAD OF THE FAMILY'!B433:J1934,9,FALSE)</f>
        <v>#N/A</v>
      </c>
      <c r="E433" s="3"/>
      <c r="F433" s="3"/>
      <c r="G433" s="7"/>
      <c r="H433" s="7"/>
      <c r="I433" s="7"/>
      <c r="J433" s="60"/>
      <c r="K433" s="60" t="str">
        <f t="shared" si="2"/>
        <v/>
      </c>
    </row>
    <row r="434">
      <c r="A434" s="61" t="str">
        <f t="shared" si="1"/>
        <v/>
      </c>
      <c r="B434" s="73"/>
      <c r="C434" s="76"/>
      <c r="D434" s="76" t="str">
        <f>VLOOKUP(B434,'HEAD OF THE FAMILY'!B434:J1934,9,FALSE)</f>
        <v>#N/A</v>
      </c>
      <c r="E434" s="3"/>
      <c r="F434" s="3"/>
      <c r="G434" s="7"/>
      <c r="H434" s="7"/>
      <c r="I434" s="7"/>
      <c r="J434" s="60"/>
      <c r="K434" s="60" t="str">
        <f t="shared" si="2"/>
        <v/>
      </c>
    </row>
    <row r="435">
      <c r="A435" s="61" t="str">
        <f t="shared" si="1"/>
        <v/>
      </c>
      <c r="B435" s="73"/>
      <c r="C435" s="76"/>
      <c r="D435" s="76" t="str">
        <f>VLOOKUP(B435,'HEAD OF THE FAMILY'!B435:J1934,9,FALSE)</f>
        <v>#N/A</v>
      </c>
      <c r="E435" s="3"/>
      <c r="F435" s="3"/>
      <c r="G435" s="7"/>
      <c r="H435" s="7"/>
      <c r="I435" s="7"/>
      <c r="J435" s="60"/>
      <c r="K435" s="60" t="str">
        <f t="shared" si="2"/>
        <v/>
      </c>
    </row>
    <row r="436">
      <c r="A436" s="61" t="str">
        <f t="shared" si="1"/>
        <v/>
      </c>
      <c r="B436" s="73"/>
      <c r="C436" s="76"/>
      <c r="D436" s="76" t="str">
        <f>VLOOKUP(B436,'HEAD OF THE FAMILY'!B436:J1934,9,FALSE)</f>
        <v>#N/A</v>
      </c>
      <c r="E436" s="3"/>
      <c r="F436" s="3"/>
      <c r="G436" s="7"/>
      <c r="H436" s="7"/>
      <c r="I436" s="7"/>
      <c r="J436" s="60"/>
      <c r="K436" s="60" t="str">
        <f t="shared" si="2"/>
        <v/>
      </c>
    </row>
    <row r="437">
      <c r="A437" s="61" t="str">
        <f t="shared" si="1"/>
        <v/>
      </c>
      <c r="B437" s="73"/>
      <c r="C437" s="76"/>
      <c r="D437" s="76" t="str">
        <f>VLOOKUP(B437,'HEAD OF THE FAMILY'!B437:J1934,9,FALSE)</f>
        <v>#N/A</v>
      </c>
      <c r="E437" s="3"/>
      <c r="F437" s="3"/>
      <c r="G437" s="7"/>
      <c r="H437" s="7"/>
      <c r="I437" s="7"/>
      <c r="J437" s="60"/>
      <c r="K437" s="60" t="str">
        <f t="shared" si="2"/>
        <v/>
      </c>
    </row>
    <row r="438">
      <c r="A438" s="61" t="str">
        <f t="shared" si="1"/>
        <v/>
      </c>
      <c r="B438" s="73"/>
      <c r="C438" s="76"/>
      <c r="D438" s="76" t="str">
        <f>VLOOKUP(B438,'HEAD OF THE FAMILY'!B438:J1934,9,FALSE)</f>
        <v>#N/A</v>
      </c>
      <c r="E438" s="3"/>
      <c r="F438" s="3"/>
      <c r="G438" s="7"/>
      <c r="H438" s="7"/>
      <c r="I438" s="7"/>
      <c r="J438" s="60"/>
      <c r="K438" s="60" t="str">
        <f t="shared" si="2"/>
        <v/>
      </c>
    </row>
    <row r="439">
      <c r="A439" s="61" t="str">
        <f t="shared" si="1"/>
        <v/>
      </c>
      <c r="B439" s="73"/>
      <c r="C439" s="76"/>
      <c r="D439" s="76" t="str">
        <f>VLOOKUP(B439,'HEAD OF THE FAMILY'!B439:J1934,9,FALSE)</f>
        <v>#N/A</v>
      </c>
      <c r="E439" s="3"/>
      <c r="F439" s="3"/>
      <c r="G439" s="7"/>
      <c r="H439" s="7"/>
      <c r="I439" s="7"/>
      <c r="J439" s="60"/>
      <c r="K439" s="60" t="str">
        <f t="shared" si="2"/>
        <v/>
      </c>
    </row>
    <row r="440">
      <c r="A440" s="61" t="str">
        <f t="shared" si="1"/>
        <v/>
      </c>
      <c r="B440" s="73"/>
      <c r="C440" s="76"/>
      <c r="D440" s="76" t="str">
        <f>VLOOKUP(B440,'HEAD OF THE FAMILY'!B440:J1934,9,FALSE)</f>
        <v>#N/A</v>
      </c>
      <c r="E440" s="3"/>
      <c r="F440" s="3"/>
      <c r="G440" s="7"/>
      <c r="H440" s="7"/>
      <c r="I440" s="7"/>
      <c r="J440" s="60"/>
      <c r="K440" s="60" t="str">
        <f t="shared" si="2"/>
        <v/>
      </c>
    </row>
    <row r="441">
      <c r="A441" s="61" t="str">
        <f t="shared" si="1"/>
        <v/>
      </c>
      <c r="B441" s="73"/>
      <c r="C441" s="76"/>
      <c r="D441" s="76" t="str">
        <f>VLOOKUP(B441,'HEAD OF THE FAMILY'!B441:J1934,9,FALSE)</f>
        <v>#N/A</v>
      </c>
      <c r="E441" s="3"/>
      <c r="F441" s="3"/>
      <c r="G441" s="7"/>
      <c r="H441" s="7"/>
      <c r="I441" s="7"/>
      <c r="J441" s="60"/>
      <c r="K441" s="60" t="str">
        <f t="shared" si="2"/>
        <v/>
      </c>
    </row>
    <row r="442">
      <c r="A442" s="61" t="str">
        <f t="shared" si="1"/>
        <v/>
      </c>
      <c r="B442" s="73"/>
      <c r="C442" s="76"/>
      <c r="D442" s="76" t="str">
        <f>VLOOKUP(B442,'HEAD OF THE FAMILY'!B442:J1934,9,FALSE)</f>
        <v>#N/A</v>
      </c>
      <c r="E442" s="3"/>
      <c r="F442" s="3"/>
      <c r="G442" s="7"/>
      <c r="H442" s="7"/>
      <c r="I442" s="7"/>
      <c r="J442" s="60"/>
      <c r="K442" s="60" t="str">
        <f t="shared" si="2"/>
        <v/>
      </c>
    </row>
    <row r="443">
      <c r="A443" s="61" t="str">
        <f t="shared" si="1"/>
        <v/>
      </c>
      <c r="B443" s="73"/>
      <c r="C443" s="76"/>
      <c r="D443" s="76" t="str">
        <f>VLOOKUP(B443,'HEAD OF THE FAMILY'!B443:J1934,9,FALSE)</f>
        <v>#N/A</v>
      </c>
      <c r="E443" s="3"/>
      <c r="F443" s="3"/>
      <c r="G443" s="7"/>
      <c r="H443" s="7"/>
      <c r="I443" s="7"/>
      <c r="J443" s="60"/>
      <c r="K443" s="60" t="str">
        <f t="shared" si="2"/>
        <v/>
      </c>
    </row>
    <row r="444">
      <c r="A444" s="61" t="str">
        <f t="shared" si="1"/>
        <v/>
      </c>
      <c r="B444" s="73"/>
      <c r="C444" s="76"/>
      <c r="D444" s="76" t="str">
        <f>VLOOKUP(B444,'HEAD OF THE FAMILY'!B444:J1934,9,FALSE)</f>
        <v>#N/A</v>
      </c>
      <c r="E444" s="3"/>
      <c r="F444" s="3"/>
      <c r="G444" s="7"/>
      <c r="H444" s="7"/>
      <c r="I444" s="7"/>
      <c r="J444" s="60"/>
      <c r="K444" s="60" t="str">
        <f t="shared" si="2"/>
        <v/>
      </c>
    </row>
    <row r="445">
      <c r="A445" s="61" t="str">
        <f t="shared" si="1"/>
        <v/>
      </c>
      <c r="B445" s="73"/>
      <c r="C445" s="76"/>
      <c r="D445" s="76" t="str">
        <f>VLOOKUP(B445,'HEAD OF THE FAMILY'!B445:J1934,9,FALSE)</f>
        <v>#N/A</v>
      </c>
      <c r="E445" s="3"/>
      <c r="F445" s="3"/>
      <c r="G445" s="7"/>
      <c r="H445" s="7"/>
      <c r="I445" s="7"/>
      <c r="J445" s="60"/>
      <c r="K445" s="60" t="str">
        <f t="shared" si="2"/>
        <v/>
      </c>
    </row>
    <row r="446">
      <c r="A446" s="61" t="str">
        <f t="shared" si="1"/>
        <v/>
      </c>
      <c r="B446" s="73"/>
      <c r="C446" s="76"/>
      <c r="D446" s="76" t="str">
        <f>VLOOKUP(B446,'HEAD OF THE FAMILY'!B446:J1934,9,FALSE)</f>
        <v>#N/A</v>
      </c>
      <c r="E446" s="3"/>
      <c r="F446" s="3"/>
      <c r="G446" s="7"/>
      <c r="H446" s="7"/>
      <c r="I446" s="7"/>
      <c r="J446" s="60"/>
      <c r="K446" s="60" t="str">
        <f t="shared" si="2"/>
        <v/>
      </c>
    </row>
    <row r="447">
      <c r="A447" s="61" t="str">
        <f t="shared" si="1"/>
        <v/>
      </c>
      <c r="B447" s="73"/>
      <c r="C447" s="76"/>
      <c r="D447" s="76" t="str">
        <f>VLOOKUP(B447,'HEAD OF THE FAMILY'!B447:J1934,9,FALSE)</f>
        <v>#N/A</v>
      </c>
      <c r="E447" s="3"/>
      <c r="F447" s="3"/>
      <c r="G447" s="7"/>
      <c r="H447" s="7"/>
      <c r="I447" s="7"/>
      <c r="J447" s="60"/>
      <c r="K447" s="60" t="str">
        <f t="shared" si="2"/>
        <v/>
      </c>
    </row>
    <row r="448">
      <c r="A448" s="61" t="str">
        <f t="shared" si="1"/>
        <v/>
      </c>
      <c r="B448" s="73"/>
      <c r="C448" s="76"/>
      <c r="D448" s="76" t="str">
        <f>VLOOKUP(B448,'HEAD OF THE FAMILY'!B448:J1934,9,FALSE)</f>
        <v>#N/A</v>
      </c>
      <c r="E448" s="3"/>
      <c r="F448" s="3"/>
      <c r="G448" s="7"/>
      <c r="H448" s="7"/>
      <c r="I448" s="7"/>
      <c r="J448" s="60"/>
      <c r="K448" s="60" t="str">
        <f t="shared" si="2"/>
        <v/>
      </c>
    </row>
    <row r="449">
      <c r="A449" s="61" t="str">
        <f t="shared" si="1"/>
        <v/>
      </c>
      <c r="B449" s="73"/>
      <c r="C449" s="76"/>
      <c r="D449" s="76" t="str">
        <f>VLOOKUP(B449,'HEAD OF THE FAMILY'!B449:J1934,9,FALSE)</f>
        <v>#N/A</v>
      </c>
      <c r="E449" s="3"/>
      <c r="F449" s="3"/>
      <c r="G449" s="7"/>
      <c r="H449" s="7"/>
      <c r="I449" s="7"/>
      <c r="J449" s="60"/>
      <c r="K449" s="60" t="str">
        <f t="shared" si="2"/>
        <v/>
      </c>
    </row>
    <row r="450">
      <c r="A450" s="61" t="str">
        <f t="shared" si="1"/>
        <v/>
      </c>
      <c r="B450" s="73"/>
      <c r="C450" s="76"/>
      <c r="D450" s="76" t="str">
        <f>VLOOKUP(B450,'HEAD OF THE FAMILY'!B450:J1934,9,FALSE)</f>
        <v>#N/A</v>
      </c>
      <c r="E450" s="3"/>
      <c r="F450" s="3"/>
      <c r="G450" s="7"/>
      <c r="H450" s="7"/>
      <c r="I450" s="7"/>
      <c r="J450" s="60"/>
      <c r="K450" s="60" t="str">
        <f t="shared" si="2"/>
        <v/>
      </c>
    </row>
    <row r="451">
      <c r="A451" s="61" t="str">
        <f t="shared" si="1"/>
        <v/>
      </c>
      <c r="B451" s="73"/>
      <c r="C451" s="76"/>
      <c r="D451" s="76" t="str">
        <f>VLOOKUP(B451,'HEAD OF THE FAMILY'!B451:J1934,9,FALSE)</f>
        <v>#N/A</v>
      </c>
      <c r="E451" s="3"/>
      <c r="F451" s="3"/>
      <c r="G451" s="7"/>
      <c r="H451" s="7"/>
      <c r="I451" s="7"/>
      <c r="J451" s="60"/>
      <c r="K451" s="60" t="str">
        <f t="shared" si="2"/>
        <v/>
      </c>
    </row>
    <row r="452">
      <c r="A452" s="61" t="str">
        <f t="shared" si="1"/>
        <v/>
      </c>
      <c r="B452" s="73"/>
      <c r="C452" s="76"/>
      <c r="D452" s="76" t="str">
        <f>VLOOKUP(B452,'HEAD OF THE FAMILY'!B452:J1934,9,FALSE)</f>
        <v>#N/A</v>
      </c>
      <c r="E452" s="3"/>
      <c r="F452" s="3"/>
      <c r="G452" s="7"/>
      <c r="H452" s="7"/>
      <c r="I452" s="7"/>
      <c r="J452" s="60"/>
      <c r="K452" s="60" t="str">
        <f t="shared" si="2"/>
        <v/>
      </c>
    </row>
    <row r="453">
      <c r="A453" s="61" t="str">
        <f t="shared" si="1"/>
        <v/>
      </c>
      <c r="B453" s="73"/>
      <c r="C453" s="76"/>
      <c r="D453" s="76" t="str">
        <f>VLOOKUP(B453,'HEAD OF THE FAMILY'!B453:J1934,9,FALSE)</f>
        <v>#N/A</v>
      </c>
      <c r="E453" s="3"/>
      <c r="F453" s="3"/>
      <c r="G453" s="7"/>
      <c r="H453" s="7"/>
      <c r="I453" s="7"/>
      <c r="J453" s="60"/>
      <c r="K453" s="60" t="str">
        <f t="shared" si="2"/>
        <v/>
      </c>
    </row>
    <row r="454">
      <c r="A454" s="61" t="str">
        <f t="shared" si="1"/>
        <v/>
      </c>
      <c r="B454" s="73"/>
      <c r="C454" s="76"/>
      <c r="D454" s="76" t="str">
        <f>VLOOKUP(B454,'HEAD OF THE FAMILY'!B454:J1934,9,FALSE)</f>
        <v>#N/A</v>
      </c>
      <c r="E454" s="3"/>
      <c r="F454" s="3"/>
      <c r="G454" s="7"/>
      <c r="H454" s="7"/>
      <c r="I454" s="7"/>
      <c r="J454" s="60"/>
      <c r="K454" s="60" t="str">
        <f t="shared" si="2"/>
        <v/>
      </c>
    </row>
    <row r="455">
      <c r="A455" s="61" t="str">
        <f t="shared" si="1"/>
        <v/>
      </c>
      <c r="B455" s="73"/>
      <c r="C455" s="76"/>
      <c r="D455" s="76" t="str">
        <f>VLOOKUP(B455,'HEAD OF THE FAMILY'!B455:J1934,9,FALSE)</f>
        <v>#N/A</v>
      </c>
      <c r="E455" s="3"/>
      <c r="F455" s="3"/>
      <c r="G455" s="7"/>
      <c r="H455" s="7"/>
      <c r="I455" s="7"/>
      <c r="J455" s="60"/>
      <c r="K455" s="60" t="str">
        <f t="shared" si="2"/>
        <v/>
      </c>
    </row>
    <row r="456">
      <c r="A456" s="61" t="str">
        <f t="shared" si="1"/>
        <v/>
      </c>
      <c r="B456" s="73"/>
      <c r="C456" s="76"/>
      <c r="D456" s="76" t="str">
        <f>VLOOKUP(B456,'HEAD OF THE FAMILY'!B456:J1934,9,FALSE)</f>
        <v>#N/A</v>
      </c>
      <c r="E456" s="3"/>
      <c r="F456" s="3"/>
      <c r="G456" s="7"/>
      <c r="H456" s="7"/>
      <c r="I456" s="7"/>
      <c r="J456" s="60"/>
      <c r="K456" s="60" t="str">
        <f t="shared" si="2"/>
        <v/>
      </c>
    </row>
    <row r="457">
      <c r="A457" s="61" t="str">
        <f t="shared" si="1"/>
        <v/>
      </c>
      <c r="B457" s="73"/>
      <c r="C457" s="76"/>
      <c r="D457" s="76" t="str">
        <f>VLOOKUP(B457,'HEAD OF THE FAMILY'!B457:J1934,9,FALSE)</f>
        <v>#N/A</v>
      </c>
      <c r="E457" s="3"/>
      <c r="F457" s="3"/>
      <c r="G457" s="7"/>
      <c r="H457" s="7"/>
      <c r="I457" s="7"/>
      <c r="J457" s="60"/>
      <c r="K457" s="60" t="str">
        <f t="shared" si="2"/>
        <v/>
      </c>
    </row>
    <row r="458">
      <c r="A458" s="61" t="str">
        <f t="shared" si="1"/>
        <v/>
      </c>
      <c r="B458" s="73"/>
      <c r="C458" s="76"/>
      <c r="D458" s="76" t="str">
        <f>VLOOKUP(B458,'HEAD OF THE FAMILY'!B458:J1934,9,FALSE)</f>
        <v>#N/A</v>
      </c>
      <c r="E458" s="3"/>
      <c r="F458" s="3"/>
      <c r="G458" s="7"/>
      <c r="H458" s="7"/>
      <c r="I458" s="7"/>
      <c r="J458" s="60"/>
      <c r="K458" s="60" t="str">
        <f t="shared" si="2"/>
        <v/>
      </c>
    </row>
    <row r="459">
      <c r="A459" s="61" t="str">
        <f t="shared" si="1"/>
        <v/>
      </c>
      <c r="B459" s="73"/>
      <c r="C459" s="76"/>
      <c r="D459" s="76" t="str">
        <f>VLOOKUP(B459,'HEAD OF THE FAMILY'!B459:J1934,9,FALSE)</f>
        <v>#N/A</v>
      </c>
      <c r="E459" s="3"/>
      <c r="F459" s="3"/>
      <c r="G459" s="7"/>
      <c r="H459" s="7"/>
      <c r="I459" s="7"/>
      <c r="J459" s="60"/>
      <c r="K459" s="60" t="str">
        <f t="shared" si="2"/>
        <v/>
      </c>
    </row>
    <row r="460">
      <c r="A460" s="61" t="str">
        <f t="shared" si="1"/>
        <v/>
      </c>
      <c r="B460" s="73"/>
      <c r="C460" s="76"/>
      <c r="D460" s="76" t="str">
        <f>VLOOKUP(B460,'HEAD OF THE FAMILY'!B460:J1934,9,FALSE)</f>
        <v>#N/A</v>
      </c>
      <c r="E460" s="3"/>
      <c r="F460" s="3"/>
      <c r="G460" s="7"/>
      <c r="H460" s="7"/>
      <c r="I460" s="7"/>
      <c r="J460" s="60"/>
      <c r="K460" s="60" t="str">
        <f t="shared" si="2"/>
        <v/>
      </c>
    </row>
    <row r="461">
      <c r="A461" s="61" t="str">
        <f t="shared" si="1"/>
        <v/>
      </c>
      <c r="B461" s="73"/>
      <c r="C461" s="76"/>
      <c r="D461" s="76" t="str">
        <f>VLOOKUP(B461,'HEAD OF THE FAMILY'!B461:J1934,9,FALSE)</f>
        <v>#N/A</v>
      </c>
      <c r="E461" s="3"/>
      <c r="F461" s="3"/>
      <c r="G461" s="7"/>
      <c r="H461" s="7"/>
      <c r="I461" s="7"/>
      <c r="J461" s="60"/>
      <c r="K461" s="60" t="str">
        <f t="shared" si="2"/>
        <v/>
      </c>
    </row>
    <row r="462">
      <c r="A462" s="61" t="str">
        <f t="shared" si="1"/>
        <v/>
      </c>
      <c r="B462" s="73"/>
      <c r="C462" s="76"/>
      <c r="D462" s="76" t="str">
        <f>VLOOKUP(B462,'HEAD OF THE FAMILY'!B462:J1934,9,FALSE)</f>
        <v>#N/A</v>
      </c>
      <c r="E462" s="3"/>
      <c r="F462" s="3"/>
      <c r="G462" s="7"/>
      <c r="H462" s="7"/>
      <c r="I462" s="7"/>
      <c r="J462" s="60"/>
      <c r="K462" s="60" t="str">
        <f t="shared" si="2"/>
        <v/>
      </c>
    </row>
    <row r="463">
      <c r="A463" s="61" t="str">
        <f t="shared" si="1"/>
        <v/>
      </c>
      <c r="B463" s="73"/>
      <c r="C463" s="76"/>
      <c r="D463" s="76" t="str">
        <f>VLOOKUP(B463,'HEAD OF THE FAMILY'!B463:J1934,9,FALSE)</f>
        <v>#N/A</v>
      </c>
      <c r="E463" s="3"/>
      <c r="F463" s="3"/>
      <c r="G463" s="7"/>
      <c r="H463" s="7"/>
      <c r="I463" s="7"/>
      <c r="J463" s="60"/>
      <c r="K463" s="60" t="str">
        <f t="shared" si="2"/>
        <v/>
      </c>
    </row>
    <row r="464">
      <c r="A464" s="61" t="str">
        <f t="shared" si="1"/>
        <v/>
      </c>
      <c r="B464" s="73"/>
      <c r="C464" s="76"/>
      <c r="D464" s="76" t="str">
        <f>VLOOKUP(B464,'HEAD OF THE FAMILY'!B464:J1934,9,FALSE)</f>
        <v>#N/A</v>
      </c>
      <c r="E464" s="3"/>
      <c r="F464" s="3"/>
      <c r="G464" s="7"/>
      <c r="H464" s="7"/>
      <c r="I464" s="7"/>
      <c r="J464" s="60"/>
      <c r="K464" s="60" t="str">
        <f t="shared" si="2"/>
        <v/>
      </c>
    </row>
    <row r="465">
      <c r="A465" s="61" t="str">
        <f t="shared" si="1"/>
        <v/>
      </c>
      <c r="B465" s="73"/>
      <c r="C465" s="76"/>
      <c r="D465" s="76" t="str">
        <f>VLOOKUP(B465,'HEAD OF THE FAMILY'!B465:J1934,9,FALSE)</f>
        <v>#N/A</v>
      </c>
      <c r="E465" s="3"/>
      <c r="F465" s="3"/>
      <c r="G465" s="7"/>
      <c r="H465" s="7"/>
      <c r="I465" s="7"/>
      <c r="J465" s="60"/>
      <c r="K465" s="60" t="str">
        <f t="shared" si="2"/>
        <v/>
      </c>
    </row>
    <row r="466">
      <c r="A466" s="61" t="str">
        <f t="shared" si="1"/>
        <v/>
      </c>
      <c r="B466" s="73"/>
      <c r="C466" s="76"/>
      <c r="D466" s="76" t="str">
        <f>VLOOKUP(B466,'HEAD OF THE FAMILY'!B466:J1934,9,FALSE)</f>
        <v>#N/A</v>
      </c>
      <c r="E466" s="3"/>
      <c r="F466" s="3"/>
      <c r="G466" s="7"/>
      <c r="H466" s="7"/>
      <c r="I466" s="7"/>
      <c r="J466" s="60"/>
      <c r="K466" s="60" t="str">
        <f t="shared" si="2"/>
        <v/>
      </c>
    </row>
    <row r="467">
      <c r="A467" s="61" t="str">
        <f t="shared" si="1"/>
        <v/>
      </c>
      <c r="B467" s="73"/>
      <c r="C467" s="76"/>
      <c r="D467" s="76" t="str">
        <f>VLOOKUP(B467,'HEAD OF THE FAMILY'!B467:J1934,9,FALSE)</f>
        <v>#N/A</v>
      </c>
      <c r="E467" s="3"/>
      <c r="F467" s="3"/>
      <c r="G467" s="7"/>
      <c r="H467" s="7"/>
      <c r="I467" s="7"/>
      <c r="J467" s="60"/>
      <c r="K467" s="60" t="str">
        <f t="shared" si="2"/>
        <v/>
      </c>
    </row>
    <row r="468">
      <c r="A468" s="61" t="str">
        <f t="shared" si="1"/>
        <v/>
      </c>
      <c r="B468" s="73"/>
      <c r="C468" s="76"/>
      <c r="D468" s="76" t="str">
        <f>VLOOKUP(B468,'HEAD OF THE FAMILY'!B468:J1934,9,FALSE)</f>
        <v>#N/A</v>
      </c>
      <c r="E468" s="3"/>
      <c r="F468" s="3"/>
      <c r="G468" s="7"/>
      <c r="H468" s="7"/>
      <c r="I468" s="7"/>
      <c r="J468" s="60"/>
      <c r="K468" s="60" t="str">
        <f t="shared" si="2"/>
        <v/>
      </c>
    </row>
    <row r="469">
      <c r="A469" s="61" t="str">
        <f t="shared" si="1"/>
        <v/>
      </c>
      <c r="B469" s="73"/>
      <c r="C469" s="76"/>
      <c r="D469" s="76" t="str">
        <f>VLOOKUP(B469,'HEAD OF THE FAMILY'!B469:J1934,9,FALSE)</f>
        <v>#N/A</v>
      </c>
      <c r="E469" s="3"/>
      <c r="F469" s="3"/>
      <c r="G469" s="7"/>
      <c r="H469" s="7"/>
      <c r="I469" s="7"/>
      <c r="J469" s="60"/>
      <c r="K469" s="60" t="str">
        <f t="shared" si="2"/>
        <v/>
      </c>
    </row>
    <row r="470">
      <c r="A470" s="61" t="str">
        <f t="shared" si="1"/>
        <v/>
      </c>
      <c r="B470" s="73"/>
      <c r="C470" s="76"/>
      <c r="D470" s="76" t="str">
        <f>VLOOKUP(B470,'HEAD OF THE FAMILY'!B470:J1934,9,FALSE)</f>
        <v>#N/A</v>
      </c>
      <c r="E470" s="3"/>
      <c r="F470" s="3"/>
      <c r="G470" s="7"/>
      <c r="H470" s="7"/>
      <c r="I470" s="7"/>
      <c r="J470" s="60"/>
      <c r="K470" s="60" t="str">
        <f t="shared" si="2"/>
        <v/>
      </c>
    </row>
    <row r="471">
      <c r="A471" s="61" t="str">
        <f t="shared" si="1"/>
        <v/>
      </c>
      <c r="B471" s="73"/>
      <c r="C471" s="76"/>
      <c r="D471" s="76" t="str">
        <f>VLOOKUP(B471,'HEAD OF THE FAMILY'!B471:J1934,9,FALSE)</f>
        <v>#N/A</v>
      </c>
      <c r="E471" s="3"/>
      <c r="F471" s="3"/>
      <c r="G471" s="7"/>
      <c r="H471" s="7"/>
      <c r="I471" s="7"/>
      <c r="J471" s="60"/>
      <c r="K471" s="60" t="str">
        <f t="shared" si="2"/>
        <v/>
      </c>
    </row>
    <row r="472">
      <c r="A472" s="61" t="str">
        <f t="shared" si="1"/>
        <v/>
      </c>
      <c r="B472" s="73"/>
      <c r="C472" s="76"/>
      <c r="D472" s="76" t="str">
        <f>VLOOKUP(B472,'HEAD OF THE FAMILY'!B472:J1934,9,FALSE)</f>
        <v>#N/A</v>
      </c>
      <c r="E472" s="3"/>
      <c r="F472" s="3"/>
      <c r="G472" s="7"/>
      <c r="H472" s="7"/>
      <c r="I472" s="7"/>
      <c r="J472" s="60"/>
      <c r="K472" s="60" t="str">
        <f t="shared" si="2"/>
        <v/>
      </c>
    </row>
    <row r="473">
      <c r="A473" s="61" t="str">
        <f t="shared" si="1"/>
        <v/>
      </c>
      <c r="B473" s="73"/>
      <c r="C473" s="76"/>
      <c r="D473" s="76" t="str">
        <f>VLOOKUP(B473,'HEAD OF THE FAMILY'!B473:J1934,9,FALSE)</f>
        <v>#N/A</v>
      </c>
      <c r="E473" s="3"/>
      <c r="F473" s="3"/>
      <c r="G473" s="7"/>
      <c r="H473" s="7"/>
      <c r="I473" s="7"/>
      <c r="J473" s="60"/>
      <c r="K473" s="60" t="str">
        <f t="shared" si="2"/>
        <v/>
      </c>
    </row>
    <row r="474">
      <c r="A474" s="61" t="str">
        <f t="shared" si="1"/>
        <v/>
      </c>
      <c r="B474" s="73"/>
      <c r="C474" s="76"/>
      <c r="D474" s="76" t="str">
        <f>VLOOKUP(B474,'HEAD OF THE FAMILY'!B474:J1934,9,FALSE)</f>
        <v>#N/A</v>
      </c>
      <c r="E474" s="3"/>
      <c r="F474" s="3"/>
      <c r="G474" s="7"/>
      <c r="H474" s="7"/>
      <c r="I474" s="7"/>
      <c r="J474" s="60"/>
      <c r="K474" s="60" t="str">
        <f t="shared" si="2"/>
        <v/>
      </c>
    </row>
    <row r="475">
      <c r="A475" s="61" t="str">
        <f t="shared" si="1"/>
        <v/>
      </c>
      <c r="B475" s="73"/>
      <c r="C475" s="76"/>
      <c r="D475" s="76" t="str">
        <f>VLOOKUP(B475,'HEAD OF THE FAMILY'!B475:J1934,9,FALSE)</f>
        <v>#N/A</v>
      </c>
      <c r="E475" s="3"/>
      <c r="F475" s="3"/>
      <c r="G475" s="7"/>
      <c r="H475" s="7"/>
      <c r="I475" s="7"/>
      <c r="J475" s="60"/>
      <c r="K475" s="60" t="str">
        <f t="shared" si="2"/>
        <v/>
      </c>
    </row>
    <row r="476">
      <c r="A476" s="61" t="str">
        <f t="shared" si="1"/>
        <v/>
      </c>
      <c r="B476" s="73"/>
      <c r="C476" s="76"/>
      <c r="D476" s="76" t="str">
        <f>VLOOKUP(B476,'HEAD OF THE FAMILY'!B476:J1934,9,FALSE)</f>
        <v>#N/A</v>
      </c>
      <c r="E476" s="3"/>
      <c r="F476" s="3"/>
      <c r="G476" s="7"/>
      <c r="H476" s="7"/>
      <c r="I476" s="7"/>
      <c r="J476" s="60"/>
      <c r="K476" s="60" t="str">
        <f t="shared" si="2"/>
        <v/>
      </c>
    </row>
    <row r="477">
      <c r="A477" s="61" t="str">
        <f t="shared" si="1"/>
        <v/>
      </c>
      <c r="B477" s="73"/>
      <c r="C477" s="76"/>
      <c r="D477" s="76" t="str">
        <f>VLOOKUP(B477,'HEAD OF THE FAMILY'!B477:J1934,9,FALSE)</f>
        <v>#N/A</v>
      </c>
      <c r="E477" s="3"/>
      <c r="F477" s="3"/>
      <c r="G477" s="7"/>
      <c r="H477" s="7"/>
      <c r="I477" s="7"/>
      <c r="J477" s="60"/>
      <c r="K477" s="60" t="str">
        <f t="shared" si="2"/>
        <v/>
      </c>
    </row>
    <row r="478">
      <c r="A478" s="61" t="str">
        <f t="shared" si="1"/>
        <v/>
      </c>
      <c r="B478" s="73"/>
      <c r="C478" s="76"/>
      <c r="D478" s="76" t="str">
        <f>VLOOKUP(B478,'HEAD OF THE FAMILY'!B478:J1934,9,FALSE)</f>
        <v>#N/A</v>
      </c>
      <c r="E478" s="3"/>
      <c r="F478" s="3"/>
      <c r="G478" s="7"/>
      <c r="H478" s="7"/>
      <c r="I478" s="7"/>
      <c r="J478" s="60"/>
      <c r="K478" s="60" t="str">
        <f t="shared" si="2"/>
        <v/>
      </c>
    </row>
    <row r="479">
      <c r="A479" s="61" t="str">
        <f t="shared" si="1"/>
        <v/>
      </c>
      <c r="B479" s="73"/>
      <c r="C479" s="76"/>
      <c r="D479" s="76" t="str">
        <f>VLOOKUP(B479,'HEAD OF THE FAMILY'!B479:J1934,9,FALSE)</f>
        <v>#N/A</v>
      </c>
      <c r="E479" s="3"/>
      <c r="F479" s="3"/>
      <c r="G479" s="7"/>
      <c r="H479" s="7"/>
      <c r="I479" s="7"/>
      <c r="J479" s="60"/>
      <c r="K479" s="60" t="str">
        <f t="shared" si="2"/>
        <v/>
      </c>
    </row>
    <row r="480">
      <c r="A480" s="61" t="str">
        <f t="shared" si="1"/>
        <v/>
      </c>
      <c r="B480" s="73"/>
      <c r="C480" s="76"/>
      <c r="D480" s="76" t="str">
        <f>VLOOKUP(B480,'HEAD OF THE FAMILY'!B480:J1934,9,FALSE)</f>
        <v>#N/A</v>
      </c>
      <c r="E480" s="3"/>
      <c r="F480" s="3"/>
      <c r="G480" s="7"/>
      <c r="H480" s="7"/>
      <c r="I480" s="7"/>
      <c r="J480" s="60"/>
      <c r="K480" s="60" t="str">
        <f t="shared" si="2"/>
        <v/>
      </c>
    </row>
    <row r="481">
      <c r="A481" s="61" t="str">
        <f t="shared" si="1"/>
        <v/>
      </c>
      <c r="B481" s="73"/>
      <c r="C481" s="76"/>
      <c r="D481" s="76" t="str">
        <f>VLOOKUP(B481,'HEAD OF THE FAMILY'!B481:J1934,9,FALSE)</f>
        <v>#N/A</v>
      </c>
      <c r="E481" s="3"/>
      <c r="F481" s="3"/>
      <c r="G481" s="7"/>
      <c r="H481" s="7"/>
      <c r="I481" s="7"/>
      <c r="J481" s="60"/>
      <c r="K481" s="60" t="str">
        <f t="shared" si="2"/>
        <v/>
      </c>
    </row>
    <row r="482">
      <c r="A482" s="61" t="str">
        <f t="shared" si="1"/>
        <v/>
      </c>
      <c r="B482" s="73"/>
      <c r="C482" s="76"/>
      <c r="D482" s="76" t="str">
        <f>VLOOKUP(B482,'HEAD OF THE FAMILY'!B482:J1934,9,FALSE)</f>
        <v>#N/A</v>
      </c>
      <c r="E482" s="3"/>
      <c r="F482" s="3"/>
      <c r="G482" s="7"/>
      <c r="H482" s="7"/>
      <c r="I482" s="7"/>
      <c r="J482" s="60"/>
      <c r="K482" s="60" t="str">
        <f t="shared" si="2"/>
        <v/>
      </c>
    </row>
    <row r="483">
      <c r="A483" s="61" t="str">
        <f t="shared" si="1"/>
        <v/>
      </c>
      <c r="B483" s="73"/>
      <c r="C483" s="76"/>
      <c r="D483" s="76" t="str">
        <f>VLOOKUP(B483,'HEAD OF THE FAMILY'!B483:J1934,9,FALSE)</f>
        <v>#N/A</v>
      </c>
      <c r="E483" s="3"/>
      <c r="F483" s="3"/>
      <c r="G483" s="7"/>
      <c r="H483" s="7"/>
      <c r="I483" s="7"/>
      <c r="J483" s="60"/>
      <c r="K483" s="60" t="str">
        <f t="shared" si="2"/>
        <v/>
      </c>
    </row>
    <row r="484">
      <c r="A484" s="61" t="str">
        <f t="shared" si="1"/>
        <v/>
      </c>
      <c r="B484" s="73"/>
      <c r="C484" s="76"/>
      <c r="D484" s="76" t="str">
        <f>VLOOKUP(B484,'HEAD OF THE FAMILY'!B484:J1934,9,FALSE)</f>
        <v>#N/A</v>
      </c>
      <c r="E484" s="3"/>
      <c r="F484" s="3"/>
      <c r="G484" s="7"/>
      <c r="H484" s="7"/>
      <c r="I484" s="7"/>
      <c r="J484" s="60"/>
      <c r="K484" s="60" t="str">
        <f t="shared" si="2"/>
        <v/>
      </c>
    </row>
    <row r="485">
      <c r="A485" s="61" t="str">
        <f t="shared" si="1"/>
        <v/>
      </c>
      <c r="B485" s="73"/>
      <c r="C485" s="76"/>
      <c r="D485" s="76" t="str">
        <f>VLOOKUP(B485,'HEAD OF THE FAMILY'!B485:J1934,9,FALSE)</f>
        <v>#N/A</v>
      </c>
      <c r="E485" s="3"/>
      <c r="F485" s="3"/>
      <c r="G485" s="7"/>
      <c r="H485" s="7"/>
      <c r="I485" s="7"/>
      <c r="J485" s="60"/>
      <c r="K485" s="60" t="str">
        <f t="shared" si="2"/>
        <v/>
      </c>
    </row>
    <row r="486">
      <c r="A486" s="61" t="str">
        <f t="shared" si="1"/>
        <v/>
      </c>
      <c r="B486" s="73"/>
      <c r="C486" s="76"/>
      <c r="D486" s="76" t="str">
        <f>VLOOKUP(B486,'HEAD OF THE FAMILY'!B486:J1934,9,FALSE)</f>
        <v>#N/A</v>
      </c>
      <c r="E486" s="3"/>
      <c r="F486" s="3"/>
      <c r="G486" s="7"/>
      <c r="H486" s="7"/>
      <c r="I486" s="7"/>
      <c r="J486" s="60"/>
      <c r="K486" s="60" t="str">
        <f t="shared" si="2"/>
        <v/>
      </c>
    </row>
    <row r="487">
      <c r="A487" s="61" t="str">
        <f t="shared" si="1"/>
        <v/>
      </c>
      <c r="B487" s="73"/>
      <c r="C487" s="76"/>
      <c r="D487" s="76" t="str">
        <f>VLOOKUP(B487,'HEAD OF THE FAMILY'!B487:J1934,9,FALSE)</f>
        <v>#N/A</v>
      </c>
      <c r="E487" s="3"/>
      <c r="F487" s="3"/>
      <c r="G487" s="7"/>
      <c r="H487" s="7"/>
      <c r="I487" s="7"/>
      <c r="J487" s="60"/>
      <c r="K487" s="60" t="str">
        <f t="shared" si="2"/>
        <v/>
      </c>
    </row>
    <row r="488">
      <c r="A488" s="61" t="str">
        <f t="shared" si="1"/>
        <v/>
      </c>
      <c r="B488" s="73"/>
      <c r="C488" s="76"/>
      <c r="D488" s="76" t="str">
        <f>VLOOKUP(B488,'HEAD OF THE FAMILY'!B488:J1934,9,FALSE)</f>
        <v>#N/A</v>
      </c>
      <c r="E488" s="3"/>
      <c r="F488" s="3"/>
      <c r="G488" s="7"/>
      <c r="H488" s="7"/>
      <c r="I488" s="7"/>
      <c r="J488" s="60"/>
      <c r="K488" s="60" t="str">
        <f t="shared" si="2"/>
        <v/>
      </c>
    </row>
    <row r="489">
      <c r="A489" s="61" t="str">
        <f t="shared" si="1"/>
        <v/>
      </c>
      <c r="B489" s="73"/>
      <c r="C489" s="76"/>
      <c r="D489" s="76" t="str">
        <f>VLOOKUP(B489,'HEAD OF THE FAMILY'!B489:J1934,9,FALSE)</f>
        <v>#N/A</v>
      </c>
      <c r="E489" s="3"/>
      <c r="F489" s="3"/>
      <c r="G489" s="7"/>
      <c r="H489" s="7"/>
      <c r="I489" s="7"/>
      <c r="J489" s="60"/>
      <c r="K489" s="60" t="str">
        <f t="shared" si="2"/>
        <v/>
      </c>
    </row>
    <row r="490">
      <c r="A490" s="61" t="str">
        <f t="shared" si="1"/>
        <v/>
      </c>
      <c r="B490" s="73"/>
      <c r="C490" s="76"/>
      <c r="D490" s="76" t="str">
        <f>VLOOKUP(B490,'HEAD OF THE FAMILY'!B490:J1934,9,FALSE)</f>
        <v>#N/A</v>
      </c>
      <c r="E490" s="3"/>
      <c r="F490" s="3"/>
      <c r="G490" s="7"/>
      <c r="H490" s="7"/>
      <c r="I490" s="7"/>
      <c r="J490" s="60"/>
      <c r="K490" s="60" t="str">
        <f t="shared" si="2"/>
        <v/>
      </c>
    </row>
    <row r="491">
      <c r="A491" s="61" t="str">
        <f t="shared" si="1"/>
        <v/>
      </c>
      <c r="B491" s="73"/>
      <c r="C491" s="76"/>
      <c r="D491" s="76" t="str">
        <f>VLOOKUP(B491,'HEAD OF THE FAMILY'!B491:J1934,9,FALSE)</f>
        <v>#N/A</v>
      </c>
      <c r="E491" s="3"/>
      <c r="F491" s="3"/>
      <c r="G491" s="7"/>
      <c r="H491" s="7"/>
      <c r="I491" s="7"/>
      <c r="J491" s="60"/>
      <c r="K491" s="60" t="str">
        <f t="shared" si="2"/>
        <v/>
      </c>
    </row>
    <row r="492">
      <c r="A492" s="61" t="str">
        <f t="shared" si="1"/>
        <v/>
      </c>
      <c r="B492" s="73"/>
      <c r="C492" s="76"/>
      <c r="D492" s="76" t="str">
        <f>VLOOKUP(B492,'HEAD OF THE FAMILY'!B492:J1934,9,FALSE)</f>
        <v>#N/A</v>
      </c>
      <c r="E492" s="3"/>
      <c r="F492" s="3"/>
      <c r="G492" s="7"/>
      <c r="H492" s="7"/>
      <c r="I492" s="7"/>
      <c r="J492" s="60"/>
      <c r="K492" s="60" t="str">
        <f t="shared" si="2"/>
        <v/>
      </c>
    </row>
    <row r="493">
      <c r="A493" s="61" t="str">
        <f t="shared" si="1"/>
        <v/>
      </c>
      <c r="B493" s="73"/>
      <c r="C493" s="76"/>
      <c r="D493" s="76" t="str">
        <f>VLOOKUP(B493,'HEAD OF THE FAMILY'!B493:J1934,9,FALSE)</f>
        <v>#N/A</v>
      </c>
      <c r="E493" s="3"/>
      <c r="F493" s="3"/>
      <c r="G493" s="7"/>
      <c r="H493" s="7"/>
      <c r="I493" s="7"/>
      <c r="J493" s="60"/>
      <c r="K493" s="60" t="str">
        <f t="shared" si="2"/>
        <v/>
      </c>
    </row>
    <row r="494">
      <c r="A494" s="61" t="str">
        <f t="shared" si="1"/>
        <v/>
      </c>
      <c r="B494" s="73"/>
      <c r="C494" s="76"/>
      <c r="D494" s="76" t="str">
        <f>VLOOKUP(B494,'HEAD OF THE FAMILY'!B494:J1934,9,FALSE)</f>
        <v>#N/A</v>
      </c>
      <c r="E494" s="3"/>
      <c r="F494" s="3"/>
      <c r="G494" s="7"/>
      <c r="H494" s="7"/>
      <c r="I494" s="7"/>
      <c r="J494" s="60"/>
      <c r="K494" s="60" t="str">
        <f t="shared" si="2"/>
        <v/>
      </c>
    </row>
    <row r="495">
      <c r="A495" s="61" t="str">
        <f t="shared" si="1"/>
        <v/>
      </c>
      <c r="B495" s="73"/>
      <c r="C495" s="76"/>
      <c r="D495" s="76" t="str">
        <f>VLOOKUP(B495,'HEAD OF THE FAMILY'!B495:J1934,9,FALSE)</f>
        <v>#N/A</v>
      </c>
      <c r="E495" s="3"/>
      <c r="F495" s="3"/>
      <c r="G495" s="7"/>
      <c r="H495" s="7"/>
      <c r="I495" s="7"/>
      <c r="J495" s="60"/>
      <c r="K495" s="60" t="str">
        <f t="shared" si="2"/>
        <v/>
      </c>
    </row>
    <row r="496">
      <c r="A496" s="61" t="str">
        <f t="shared" si="1"/>
        <v/>
      </c>
      <c r="B496" s="73"/>
      <c r="C496" s="76"/>
      <c r="D496" s="76" t="str">
        <f>VLOOKUP(B496,'HEAD OF THE FAMILY'!B496:J1934,9,FALSE)</f>
        <v>#N/A</v>
      </c>
      <c r="E496" s="3"/>
      <c r="F496" s="3"/>
      <c r="G496" s="7"/>
      <c r="H496" s="7"/>
      <c r="I496" s="7"/>
      <c r="J496" s="60"/>
      <c r="K496" s="60" t="str">
        <f t="shared" si="2"/>
        <v/>
      </c>
    </row>
    <row r="497">
      <c r="A497" s="61" t="str">
        <f t="shared" si="1"/>
        <v/>
      </c>
      <c r="B497" s="73"/>
      <c r="C497" s="76"/>
      <c r="D497" s="76" t="str">
        <f>VLOOKUP(B497,'HEAD OF THE FAMILY'!B497:J1934,9,FALSE)</f>
        <v>#N/A</v>
      </c>
      <c r="E497" s="3"/>
      <c r="F497" s="3"/>
      <c r="G497" s="7"/>
      <c r="H497" s="7"/>
      <c r="I497" s="7"/>
      <c r="J497" s="60"/>
      <c r="K497" s="60" t="str">
        <f t="shared" si="2"/>
        <v/>
      </c>
    </row>
    <row r="498">
      <c r="A498" s="61" t="str">
        <f t="shared" si="1"/>
        <v/>
      </c>
      <c r="B498" s="73"/>
      <c r="C498" s="76"/>
      <c r="D498" s="76" t="str">
        <f>VLOOKUP(B498,'HEAD OF THE FAMILY'!B498:J1934,9,FALSE)</f>
        <v>#N/A</v>
      </c>
      <c r="E498" s="3"/>
      <c r="F498" s="3"/>
      <c r="G498" s="7"/>
      <c r="H498" s="7"/>
      <c r="I498" s="7"/>
      <c r="J498" s="60"/>
      <c r="K498" s="60" t="str">
        <f t="shared" si="2"/>
        <v/>
      </c>
    </row>
    <row r="499">
      <c r="A499" s="61" t="str">
        <f t="shared" si="1"/>
        <v/>
      </c>
      <c r="B499" s="73"/>
      <c r="C499" s="76"/>
      <c r="D499" s="76" t="str">
        <f>VLOOKUP(B499,'HEAD OF THE FAMILY'!B499:J1934,9,FALSE)</f>
        <v>#N/A</v>
      </c>
      <c r="E499" s="3"/>
      <c r="F499" s="3"/>
      <c r="G499" s="7"/>
      <c r="H499" s="7"/>
      <c r="I499" s="7"/>
      <c r="J499" s="60"/>
      <c r="K499" s="60" t="str">
        <f t="shared" si="2"/>
        <v/>
      </c>
    </row>
    <row r="500">
      <c r="A500" s="61" t="str">
        <f t="shared" si="1"/>
        <v/>
      </c>
      <c r="B500" s="73"/>
      <c r="C500" s="76"/>
      <c r="D500" s="76" t="str">
        <f>VLOOKUP(B500,'HEAD OF THE FAMILY'!B500:J1934,9,FALSE)</f>
        <v>#N/A</v>
      </c>
      <c r="E500" s="3"/>
      <c r="F500" s="3"/>
      <c r="G500" s="7"/>
      <c r="H500" s="7"/>
      <c r="I500" s="7"/>
      <c r="J500" s="60"/>
      <c r="K500" s="60" t="str">
        <f t="shared" si="2"/>
        <v/>
      </c>
    </row>
    <row r="501">
      <c r="A501" s="61" t="str">
        <f t="shared" si="1"/>
        <v/>
      </c>
      <c r="B501" s="73"/>
      <c r="C501" s="76"/>
      <c r="D501" s="76" t="str">
        <f>VLOOKUP(B501,'HEAD OF THE FAMILY'!B501:J1934,9,FALSE)</f>
        <v>#N/A</v>
      </c>
      <c r="E501" s="3"/>
      <c r="F501" s="3"/>
      <c r="G501" s="7"/>
      <c r="H501" s="7"/>
      <c r="I501" s="7"/>
      <c r="J501" s="60"/>
      <c r="K501" s="60" t="str">
        <f t="shared" si="2"/>
        <v/>
      </c>
    </row>
    <row r="502">
      <c r="A502" s="61" t="str">
        <f t="shared" si="1"/>
        <v/>
      </c>
      <c r="B502" s="73"/>
      <c r="C502" s="76"/>
      <c r="D502" s="76" t="str">
        <f>VLOOKUP(B502,'HEAD OF THE FAMILY'!B502:J1934,9,FALSE)</f>
        <v>#N/A</v>
      </c>
      <c r="E502" s="3"/>
      <c r="F502" s="3"/>
      <c r="G502" s="7"/>
      <c r="H502" s="7"/>
      <c r="I502" s="7"/>
      <c r="J502" s="60"/>
      <c r="K502" s="60" t="str">
        <f t="shared" si="2"/>
        <v/>
      </c>
    </row>
    <row r="503">
      <c r="A503" s="61" t="str">
        <f t="shared" si="1"/>
        <v/>
      </c>
      <c r="B503" s="73"/>
      <c r="C503" s="76"/>
      <c r="D503" s="76" t="str">
        <f>VLOOKUP(B503,'HEAD OF THE FAMILY'!B503:J1934,9,FALSE)</f>
        <v>#N/A</v>
      </c>
      <c r="E503" s="3"/>
      <c r="F503" s="3"/>
      <c r="G503" s="7"/>
      <c r="H503" s="7"/>
      <c r="I503" s="7"/>
      <c r="J503" s="60"/>
      <c r="K503" s="60" t="str">
        <f t="shared" si="2"/>
        <v/>
      </c>
    </row>
    <row r="504">
      <c r="A504" s="61" t="str">
        <f t="shared" si="1"/>
        <v/>
      </c>
      <c r="B504" s="73"/>
      <c r="C504" s="76"/>
      <c r="D504" s="76" t="str">
        <f>VLOOKUP(B504,'HEAD OF THE FAMILY'!B504:J1934,9,FALSE)</f>
        <v>#N/A</v>
      </c>
      <c r="E504" s="3"/>
      <c r="F504" s="3"/>
      <c r="G504" s="7"/>
      <c r="H504" s="7"/>
      <c r="I504" s="7"/>
      <c r="J504" s="60"/>
      <c r="K504" s="60" t="str">
        <f t="shared" si="2"/>
        <v/>
      </c>
    </row>
    <row r="505">
      <c r="A505" s="61" t="str">
        <f t="shared" si="1"/>
        <v/>
      </c>
      <c r="B505" s="73"/>
      <c r="C505" s="76"/>
      <c r="D505" s="76" t="str">
        <f>VLOOKUP(B505,'HEAD OF THE FAMILY'!B505:J1934,9,FALSE)</f>
        <v>#N/A</v>
      </c>
      <c r="E505" s="3"/>
      <c r="F505" s="3"/>
      <c r="G505" s="7"/>
      <c r="H505" s="7"/>
      <c r="I505" s="7"/>
      <c r="J505" s="60"/>
      <c r="K505" s="60" t="str">
        <f t="shared" si="2"/>
        <v/>
      </c>
    </row>
    <row r="506">
      <c r="A506" s="61" t="str">
        <f t="shared" si="1"/>
        <v/>
      </c>
      <c r="B506" s="73"/>
      <c r="C506" s="76"/>
      <c r="D506" s="76" t="str">
        <f>VLOOKUP(B506,'HEAD OF THE FAMILY'!B506:J1934,9,FALSE)</f>
        <v>#N/A</v>
      </c>
      <c r="E506" s="3"/>
      <c r="F506" s="3"/>
      <c r="G506" s="7"/>
      <c r="H506" s="7"/>
      <c r="I506" s="7"/>
      <c r="J506" s="60"/>
      <c r="K506" s="60" t="str">
        <f t="shared" si="2"/>
        <v/>
      </c>
    </row>
    <row r="507">
      <c r="A507" s="61" t="str">
        <f t="shared" si="1"/>
        <v/>
      </c>
      <c r="B507" s="73"/>
      <c r="C507" s="76"/>
      <c r="D507" s="76" t="str">
        <f>VLOOKUP(B507,'HEAD OF THE FAMILY'!B507:J1934,9,FALSE)</f>
        <v>#N/A</v>
      </c>
      <c r="E507" s="3"/>
      <c r="F507" s="3"/>
      <c r="G507" s="7"/>
      <c r="H507" s="7"/>
      <c r="I507" s="7"/>
      <c r="J507" s="60"/>
      <c r="K507" s="60" t="str">
        <f t="shared" si="2"/>
        <v/>
      </c>
    </row>
    <row r="508">
      <c r="A508" s="61" t="str">
        <f t="shared" si="1"/>
        <v/>
      </c>
      <c r="B508" s="73"/>
      <c r="C508" s="76"/>
      <c r="D508" s="76" t="str">
        <f>VLOOKUP(B508,'HEAD OF THE FAMILY'!B508:J1934,9,FALSE)</f>
        <v>#N/A</v>
      </c>
      <c r="E508" s="3"/>
      <c r="F508" s="3"/>
      <c r="G508" s="7"/>
      <c r="H508" s="7"/>
      <c r="I508" s="7"/>
      <c r="J508" s="60"/>
      <c r="K508" s="60" t="str">
        <f t="shared" si="2"/>
        <v/>
      </c>
    </row>
    <row r="509">
      <c r="A509" s="61" t="str">
        <f t="shared" si="1"/>
        <v/>
      </c>
      <c r="B509" s="73"/>
      <c r="C509" s="76"/>
      <c r="D509" s="76" t="str">
        <f>VLOOKUP(B509,'HEAD OF THE FAMILY'!B509:J1934,9,FALSE)</f>
        <v>#N/A</v>
      </c>
      <c r="E509" s="3"/>
      <c r="F509" s="3"/>
      <c r="G509" s="7"/>
      <c r="H509" s="7"/>
      <c r="I509" s="7"/>
      <c r="J509" s="60"/>
      <c r="K509" s="60" t="str">
        <f t="shared" si="2"/>
        <v/>
      </c>
    </row>
    <row r="510">
      <c r="A510" s="61" t="str">
        <f t="shared" si="1"/>
        <v/>
      </c>
      <c r="B510" s="73"/>
      <c r="C510" s="76"/>
      <c r="D510" s="76" t="str">
        <f>VLOOKUP(B510,'HEAD OF THE FAMILY'!B510:J1934,9,FALSE)</f>
        <v>#N/A</v>
      </c>
      <c r="E510" s="3"/>
      <c r="F510" s="3"/>
      <c r="G510" s="7"/>
      <c r="H510" s="7"/>
      <c r="I510" s="7"/>
      <c r="J510" s="60"/>
      <c r="K510" s="60" t="str">
        <f t="shared" si="2"/>
        <v/>
      </c>
    </row>
    <row r="511">
      <c r="A511" s="61" t="str">
        <f t="shared" si="1"/>
        <v/>
      </c>
      <c r="B511" s="73"/>
      <c r="C511" s="76"/>
      <c r="D511" s="76" t="str">
        <f>VLOOKUP(B511,'HEAD OF THE FAMILY'!B511:J1934,9,FALSE)</f>
        <v>#N/A</v>
      </c>
      <c r="E511" s="3"/>
      <c r="F511" s="3"/>
      <c r="G511" s="7"/>
      <c r="H511" s="7"/>
      <c r="I511" s="7"/>
      <c r="J511" s="60"/>
      <c r="K511" s="60" t="str">
        <f t="shared" si="2"/>
        <v/>
      </c>
    </row>
    <row r="512">
      <c r="A512" s="61" t="str">
        <f t="shared" si="1"/>
        <v/>
      </c>
      <c r="B512" s="73"/>
      <c r="C512" s="76"/>
      <c r="D512" s="76" t="str">
        <f>VLOOKUP(B512,'HEAD OF THE FAMILY'!B512:J1934,9,FALSE)</f>
        <v>#N/A</v>
      </c>
      <c r="E512" s="3"/>
      <c r="F512" s="3"/>
      <c r="G512" s="7"/>
      <c r="H512" s="7"/>
      <c r="I512" s="7"/>
      <c r="J512" s="60"/>
      <c r="K512" s="60" t="str">
        <f t="shared" si="2"/>
        <v/>
      </c>
    </row>
    <row r="513">
      <c r="A513" s="61" t="str">
        <f t="shared" si="1"/>
        <v/>
      </c>
      <c r="B513" s="73"/>
      <c r="C513" s="76"/>
      <c r="D513" s="76" t="str">
        <f>VLOOKUP(B513,'HEAD OF THE FAMILY'!B513:J1934,9,FALSE)</f>
        <v>#N/A</v>
      </c>
      <c r="E513" s="3"/>
      <c r="F513" s="3"/>
      <c r="G513" s="7"/>
      <c r="H513" s="7"/>
      <c r="I513" s="7"/>
      <c r="J513" s="60"/>
      <c r="K513" s="60" t="str">
        <f t="shared" si="2"/>
        <v/>
      </c>
    </row>
    <row r="514">
      <c r="A514" s="61" t="str">
        <f t="shared" si="1"/>
        <v/>
      </c>
      <c r="B514" s="73"/>
      <c r="C514" s="76"/>
      <c r="D514" s="76" t="str">
        <f>VLOOKUP(B514,'HEAD OF THE FAMILY'!B514:J1934,9,FALSE)</f>
        <v>#N/A</v>
      </c>
      <c r="E514" s="3"/>
      <c r="F514" s="3"/>
      <c r="G514" s="7"/>
      <c r="H514" s="7"/>
      <c r="I514" s="7"/>
      <c r="J514" s="60"/>
      <c r="K514" s="60" t="str">
        <f t="shared" si="2"/>
        <v/>
      </c>
    </row>
    <row r="515">
      <c r="A515" s="61" t="str">
        <f t="shared" si="1"/>
        <v/>
      </c>
      <c r="B515" s="73"/>
      <c r="C515" s="76"/>
      <c r="D515" s="76" t="str">
        <f>VLOOKUP(B515,'HEAD OF THE FAMILY'!B515:J1934,9,FALSE)</f>
        <v>#N/A</v>
      </c>
      <c r="E515" s="3"/>
      <c r="F515" s="3"/>
      <c r="G515" s="7"/>
      <c r="H515" s="7"/>
      <c r="I515" s="7"/>
      <c r="J515" s="60"/>
      <c r="K515" s="60" t="str">
        <f t="shared" si="2"/>
        <v/>
      </c>
    </row>
    <row r="516">
      <c r="A516" s="61" t="str">
        <f t="shared" si="1"/>
        <v/>
      </c>
      <c r="B516" s="73"/>
      <c r="C516" s="76"/>
      <c r="D516" s="76" t="str">
        <f>VLOOKUP(B516,'HEAD OF THE FAMILY'!B516:J1934,9,FALSE)</f>
        <v>#N/A</v>
      </c>
      <c r="E516" s="3"/>
      <c r="F516" s="3"/>
      <c r="G516" s="7"/>
      <c r="H516" s="7"/>
      <c r="I516" s="7"/>
      <c r="J516" s="60"/>
      <c r="K516" s="60" t="str">
        <f t="shared" si="2"/>
        <v/>
      </c>
    </row>
    <row r="517">
      <c r="A517" s="61" t="str">
        <f t="shared" si="1"/>
        <v/>
      </c>
      <c r="B517" s="73"/>
      <c r="C517" s="76"/>
      <c r="D517" s="76" t="str">
        <f>VLOOKUP(B517,'HEAD OF THE FAMILY'!B517:J1934,9,FALSE)</f>
        <v>#N/A</v>
      </c>
      <c r="E517" s="3"/>
      <c r="F517" s="3"/>
      <c r="G517" s="7"/>
      <c r="H517" s="7"/>
      <c r="I517" s="7"/>
      <c r="J517" s="60"/>
      <c r="K517" s="60" t="str">
        <f t="shared" si="2"/>
        <v/>
      </c>
    </row>
    <row r="518">
      <c r="A518" s="61" t="str">
        <f t="shared" si="1"/>
        <v/>
      </c>
      <c r="B518" s="73"/>
      <c r="C518" s="76"/>
      <c r="D518" s="76" t="str">
        <f>VLOOKUP(B518,'HEAD OF THE FAMILY'!B518:J1934,9,FALSE)</f>
        <v>#N/A</v>
      </c>
      <c r="E518" s="3"/>
      <c r="F518" s="3"/>
      <c r="G518" s="7"/>
      <c r="H518" s="7"/>
      <c r="I518" s="7"/>
      <c r="J518" s="60"/>
      <c r="K518" s="60" t="str">
        <f t="shared" si="2"/>
        <v/>
      </c>
    </row>
    <row r="519">
      <c r="A519" s="61" t="str">
        <f t="shared" si="1"/>
        <v/>
      </c>
      <c r="B519" s="73"/>
      <c r="C519" s="76"/>
      <c r="D519" s="76" t="str">
        <f>VLOOKUP(B519,'HEAD OF THE FAMILY'!B519:J1934,9,FALSE)</f>
        <v>#N/A</v>
      </c>
      <c r="E519" s="3"/>
      <c r="F519" s="3"/>
      <c r="G519" s="7"/>
      <c r="H519" s="7"/>
      <c r="I519" s="7"/>
      <c r="J519" s="60"/>
      <c r="K519" s="60" t="str">
        <f t="shared" si="2"/>
        <v/>
      </c>
    </row>
    <row r="520">
      <c r="A520" s="61" t="str">
        <f t="shared" si="1"/>
        <v/>
      </c>
      <c r="B520" s="73"/>
      <c r="C520" s="76"/>
      <c r="D520" s="76" t="str">
        <f>VLOOKUP(B520,'HEAD OF THE FAMILY'!B520:J1934,9,FALSE)</f>
        <v>#N/A</v>
      </c>
      <c r="E520" s="3"/>
      <c r="F520" s="3"/>
      <c r="G520" s="7"/>
      <c r="H520" s="7"/>
      <c r="I520" s="7"/>
      <c r="J520" s="60"/>
      <c r="K520" s="60" t="str">
        <f t="shared" si="2"/>
        <v/>
      </c>
    </row>
    <row r="521">
      <c r="A521" s="61" t="str">
        <f t="shared" si="1"/>
        <v/>
      </c>
      <c r="B521" s="73"/>
      <c r="C521" s="76"/>
      <c r="D521" s="76" t="str">
        <f>VLOOKUP(B521,'HEAD OF THE FAMILY'!B521:J1934,9,FALSE)</f>
        <v>#N/A</v>
      </c>
      <c r="E521" s="3"/>
      <c r="F521" s="3"/>
      <c r="G521" s="7"/>
      <c r="H521" s="7"/>
      <c r="I521" s="7"/>
      <c r="J521" s="60"/>
      <c r="K521" s="60" t="str">
        <f t="shared" si="2"/>
        <v/>
      </c>
    </row>
    <row r="522">
      <c r="A522" s="61" t="str">
        <f t="shared" si="1"/>
        <v/>
      </c>
      <c r="B522" s="73"/>
      <c r="C522" s="76"/>
      <c r="D522" s="76" t="str">
        <f>VLOOKUP(B522,'HEAD OF THE FAMILY'!B522:J1934,9,FALSE)</f>
        <v>#N/A</v>
      </c>
      <c r="E522" s="3"/>
      <c r="F522" s="3"/>
      <c r="G522" s="7"/>
      <c r="H522" s="7"/>
      <c r="I522" s="7"/>
      <c r="J522" s="60"/>
      <c r="K522" s="60" t="str">
        <f t="shared" si="2"/>
        <v/>
      </c>
    </row>
    <row r="523">
      <c r="A523" s="61" t="str">
        <f t="shared" si="1"/>
        <v/>
      </c>
      <c r="B523" s="73"/>
      <c r="C523" s="76"/>
      <c r="D523" s="76" t="str">
        <f>VLOOKUP(B523,'HEAD OF THE FAMILY'!B523:J1934,9,FALSE)</f>
        <v>#N/A</v>
      </c>
      <c r="E523" s="3"/>
      <c r="F523" s="3"/>
      <c r="G523" s="7"/>
      <c r="H523" s="7"/>
      <c r="I523" s="7"/>
      <c r="J523" s="60"/>
      <c r="K523" s="60" t="str">
        <f t="shared" si="2"/>
        <v/>
      </c>
    </row>
    <row r="524">
      <c r="A524" s="61" t="str">
        <f t="shared" si="1"/>
        <v/>
      </c>
      <c r="B524" s="73"/>
      <c r="C524" s="76"/>
      <c r="D524" s="76" t="str">
        <f>VLOOKUP(B524,'HEAD OF THE FAMILY'!B524:J1934,9,FALSE)</f>
        <v>#N/A</v>
      </c>
      <c r="E524" s="3"/>
      <c r="F524" s="3"/>
      <c r="G524" s="7"/>
      <c r="H524" s="7"/>
      <c r="I524" s="7"/>
      <c r="J524" s="60"/>
      <c r="K524" s="60" t="str">
        <f t="shared" si="2"/>
        <v/>
      </c>
    </row>
    <row r="525">
      <c r="A525" s="61" t="str">
        <f t="shared" si="1"/>
        <v/>
      </c>
      <c r="B525" s="73"/>
      <c r="C525" s="76"/>
      <c r="D525" s="76" t="str">
        <f>VLOOKUP(B525,'HEAD OF THE FAMILY'!B525:J1934,9,FALSE)</f>
        <v>#N/A</v>
      </c>
      <c r="E525" s="3"/>
      <c r="F525" s="3"/>
      <c r="G525" s="7"/>
      <c r="H525" s="7"/>
      <c r="I525" s="7"/>
      <c r="J525" s="60"/>
      <c r="K525" s="60" t="str">
        <f t="shared" si="2"/>
        <v/>
      </c>
    </row>
    <row r="526">
      <c r="A526" s="61" t="str">
        <f t="shared" si="1"/>
        <v/>
      </c>
      <c r="B526" s="73"/>
      <c r="C526" s="76"/>
      <c r="D526" s="76" t="str">
        <f>VLOOKUP(B526,'HEAD OF THE FAMILY'!B526:J1934,9,FALSE)</f>
        <v>#N/A</v>
      </c>
      <c r="E526" s="3"/>
      <c r="F526" s="3"/>
      <c r="G526" s="7"/>
      <c r="H526" s="7"/>
      <c r="I526" s="7"/>
      <c r="J526" s="60"/>
      <c r="K526" s="60" t="str">
        <f t="shared" si="2"/>
        <v/>
      </c>
    </row>
    <row r="527">
      <c r="A527" s="61" t="str">
        <f t="shared" si="1"/>
        <v/>
      </c>
      <c r="B527" s="73"/>
      <c r="C527" s="76"/>
      <c r="D527" s="76" t="str">
        <f>VLOOKUP(B527,'HEAD OF THE FAMILY'!B527:J1934,9,FALSE)</f>
        <v>#N/A</v>
      </c>
      <c r="E527" s="3"/>
      <c r="F527" s="3"/>
      <c r="G527" s="7"/>
      <c r="H527" s="7"/>
      <c r="I527" s="7"/>
      <c r="J527" s="60"/>
      <c r="K527" s="60" t="str">
        <f t="shared" si="2"/>
        <v/>
      </c>
    </row>
    <row r="528">
      <c r="A528" s="61" t="str">
        <f t="shared" si="1"/>
        <v/>
      </c>
      <c r="B528" s="73"/>
      <c r="C528" s="76"/>
      <c r="D528" s="76" t="str">
        <f>VLOOKUP(B528,'HEAD OF THE FAMILY'!B528:J1934,9,FALSE)</f>
        <v>#N/A</v>
      </c>
      <c r="E528" s="3"/>
      <c r="F528" s="3"/>
      <c r="G528" s="7"/>
      <c r="H528" s="7"/>
      <c r="I528" s="7"/>
      <c r="J528" s="60"/>
      <c r="K528" s="60" t="str">
        <f t="shared" si="2"/>
        <v/>
      </c>
    </row>
    <row r="529">
      <c r="A529" s="61" t="str">
        <f t="shared" si="1"/>
        <v/>
      </c>
      <c r="B529" s="73"/>
      <c r="C529" s="76"/>
      <c r="D529" s="76" t="str">
        <f>VLOOKUP(B529,'HEAD OF THE FAMILY'!B529:J1934,9,FALSE)</f>
        <v>#N/A</v>
      </c>
      <c r="E529" s="3"/>
      <c r="F529" s="3"/>
      <c r="G529" s="7"/>
      <c r="H529" s="7"/>
      <c r="I529" s="7"/>
      <c r="J529" s="60"/>
      <c r="K529" s="60" t="str">
        <f t="shared" si="2"/>
        <v/>
      </c>
    </row>
    <row r="530">
      <c r="A530" s="61" t="str">
        <f t="shared" si="1"/>
        <v/>
      </c>
      <c r="B530" s="73"/>
      <c r="C530" s="76"/>
      <c r="D530" s="76" t="str">
        <f>VLOOKUP(B530,'HEAD OF THE FAMILY'!B530:J1934,9,FALSE)</f>
        <v>#N/A</v>
      </c>
      <c r="E530" s="3"/>
      <c r="F530" s="3"/>
      <c r="G530" s="7"/>
      <c r="H530" s="7"/>
      <c r="I530" s="7"/>
      <c r="J530" s="60"/>
      <c r="K530" s="60" t="str">
        <f t="shared" si="2"/>
        <v/>
      </c>
    </row>
    <row r="531">
      <c r="A531" s="61" t="str">
        <f t="shared" si="1"/>
        <v/>
      </c>
      <c r="B531" s="73"/>
      <c r="C531" s="76"/>
      <c r="D531" s="76" t="str">
        <f>VLOOKUP(B531,'HEAD OF THE FAMILY'!B531:J1934,9,FALSE)</f>
        <v>#N/A</v>
      </c>
      <c r="E531" s="3"/>
      <c r="F531" s="3"/>
      <c r="G531" s="7"/>
      <c r="H531" s="7"/>
      <c r="I531" s="7"/>
      <c r="J531" s="60"/>
      <c r="K531" s="60" t="str">
        <f t="shared" si="2"/>
        <v/>
      </c>
    </row>
    <row r="532">
      <c r="A532" s="61" t="str">
        <f t="shared" si="1"/>
        <v/>
      </c>
      <c r="B532" s="73"/>
      <c r="C532" s="76"/>
      <c r="D532" s="76" t="str">
        <f>VLOOKUP(B532,'HEAD OF THE FAMILY'!B532:J1934,9,FALSE)</f>
        <v>#N/A</v>
      </c>
      <c r="E532" s="3"/>
      <c r="F532" s="3"/>
      <c r="G532" s="7"/>
      <c r="H532" s="7"/>
      <c r="I532" s="7"/>
      <c r="J532" s="60"/>
      <c r="K532" s="60" t="str">
        <f t="shared" si="2"/>
        <v/>
      </c>
    </row>
    <row r="533">
      <c r="A533" s="61" t="str">
        <f t="shared" si="1"/>
        <v/>
      </c>
      <c r="B533" s="73"/>
      <c r="C533" s="76"/>
      <c r="D533" s="76" t="str">
        <f>VLOOKUP(B533,'HEAD OF THE FAMILY'!B533:J1934,9,FALSE)</f>
        <v>#N/A</v>
      </c>
      <c r="E533" s="3"/>
      <c r="F533" s="3"/>
      <c r="G533" s="7"/>
      <c r="H533" s="7"/>
      <c r="I533" s="7"/>
      <c r="J533" s="60"/>
      <c r="K533" s="60" t="str">
        <f t="shared" si="2"/>
        <v/>
      </c>
    </row>
    <row r="534">
      <c r="A534" s="61" t="str">
        <f t="shared" si="1"/>
        <v/>
      </c>
      <c r="B534" s="73"/>
      <c r="C534" s="76"/>
      <c r="D534" s="76" t="str">
        <f>VLOOKUP(B534,'HEAD OF THE FAMILY'!B534:J1934,9,FALSE)</f>
        <v>#N/A</v>
      </c>
      <c r="E534" s="3"/>
      <c r="F534" s="3"/>
      <c r="G534" s="7"/>
      <c r="H534" s="7"/>
      <c r="I534" s="7"/>
      <c r="J534" s="60"/>
      <c r="K534" s="60" t="str">
        <f t="shared" si="2"/>
        <v/>
      </c>
    </row>
    <row r="535">
      <c r="A535" s="61" t="str">
        <f t="shared" si="1"/>
        <v/>
      </c>
      <c r="B535" s="73"/>
      <c r="C535" s="76"/>
      <c r="D535" s="76" t="str">
        <f>VLOOKUP(B535,'HEAD OF THE FAMILY'!B535:J1934,9,FALSE)</f>
        <v>#N/A</v>
      </c>
      <c r="E535" s="3"/>
      <c r="F535" s="3"/>
      <c r="G535" s="7"/>
      <c r="H535" s="7"/>
      <c r="I535" s="7"/>
      <c r="J535" s="60"/>
      <c r="K535" s="60" t="str">
        <f t="shared" si="2"/>
        <v/>
      </c>
    </row>
    <row r="536">
      <c r="A536" s="61" t="str">
        <f t="shared" si="1"/>
        <v/>
      </c>
      <c r="B536" s="73"/>
      <c r="C536" s="76"/>
      <c r="D536" s="76" t="str">
        <f>VLOOKUP(B536,'HEAD OF THE FAMILY'!B536:J1934,9,FALSE)</f>
        <v>#N/A</v>
      </c>
      <c r="E536" s="3"/>
      <c r="F536" s="3"/>
      <c r="G536" s="7"/>
      <c r="H536" s="7"/>
      <c r="I536" s="7"/>
      <c r="J536" s="60"/>
      <c r="K536" s="60" t="str">
        <f t="shared" si="2"/>
        <v/>
      </c>
    </row>
    <row r="537">
      <c r="A537" s="61" t="str">
        <f t="shared" si="1"/>
        <v/>
      </c>
      <c r="B537" s="73"/>
      <c r="C537" s="76"/>
      <c r="D537" s="76" t="str">
        <f>VLOOKUP(B537,'HEAD OF THE FAMILY'!B537:J1934,9,FALSE)</f>
        <v>#N/A</v>
      </c>
      <c r="E537" s="3"/>
      <c r="F537" s="3"/>
      <c r="G537" s="7"/>
      <c r="H537" s="7"/>
      <c r="I537" s="7"/>
      <c r="J537" s="60"/>
      <c r="K537" s="60" t="str">
        <f t="shared" si="2"/>
        <v/>
      </c>
    </row>
    <row r="538">
      <c r="A538" s="61" t="str">
        <f t="shared" si="1"/>
        <v/>
      </c>
      <c r="B538" s="73"/>
      <c r="C538" s="76"/>
      <c r="D538" s="76" t="str">
        <f>VLOOKUP(B538,'HEAD OF THE FAMILY'!B538:J1934,9,FALSE)</f>
        <v>#N/A</v>
      </c>
      <c r="E538" s="3"/>
      <c r="F538" s="3"/>
      <c r="G538" s="7"/>
      <c r="H538" s="7"/>
      <c r="I538" s="7"/>
      <c r="J538" s="60"/>
      <c r="K538" s="60" t="str">
        <f t="shared" si="2"/>
        <v/>
      </c>
    </row>
    <row r="539">
      <c r="A539" s="61" t="str">
        <f t="shared" si="1"/>
        <v/>
      </c>
      <c r="B539" s="73"/>
      <c r="C539" s="76"/>
      <c r="D539" s="76" t="str">
        <f>VLOOKUP(B539,'HEAD OF THE FAMILY'!B539:J1934,9,FALSE)</f>
        <v>#N/A</v>
      </c>
      <c r="E539" s="3"/>
      <c r="F539" s="3"/>
      <c r="G539" s="7"/>
      <c r="H539" s="7"/>
      <c r="I539" s="7"/>
      <c r="J539" s="60"/>
      <c r="K539" s="60" t="str">
        <f t="shared" si="2"/>
        <v/>
      </c>
    </row>
    <row r="540">
      <c r="A540" s="61" t="str">
        <f t="shared" si="1"/>
        <v/>
      </c>
      <c r="B540" s="73"/>
      <c r="C540" s="76"/>
      <c r="D540" s="76" t="str">
        <f>VLOOKUP(B540,'HEAD OF THE FAMILY'!B540:J1934,9,FALSE)</f>
        <v>#N/A</v>
      </c>
      <c r="E540" s="3"/>
      <c r="F540" s="3"/>
      <c r="G540" s="7"/>
      <c r="H540" s="7"/>
      <c r="I540" s="7"/>
      <c r="J540" s="60"/>
      <c r="K540" s="60" t="str">
        <f t="shared" si="2"/>
        <v/>
      </c>
    </row>
    <row r="541">
      <c r="A541" s="61" t="str">
        <f t="shared" si="1"/>
        <v/>
      </c>
      <c r="B541" s="73"/>
      <c r="C541" s="76"/>
      <c r="D541" s="76" t="str">
        <f>VLOOKUP(B541,'HEAD OF THE FAMILY'!B541:J1934,9,FALSE)</f>
        <v>#N/A</v>
      </c>
      <c r="E541" s="3"/>
      <c r="F541" s="3"/>
      <c r="G541" s="7"/>
      <c r="H541" s="7"/>
      <c r="I541" s="7"/>
      <c r="J541" s="60"/>
      <c r="K541" s="60" t="str">
        <f t="shared" si="2"/>
        <v/>
      </c>
    </row>
    <row r="542">
      <c r="A542" s="61" t="str">
        <f t="shared" si="1"/>
        <v/>
      </c>
      <c r="B542" s="73"/>
      <c r="C542" s="76"/>
      <c r="D542" s="76" t="str">
        <f>VLOOKUP(B542,'HEAD OF THE FAMILY'!B542:J1934,9,FALSE)</f>
        <v>#N/A</v>
      </c>
      <c r="E542" s="3"/>
      <c r="F542" s="3"/>
      <c r="G542" s="7"/>
      <c r="H542" s="7"/>
      <c r="I542" s="7"/>
      <c r="J542" s="60"/>
      <c r="K542" s="60" t="str">
        <f t="shared" si="2"/>
        <v/>
      </c>
    </row>
    <row r="543">
      <c r="A543" s="61" t="str">
        <f t="shared" si="1"/>
        <v/>
      </c>
      <c r="B543" s="73"/>
      <c r="C543" s="76"/>
      <c r="D543" s="76" t="str">
        <f>VLOOKUP(B543,'HEAD OF THE FAMILY'!B543:J1934,9,FALSE)</f>
        <v>#N/A</v>
      </c>
      <c r="E543" s="3"/>
      <c r="F543" s="3"/>
      <c r="G543" s="7"/>
      <c r="H543" s="7"/>
      <c r="I543" s="7"/>
      <c r="J543" s="60"/>
      <c r="K543" s="60" t="str">
        <f t="shared" si="2"/>
        <v/>
      </c>
    </row>
    <row r="544">
      <c r="A544" s="61" t="str">
        <f t="shared" si="1"/>
        <v/>
      </c>
      <c r="B544" s="73"/>
      <c r="C544" s="76"/>
      <c r="D544" s="76" t="str">
        <f>VLOOKUP(B544,'HEAD OF THE FAMILY'!B544:J1934,9,FALSE)</f>
        <v>#N/A</v>
      </c>
      <c r="E544" s="3"/>
      <c r="F544" s="3"/>
      <c r="G544" s="7"/>
      <c r="H544" s="7"/>
      <c r="I544" s="7"/>
      <c r="J544" s="60"/>
      <c r="K544" s="60" t="str">
        <f t="shared" si="2"/>
        <v/>
      </c>
    </row>
    <row r="545">
      <c r="A545" s="61" t="str">
        <f t="shared" si="1"/>
        <v/>
      </c>
      <c r="B545" s="73"/>
      <c r="C545" s="76"/>
      <c r="D545" s="76" t="str">
        <f>VLOOKUP(B545,'HEAD OF THE FAMILY'!B545:J1934,9,FALSE)</f>
        <v>#N/A</v>
      </c>
      <c r="E545" s="3"/>
      <c r="F545" s="3"/>
      <c r="G545" s="7"/>
      <c r="H545" s="7"/>
      <c r="I545" s="7"/>
      <c r="J545" s="60"/>
      <c r="K545" s="60" t="str">
        <f t="shared" si="2"/>
        <v/>
      </c>
    </row>
    <row r="546">
      <c r="A546" s="61" t="str">
        <f t="shared" si="1"/>
        <v/>
      </c>
      <c r="B546" s="73"/>
      <c r="C546" s="76"/>
      <c r="D546" s="76" t="str">
        <f>VLOOKUP(B546,'HEAD OF THE FAMILY'!B546:J1934,9,FALSE)</f>
        <v>#N/A</v>
      </c>
      <c r="E546" s="3"/>
      <c r="F546" s="3"/>
      <c r="G546" s="7"/>
      <c r="H546" s="7"/>
      <c r="I546" s="7"/>
      <c r="J546" s="60"/>
      <c r="K546" s="60" t="str">
        <f t="shared" si="2"/>
        <v/>
      </c>
    </row>
    <row r="547">
      <c r="A547" s="61" t="str">
        <f t="shared" si="1"/>
        <v/>
      </c>
      <c r="B547" s="73"/>
      <c r="C547" s="76"/>
      <c r="D547" s="76" t="str">
        <f>VLOOKUP(B547,'HEAD OF THE FAMILY'!B547:J1934,9,FALSE)</f>
        <v>#N/A</v>
      </c>
      <c r="E547" s="3"/>
      <c r="F547" s="3"/>
      <c r="G547" s="7"/>
      <c r="H547" s="7"/>
      <c r="I547" s="7"/>
      <c r="J547" s="60"/>
      <c r="K547" s="60" t="str">
        <f t="shared" si="2"/>
        <v/>
      </c>
    </row>
    <row r="548">
      <c r="A548" s="61" t="str">
        <f t="shared" si="1"/>
        <v/>
      </c>
      <c r="B548" s="73"/>
      <c r="C548" s="76"/>
      <c r="D548" s="76" t="str">
        <f>VLOOKUP(B548,'HEAD OF THE FAMILY'!B548:J1934,9,FALSE)</f>
        <v>#N/A</v>
      </c>
      <c r="E548" s="3"/>
      <c r="F548" s="3"/>
      <c r="G548" s="7"/>
      <c r="H548" s="7"/>
      <c r="I548" s="7"/>
      <c r="J548" s="60"/>
      <c r="K548" s="60" t="str">
        <f t="shared" si="2"/>
        <v/>
      </c>
    </row>
    <row r="549">
      <c r="A549" s="61" t="str">
        <f t="shared" si="1"/>
        <v/>
      </c>
      <c r="B549" s="73"/>
      <c r="C549" s="76"/>
      <c r="D549" s="76" t="str">
        <f>VLOOKUP(B549,'HEAD OF THE FAMILY'!B549:J1934,9,FALSE)</f>
        <v>#N/A</v>
      </c>
      <c r="E549" s="3"/>
      <c r="F549" s="3"/>
      <c r="G549" s="7"/>
      <c r="H549" s="7"/>
      <c r="I549" s="7"/>
      <c r="J549" s="60"/>
      <c r="K549" s="60" t="str">
        <f t="shared" si="2"/>
        <v/>
      </c>
    </row>
    <row r="550">
      <c r="A550" s="61" t="str">
        <f t="shared" si="1"/>
        <v/>
      </c>
      <c r="B550" s="73"/>
      <c r="C550" s="76"/>
      <c r="D550" s="76" t="str">
        <f>VLOOKUP(B550,'HEAD OF THE FAMILY'!B550:J1934,9,FALSE)</f>
        <v>#N/A</v>
      </c>
      <c r="E550" s="3"/>
      <c r="F550" s="3"/>
      <c r="G550" s="7"/>
      <c r="H550" s="7"/>
      <c r="I550" s="7"/>
      <c r="J550" s="60"/>
      <c r="K550" s="60" t="str">
        <f t="shared" si="2"/>
        <v/>
      </c>
    </row>
    <row r="551">
      <c r="A551" s="61" t="str">
        <f t="shared" si="1"/>
        <v/>
      </c>
      <c r="B551" s="73"/>
      <c r="C551" s="76"/>
      <c r="D551" s="76" t="str">
        <f>VLOOKUP(B551,'HEAD OF THE FAMILY'!B551:J1934,9,FALSE)</f>
        <v>#N/A</v>
      </c>
      <c r="E551" s="3"/>
      <c r="F551" s="3"/>
      <c r="G551" s="7"/>
      <c r="H551" s="7"/>
      <c r="I551" s="7"/>
      <c r="J551" s="60"/>
      <c r="K551" s="60" t="str">
        <f t="shared" si="2"/>
        <v/>
      </c>
    </row>
    <row r="552">
      <c r="A552" s="61" t="str">
        <f t="shared" si="1"/>
        <v/>
      </c>
      <c r="B552" s="73"/>
      <c r="C552" s="76"/>
      <c r="D552" s="76" t="str">
        <f>VLOOKUP(B552,'HEAD OF THE FAMILY'!B552:J1934,9,FALSE)</f>
        <v>#N/A</v>
      </c>
      <c r="E552" s="3"/>
      <c r="F552" s="3"/>
      <c r="G552" s="7"/>
      <c r="H552" s="7"/>
      <c r="I552" s="7"/>
      <c r="J552" s="60"/>
      <c r="K552" s="60" t="str">
        <f t="shared" si="2"/>
        <v/>
      </c>
    </row>
    <row r="553">
      <c r="A553" s="61" t="str">
        <f t="shared" si="1"/>
        <v/>
      </c>
      <c r="B553" s="73"/>
      <c r="C553" s="76"/>
      <c r="D553" s="76" t="str">
        <f>VLOOKUP(B553,'HEAD OF THE FAMILY'!B553:J1934,9,FALSE)</f>
        <v>#N/A</v>
      </c>
      <c r="E553" s="3"/>
      <c r="F553" s="3"/>
      <c r="G553" s="7"/>
      <c r="H553" s="7"/>
      <c r="I553" s="7"/>
      <c r="J553" s="60"/>
      <c r="K553" s="60" t="str">
        <f t="shared" si="2"/>
        <v/>
      </c>
    </row>
    <row r="554">
      <c r="A554" s="61" t="str">
        <f t="shared" si="1"/>
        <v/>
      </c>
      <c r="B554" s="73"/>
      <c r="C554" s="76"/>
      <c r="D554" s="76" t="str">
        <f>VLOOKUP(B554,'HEAD OF THE FAMILY'!B554:J1934,9,FALSE)</f>
        <v>#N/A</v>
      </c>
      <c r="E554" s="3"/>
      <c r="F554" s="3"/>
      <c r="G554" s="7"/>
      <c r="H554" s="7"/>
      <c r="I554" s="7"/>
      <c r="J554" s="60"/>
      <c r="K554" s="60" t="str">
        <f t="shared" si="2"/>
        <v/>
      </c>
    </row>
    <row r="555">
      <c r="A555" s="61" t="str">
        <f t="shared" si="1"/>
        <v/>
      </c>
      <c r="B555" s="73"/>
      <c r="C555" s="76"/>
      <c r="D555" s="76" t="str">
        <f>VLOOKUP(B555,'HEAD OF THE FAMILY'!B555:J1934,9,FALSE)</f>
        <v>#N/A</v>
      </c>
      <c r="E555" s="3"/>
      <c r="F555" s="3"/>
      <c r="G555" s="7"/>
      <c r="H555" s="7"/>
      <c r="I555" s="7"/>
      <c r="J555" s="60"/>
      <c r="K555" s="60" t="str">
        <f t="shared" si="2"/>
        <v/>
      </c>
    </row>
    <row r="556">
      <c r="A556" s="61" t="str">
        <f t="shared" si="1"/>
        <v/>
      </c>
      <c r="B556" s="73"/>
      <c r="C556" s="76"/>
      <c r="D556" s="76" t="str">
        <f>VLOOKUP(B556,'HEAD OF THE FAMILY'!B556:J1934,9,FALSE)</f>
        <v>#N/A</v>
      </c>
      <c r="E556" s="3"/>
      <c r="F556" s="3"/>
      <c r="G556" s="7"/>
      <c r="H556" s="7"/>
      <c r="I556" s="7"/>
      <c r="J556" s="60"/>
      <c r="K556" s="60" t="str">
        <f t="shared" si="2"/>
        <v/>
      </c>
    </row>
    <row r="557">
      <c r="A557" s="61" t="str">
        <f t="shared" si="1"/>
        <v/>
      </c>
      <c r="B557" s="73"/>
      <c r="C557" s="76"/>
      <c r="D557" s="76" t="str">
        <f>VLOOKUP(B557,'HEAD OF THE FAMILY'!B557:J1934,9,FALSE)</f>
        <v>#N/A</v>
      </c>
      <c r="E557" s="3"/>
      <c r="F557" s="3"/>
      <c r="G557" s="7"/>
      <c r="H557" s="7"/>
      <c r="I557" s="7"/>
      <c r="J557" s="60"/>
      <c r="K557" s="60" t="str">
        <f t="shared" si="2"/>
        <v/>
      </c>
    </row>
    <row r="558">
      <c r="A558" s="61" t="str">
        <f t="shared" si="1"/>
        <v/>
      </c>
      <c r="B558" s="73"/>
      <c r="C558" s="76"/>
      <c r="D558" s="76" t="str">
        <f>VLOOKUP(B558,'HEAD OF THE FAMILY'!B558:J1934,9,FALSE)</f>
        <v>#N/A</v>
      </c>
      <c r="E558" s="3"/>
      <c r="F558" s="3"/>
      <c r="G558" s="7"/>
      <c r="H558" s="7"/>
      <c r="I558" s="7"/>
      <c r="J558" s="60"/>
      <c r="K558" s="60" t="str">
        <f t="shared" si="2"/>
        <v/>
      </c>
    </row>
    <row r="559">
      <c r="A559" s="61" t="str">
        <f t="shared" si="1"/>
        <v/>
      </c>
      <c r="B559" s="73"/>
      <c r="C559" s="76"/>
      <c r="D559" s="76" t="str">
        <f>VLOOKUP(B559,'HEAD OF THE FAMILY'!B559:J1934,9,FALSE)</f>
        <v>#N/A</v>
      </c>
      <c r="E559" s="3"/>
      <c r="F559" s="3"/>
      <c r="G559" s="7"/>
      <c r="H559" s="7"/>
      <c r="I559" s="7"/>
      <c r="J559" s="60"/>
      <c r="K559" s="60" t="str">
        <f t="shared" si="2"/>
        <v/>
      </c>
    </row>
    <row r="560">
      <c r="A560" s="61" t="str">
        <f t="shared" si="1"/>
        <v/>
      </c>
      <c r="B560" s="73"/>
      <c r="C560" s="76"/>
      <c r="D560" s="76" t="str">
        <f>VLOOKUP(B560,'HEAD OF THE FAMILY'!B560:J1934,9,FALSE)</f>
        <v>#N/A</v>
      </c>
      <c r="E560" s="3"/>
      <c r="F560" s="3"/>
      <c r="G560" s="7"/>
      <c r="H560" s="7"/>
      <c r="I560" s="7"/>
      <c r="J560" s="60"/>
      <c r="K560" s="60" t="str">
        <f t="shared" si="2"/>
        <v/>
      </c>
    </row>
    <row r="561">
      <c r="A561" s="61" t="str">
        <f t="shared" si="1"/>
        <v/>
      </c>
      <c r="B561" s="73"/>
      <c r="C561" s="76"/>
      <c r="D561" s="76" t="str">
        <f>VLOOKUP(B561,'HEAD OF THE FAMILY'!B561:J1934,9,FALSE)</f>
        <v>#N/A</v>
      </c>
      <c r="E561" s="3"/>
      <c r="F561" s="3"/>
      <c r="G561" s="7"/>
      <c r="H561" s="7"/>
      <c r="I561" s="7"/>
      <c r="J561" s="60"/>
      <c r="K561" s="60" t="str">
        <f t="shared" si="2"/>
        <v/>
      </c>
    </row>
    <row r="562">
      <c r="A562" s="61" t="str">
        <f t="shared" si="1"/>
        <v/>
      </c>
      <c r="B562" s="73"/>
      <c r="C562" s="76"/>
      <c r="D562" s="76" t="str">
        <f>VLOOKUP(B562,'HEAD OF THE FAMILY'!B562:J1934,9,FALSE)</f>
        <v>#N/A</v>
      </c>
      <c r="E562" s="3"/>
      <c r="F562" s="3"/>
      <c r="G562" s="7"/>
      <c r="H562" s="7"/>
      <c r="I562" s="7"/>
      <c r="J562" s="60"/>
      <c r="K562" s="60" t="str">
        <f t="shared" si="2"/>
        <v/>
      </c>
    </row>
    <row r="563">
      <c r="A563" s="61" t="str">
        <f t="shared" si="1"/>
        <v/>
      </c>
      <c r="B563" s="73"/>
      <c r="C563" s="76"/>
      <c r="D563" s="76" t="str">
        <f>VLOOKUP(B563,'HEAD OF THE FAMILY'!B563:J1934,9,FALSE)</f>
        <v>#N/A</v>
      </c>
      <c r="E563" s="3"/>
      <c r="F563" s="3"/>
      <c r="G563" s="7"/>
      <c r="H563" s="7"/>
      <c r="I563" s="7"/>
      <c r="J563" s="60"/>
      <c r="K563" s="60" t="str">
        <f t="shared" si="2"/>
        <v/>
      </c>
    </row>
    <row r="564">
      <c r="A564" s="61" t="str">
        <f t="shared" si="1"/>
        <v/>
      </c>
      <c r="B564" s="73"/>
      <c r="C564" s="76"/>
      <c r="D564" s="76" t="str">
        <f>VLOOKUP(B564,'HEAD OF THE FAMILY'!B564:J1934,9,FALSE)</f>
        <v>#N/A</v>
      </c>
      <c r="E564" s="3"/>
      <c r="F564" s="3"/>
      <c r="G564" s="7"/>
      <c r="H564" s="7"/>
      <c r="I564" s="7"/>
      <c r="J564" s="60"/>
      <c r="K564" s="60" t="str">
        <f t="shared" si="2"/>
        <v/>
      </c>
    </row>
    <row r="565">
      <c r="A565" s="61" t="str">
        <f t="shared" si="1"/>
        <v/>
      </c>
      <c r="B565" s="73"/>
      <c r="C565" s="76"/>
      <c r="D565" s="76" t="str">
        <f>VLOOKUP(B565,'HEAD OF THE FAMILY'!B565:J1934,9,FALSE)</f>
        <v>#N/A</v>
      </c>
      <c r="E565" s="3"/>
      <c r="F565" s="3"/>
      <c r="G565" s="7"/>
      <c r="H565" s="7"/>
      <c r="I565" s="7"/>
      <c r="J565" s="60"/>
      <c r="K565" s="60" t="str">
        <f t="shared" si="2"/>
        <v/>
      </c>
    </row>
    <row r="566">
      <c r="A566" s="61" t="str">
        <f t="shared" si="1"/>
        <v/>
      </c>
      <c r="B566" s="73"/>
      <c r="C566" s="76"/>
      <c r="D566" s="76" t="str">
        <f>VLOOKUP(B566,'HEAD OF THE FAMILY'!B566:J1934,9,FALSE)</f>
        <v>#N/A</v>
      </c>
      <c r="E566" s="3"/>
      <c r="F566" s="3"/>
      <c r="G566" s="7"/>
      <c r="H566" s="7"/>
      <c r="I566" s="7"/>
      <c r="J566" s="60"/>
      <c r="K566" s="60" t="str">
        <f t="shared" si="2"/>
        <v/>
      </c>
    </row>
    <row r="567">
      <c r="A567" s="61" t="str">
        <f t="shared" si="1"/>
        <v/>
      </c>
      <c r="B567" s="73"/>
      <c r="C567" s="76"/>
      <c r="D567" s="76" t="str">
        <f>VLOOKUP(B567,'HEAD OF THE FAMILY'!B567:J1934,9,FALSE)</f>
        <v>#N/A</v>
      </c>
      <c r="E567" s="3"/>
      <c r="F567" s="3"/>
      <c r="G567" s="7"/>
      <c r="H567" s="7"/>
      <c r="I567" s="7"/>
      <c r="J567" s="60"/>
      <c r="K567" s="60" t="str">
        <f t="shared" si="2"/>
        <v/>
      </c>
    </row>
    <row r="568">
      <c r="A568" s="61" t="str">
        <f t="shared" si="1"/>
        <v/>
      </c>
      <c r="B568" s="73"/>
      <c r="C568" s="76"/>
      <c r="D568" s="76" t="str">
        <f>VLOOKUP(B568,'HEAD OF THE FAMILY'!B568:J1934,9,FALSE)</f>
        <v>#N/A</v>
      </c>
      <c r="E568" s="3"/>
      <c r="F568" s="3"/>
      <c r="G568" s="7"/>
      <c r="H568" s="7"/>
      <c r="I568" s="7"/>
      <c r="J568" s="60"/>
      <c r="K568" s="60" t="str">
        <f t="shared" si="2"/>
        <v/>
      </c>
    </row>
    <row r="569">
      <c r="A569" s="61" t="str">
        <f t="shared" si="1"/>
        <v/>
      </c>
      <c r="B569" s="73"/>
      <c r="C569" s="76"/>
      <c r="D569" s="76" t="str">
        <f>VLOOKUP(B569,'HEAD OF THE FAMILY'!B569:J1934,9,FALSE)</f>
        <v>#N/A</v>
      </c>
      <c r="E569" s="3"/>
      <c r="F569" s="3"/>
      <c r="G569" s="7"/>
      <c r="H569" s="7"/>
      <c r="I569" s="7"/>
      <c r="J569" s="60"/>
      <c r="K569" s="60" t="str">
        <f t="shared" si="2"/>
        <v/>
      </c>
    </row>
    <row r="570">
      <c r="A570" s="61" t="str">
        <f t="shared" si="1"/>
        <v/>
      </c>
      <c r="B570" s="73"/>
      <c r="C570" s="76"/>
      <c r="D570" s="76" t="str">
        <f>VLOOKUP(B570,'HEAD OF THE FAMILY'!B570:J1934,9,FALSE)</f>
        <v>#N/A</v>
      </c>
      <c r="E570" s="3"/>
      <c r="F570" s="3"/>
      <c r="G570" s="7"/>
      <c r="H570" s="7"/>
      <c r="I570" s="7"/>
      <c r="J570" s="60"/>
      <c r="K570" s="60" t="str">
        <f t="shared" si="2"/>
        <v/>
      </c>
    </row>
    <row r="571">
      <c r="A571" s="61" t="str">
        <f t="shared" si="1"/>
        <v/>
      </c>
      <c r="B571" s="73"/>
      <c r="C571" s="76"/>
      <c r="D571" s="76" t="str">
        <f>VLOOKUP(B571,'HEAD OF THE FAMILY'!B571:J1934,9,FALSE)</f>
        <v>#N/A</v>
      </c>
      <c r="E571" s="3"/>
      <c r="F571" s="3"/>
      <c r="G571" s="7"/>
      <c r="H571" s="7"/>
      <c r="I571" s="7"/>
      <c r="J571" s="60"/>
      <c r="K571" s="60" t="str">
        <f t="shared" si="2"/>
        <v/>
      </c>
    </row>
    <row r="572">
      <c r="A572" s="61" t="str">
        <f t="shared" si="1"/>
        <v/>
      </c>
      <c r="B572" s="73"/>
      <c r="C572" s="76"/>
      <c r="D572" s="76" t="str">
        <f>VLOOKUP(B572,'HEAD OF THE FAMILY'!B572:J1934,9,FALSE)</f>
        <v>#N/A</v>
      </c>
      <c r="E572" s="3"/>
      <c r="F572" s="3"/>
      <c r="G572" s="7"/>
      <c r="H572" s="7"/>
      <c r="I572" s="7"/>
      <c r="J572" s="60"/>
      <c r="K572" s="60" t="str">
        <f t="shared" si="2"/>
        <v/>
      </c>
    </row>
    <row r="573">
      <c r="A573" s="61" t="str">
        <f t="shared" si="1"/>
        <v/>
      </c>
      <c r="B573" s="73"/>
      <c r="C573" s="76"/>
      <c r="D573" s="76" t="str">
        <f>VLOOKUP(B573,'HEAD OF THE FAMILY'!B573:J1934,9,FALSE)</f>
        <v>#N/A</v>
      </c>
      <c r="E573" s="3"/>
      <c r="F573" s="3"/>
      <c r="G573" s="7"/>
      <c r="H573" s="7"/>
      <c r="I573" s="7"/>
      <c r="J573" s="60"/>
      <c r="K573" s="60" t="str">
        <f t="shared" si="2"/>
        <v/>
      </c>
    </row>
    <row r="574">
      <c r="A574" s="61" t="str">
        <f t="shared" si="1"/>
        <v/>
      </c>
      <c r="B574" s="73"/>
      <c r="C574" s="76"/>
      <c r="D574" s="76" t="str">
        <f>VLOOKUP(B574,'HEAD OF THE FAMILY'!B574:J1934,9,FALSE)</f>
        <v>#N/A</v>
      </c>
      <c r="E574" s="3"/>
      <c r="F574" s="3"/>
      <c r="G574" s="7"/>
      <c r="H574" s="7"/>
      <c r="I574" s="7"/>
      <c r="J574" s="60"/>
      <c r="K574" s="60" t="str">
        <f t="shared" si="2"/>
        <v/>
      </c>
    </row>
    <row r="575">
      <c r="A575" s="61" t="str">
        <f t="shared" si="1"/>
        <v/>
      </c>
      <c r="B575" s="73"/>
      <c r="C575" s="76"/>
      <c r="D575" s="76" t="str">
        <f>VLOOKUP(B575,'HEAD OF THE FAMILY'!B575:J1934,9,FALSE)</f>
        <v>#N/A</v>
      </c>
      <c r="E575" s="3"/>
      <c r="F575" s="3"/>
      <c r="G575" s="7"/>
      <c r="H575" s="7"/>
      <c r="I575" s="7"/>
      <c r="J575" s="60"/>
      <c r="K575" s="60" t="str">
        <f t="shared" si="2"/>
        <v/>
      </c>
    </row>
    <row r="576">
      <c r="A576" s="61" t="str">
        <f t="shared" si="1"/>
        <v/>
      </c>
      <c r="B576" s="73"/>
      <c r="C576" s="76"/>
      <c r="D576" s="76" t="str">
        <f>VLOOKUP(B576,'HEAD OF THE FAMILY'!B576:J1934,9,FALSE)</f>
        <v>#N/A</v>
      </c>
      <c r="E576" s="3"/>
      <c r="F576" s="3"/>
      <c r="G576" s="7"/>
      <c r="H576" s="7"/>
      <c r="I576" s="7"/>
      <c r="J576" s="60"/>
      <c r="K576" s="60" t="str">
        <f t="shared" si="2"/>
        <v/>
      </c>
    </row>
    <row r="577">
      <c r="A577" s="61" t="str">
        <f t="shared" si="1"/>
        <v/>
      </c>
      <c r="B577" s="73"/>
      <c r="C577" s="76"/>
      <c r="D577" s="76" t="str">
        <f>VLOOKUP(B577,'HEAD OF THE FAMILY'!B577:J1934,9,FALSE)</f>
        <v>#N/A</v>
      </c>
      <c r="E577" s="3"/>
      <c r="F577" s="3"/>
      <c r="G577" s="7"/>
      <c r="H577" s="7"/>
      <c r="I577" s="7"/>
      <c r="J577" s="60"/>
      <c r="K577" s="60" t="str">
        <f t="shared" si="2"/>
        <v/>
      </c>
    </row>
    <row r="578">
      <c r="A578" s="61" t="str">
        <f t="shared" si="1"/>
        <v/>
      </c>
      <c r="B578" s="73"/>
      <c r="C578" s="76"/>
      <c r="D578" s="76" t="str">
        <f>VLOOKUP(B578,'HEAD OF THE FAMILY'!B578:J1934,9,FALSE)</f>
        <v>#N/A</v>
      </c>
      <c r="E578" s="3"/>
      <c r="F578" s="3"/>
      <c r="G578" s="7"/>
      <c r="H578" s="7"/>
      <c r="I578" s="7"/>
      <c r="J578" s="60"/>
      <c r="K578" s="60" t="str">
        <f t="shared" si="2"/>
        <v/>
      </c>
    </row>
    <row r="579">
      <c r="A579" s="61" t="str">
        <f t="shared" si="1"/>
        <v/>
      </c>
      <c r="B579" s="73"/>
      <c r="C579" s="76"/>
      <c r="D579" s="76" t="str">
        <f>VLOOKUP(B579,'HEAD OF THE FAMILY'!B579:J1934,9,FALSE)</f>
        <v>#N/A</v>
      </c>
      <c r="E579" s="3"/>
      <c r="F579" s="3"/>
      <c r="G579" s="7"/>
      <c r="H579" s="7"/>
      <c r="I579" s="7"/>
      <c r="J579" s="60"/>
      <c r="K579" s="60" t="str">
        <f t="shared" si="2"/>
        <v/>
      </c>
    </row>
    <row r="580">
      <c r="A580" s="61" t="str">
        <f t="shared" si="1"/>
        <v/>
      </c>
      <c r="B580" s="73"/>
      <c r="C580" s="76"/>
      <c r="D580" s="76" t="str">
        <f>VLOOKUP(B580,'HEAD OF THE FAMILY'!B580:J1934,9,FALSE)</f>
        <v>#N/A</v>
      </c>
      <c r="E580" s="3"/>
      <c r="F580" s="3"/>
      <c r="G580" s="7"/>
      <c r="H580" s="7"/>
      <c r="I580" s="7"/>
      <c r="J580" s="60"/>
      <c r="K580" s="60" t="str">
        <f t="shared" si="2"/>
        <v/>
      </c>
    </row>
    <row r="581">
      <c r="A581" s="61" t="str">
        <f t="shared" si="1"/>
        <v/>
      </c>
      <c r="B581" s="73"/>
      <c r="C581" s="76"/>
      <c r="D581" s="76" t="str">
        <f>VLOOKUP(B581,'HEAD OF THE FAMILY'!B581:J1934,9,FALSE)</f>
        <v>#N/A</v>
      </c>
      <c r="E581" s="3"/>
      <c r="F581" s="3"/>
      <c r="G581" s="7"/>
      <c r="H581" s="7"/>
      <c r="I581" s="7"/>
      <c r="J581" s="60"/>
      <c r="K581" s="60" t="str">
        <f t="shared" si="2"/>
        <v/>
      </c>
    </row>
    <row r="582">
      <c r="A582" s="61" t="str">
        <f t="shared" si="1"/>
        <v/>
      </c>
      <c r="B582" s="73"/>
      <c r="C582" s="76"/>
      <c r="D582" s="76" t="str">
        <f>VLOOKUP(B582,'HEAD OF THE FAMILY'!B582:J1934,9,FALSE)</f>
        <v>#N/A</v>
      </c>
      <c r="E582" s="3"/>
      <c r="F582" s="3"/>
      <c r="G582" s="7"/>
      <c r="H582" s="7"/>
      <c r="I582" s="7"/>
      <c r="J582" s="60"/>
      <c r="K582" s="60" t="str">
        <f t="shared" si="2"/>
        <v/>
      </c>
    </row>
    <row r="583">
      <c r="A583" s="61" t="str">
        <f t="shared" si="1"/>
        <v/>
      </c>
      <c r="B583" s="73"/>
      <c r="C583" s="76"/>
      <c r="D583" s="76" t="str">
        <f>VLOOKUP(B583,'HEAD OF THE FAMILY'!B583:J1934,9,FALSE)</f>
        <v>#N/A</v>
      </c>
      <c r="E583" s="3"/>
      <c r="F583" s="3"/>
      <c r="G583" s="7"/>
      <c r="H583" s="7"/>
      <c r="I583" s="7"/>
      <c r="J583" s="60"/>
      <c r="K583" s="60" t="str">
        <f t="shared" si="2"/>
        <v/>
      </c>
    </row>
    <row r="584">
      <c r="A584" s="61" t="str">
        <f t="shared" si="1"/>
        <v/>
      </c>
      <c r="B584" s="73"/>
      <c r="C584" s="76"/>
      <c r="D584" s="76" t="str">
        <f>VLOOKUP(B584,'HEAD OF THE FAMILY'!B584:J1934,9,FALSE)</f>
        <v>#N/A</v>
      </c>
      <c r="E584" s="3"/>
      <c r="F584" s="3"/>
      <c r="G584" s="7"/>
      <c r="H584" s="7"/>
      <c r="I584" s="7"/>
      <c r="J584" s="60"/>
      <c r="K584" s="60" t="str">
        <f t="shared" si="2"/>
        <v/>
      </c>
    </row>
    <row r="585">
      <c r="A585" s="61" t="str">
        <f t="shared" si="1"/>
        <v/>
      </c>
      <c r="B585" s="73"/>
      <c r="C585" s="76"/>
      <c r="D585" s="76" t="str">
        <f>VLOOKUP(B585,'HEAD OF THE FAMILY'!B585:J1934,9,FALSE)</f>
        <v>#N/A</v>
      </c>
      <c r="E585" s="3"/>
      <c r="F585" s="3"/>
      <c r="G585" s="7"/>
      <c r="H585" s="7"/>
      <c r="I585" s="7"/>
      <c r="J585" s="60"/>
      <c r="K585" s="60" t="str">
        <f t="shared" si="2"/>
        <v/>
      </c>
    </row>
    <row r="586">
      <c r="A586" s="61" t="str">
        <f t="shared" si="1"/>
        <v/>
      </c>
      <c r="B586" s="73"/>
      <c r="C586" s="76"/>
      <c r="D586" s="76" t="str">
        <f>VLOOKUP(B586,'HEAD OF THE FAMILY'!B586:J1934,9,FALSE)</f>
        <v>#N/A</v>
      </c>
      <c r="E586" s="3"/>
      <c r="F586" s="3"/>
      <c r="G586" s="7"/>
      <c r="H586" s="7"/>
      <c r="I586" s="7"/>
      <c r="J586" s="60"/>
      <c r="K586" s="60" t="str">
        <f t="shared" si="2"/>
        <v/>
      </c>
    </row>
    <row r="587">
      <c r="A587" s="61" t="str">
        <f t="shared" si="1"/>
        <v/>
      </c>
      <c r="B587" s="73"/>
      <c r="C587" s="76"/>
      <c r="D587" s="76" t="str">
        <f>VLOOKUP(B587,'HEAD OF THE FAMILY'!B587:J1934,9,FALSE)</f>
        <v>#N/A</v>
      </c>
      <c r="E587" s="3"/>
      <c r="F587" s="3"/>
      <c r="G587" s="7"/>
      <c r="H587" s="7"/>
      <c r="I587" s="7"/>
      <c r="J587" s="60"/>
      <c r="K587" s="60" t="str">
        <f t="shared" si="2"/>
        <v/>
      </c>
    </row>
    <row r="588">
      <c r="A588" s="61" t="str">
        <f t="shared" si="1"/>
        <v/>
      </c>
      <c r="B588" s="73"/>
      <c r="C588" s="76"/>
      <c r="D588" s="76" t="str">
        <f>VLOOKUP(B588,'HEAD OF THE FAMILY'!B588:J1934,9,FALSE)</f>
        <v>#N/A</v>
      </c>
      <c r="E588" s="3"/>
      <c r="F588" s="3"/>
      <c r="G588" s="7"/>
      <c r="H588" s="7"/>
      <c r="I588" s="7"/>
      <c r="J588" s="60"/>
      <c r="K588" s="60" t="str">
        <f t="shared" si="2"/>
        <v/>
      </c>
    </row>
    <row r="589">
      <c r="A589" s="61" t="str">
        <f t="shared" si="1"/>
        <v/>
      </c>
      <c r="B589" s="73"/>
      <c r="C589" s="76"/>
      <c r="D589" s="76" t="str">
        <f>VLOOKUP(B589,'HEAD OF THE FAMILY'!B589:J1934,9,FALSE)</f>
        <v>#N/A</v>
      </c>
      <c r="E589" s="3"/>
      <c r="F589" s="3"/>
      <c r="G589" s="7"/>
      <c r="H589" s="7"/>
      <c r="I589" s="7"/>
      <c r="J589" s="60"/>
      <c r="K589" s="60" t="str">
        <f t="shared" si="2"/>
        <v/>
      </c>
    </row>
    <row r="590">
      <c r="A590" s="61" t="str">
        <f t="shared" si="1"/>
        <v/>
      </c>
      <c r="B590" s="73"/>
      <c r="C590" s="76"/>
      <c r="D590" s="76" t="str">
        <f>VLOOKUP(B590,'HEAD OF THE FAMILY'!B590:J1934,9,FALSE)</f>
        <v>#N/A</v>
      </c>
      <c r="E590" s="3"/>
      <c r="F590" s="3"/>
      <c r="G590" s="7"/>
      <c r="H590" s="7"/>
      <c r="I590" s="7"/>
      <c r="J590" s="60"/>
      <c r="K590" s="60" t="str">
        <f t="shared" si="2"/>
        <v/>
      </c>
    </row>
    <row r="591">
      <c r="A591" s="61" t="str">
        <f t="shared" si="1"/>
        <v/>
      </c>
      <c r="B591" s="73"/>
      <c r="C591" s="76"/>
      <c r="D591" s="76" t="str">
        <f>VLOOKUP(B591,'HEAD OF THE FAMILY'!B591:J1934,9,FALSE)</f>
        <v>#N/A</v>
      </c>
      <c r="E591" s="3"/>
      <c r="F591" s="3"/>
      <c r="G591" s="7"/>
      <c r="H591" s="7"/>
      <c r="I591" s="7"/>
      <c r="J591" s="60"/>
      <c r="K591" s="60" t="str">
        <f t="shared" si="2"/>
        <v/>
      </c>
    </row>
    <row r="592">
      <c r="A592" s="61" t="str">
        <f t="shared" si="1"/>
        <v/>
      </c>
      <c r="B592" s="73"/>
      <c r="C592" s="76"/>
      <c r="D592" s="76" t="str">
        <f>VLOOKUP(B592,'HEAD OF THE FAMILY'!B592:J1934,9,FALSE)</f>
        <v>#N/A</v>
      </c>
      <c r="E592" s="3"/>
      <c r="F592" s="3"/>
      <c r="G592" s="7"/>
      <c r="H592" s="7"/>
      <c r="I592" s="7"/>
      <c r="J592" s="60"/>
      <c r="K592" s="60" t="str">
        <f t="shared" si="2"/>
        <v/>
      </c>
    </row>
    <row r="593">
      <c r="A593" s="61" t="str">
        <f t="shared" si="1"/>
        <v/>
      </c>
      <c r="B593" s="73"/>
      <c r="C593" s="76"/>
      <c r="D593" s="76" t="str">
        <f>VLOOKUP(B593,'HEAD OF THE FAMILY'!B593:J1934,9,FALSE)</f>
        <v>#N/A</v>
      </c>
      <c r="E593" s="3"/>
      <c r="F593" s="3"/>
      <c r="G593" s="7"/>
      <c r="H593" s="7"/>
      <c r="I593" s="7"/>
      <c r="J593" s="60"/>
      <c r="K593" s="60" t="str">
        <f t="shared" si="2"/>
        <v/>
      </c>
    </row>
    <row r="594">
      <c r="A594" s="61" t="str">
        <f t="shared" si="1"/>
        <v/>
      </c>
      <c r="B594" s="73"/>
      <c r="C594" s="76"/>
      <c r="D594" s="76" t="str">
        <f>VLOOKUP(B594,'HEAD OF THE FAMILY'!B594:J1934,9,FALSE)</f>
        <v>#N/A</v>
      </c>
      <c r="E594" s="3"/>
      <c r="F594" s="3"/>
      <c r="G594" s="7"/>
      <c r="H594" s="7"/>
      <c r="I594" s="7"/>
      <c r="J594" s="60"/>
      <c r="K594" s="60" t="str">
        <f t="shared" si="2"/>
        <v/>
      </c>
    </row>
    <row r="595">
      <c r="A595" s="61" t="str">
        <f t="shared" si="1"/>
        <v/>
      </c>
      <c r="B595" s="73"/>
      <c r="C595" s="76"/>
      <c r="D595" s="76" t="str">
        <f>VLOOKUP(B595,'HEAD OF THE FAMILY'!B595:J1934,9,FALSE)</f>
        <v>#N/A</v>
      </c>
      <c r="E595" s="3"/>
      <c r="F595" s="3"/>
      <c r="G595" s="7"/>
      <c r="H595" s="7"/>
      <c r="I595" s="7"/>
      <c r="J595" s="60"/>
      <c r="K595" s="60" t="str">
        <f t="shared" si="2"/>
        <v/>
      </c>
    </row>
    <row r="596">
      <c r="A596" s="61" t="str">
        <f t="shared" si="1"/>
        <v/>
      </c>
      <c r="B596" s="73"/>
      <c r="C596" s="76"/>
      <c r="D596" s="76" t="str">
        <f>VLOOKUP(B596,'HEAD OF THE FAMILY'!B596:J1934,9,FALSE)</f>
        <v>#N/A</v>
      </c>
      <c r="E596" s="3"/>
      <c r="F596" s="3"/>
      <c r="G596" s="7"/>
      <c r="H596" s="7"/>
      <c r="I596" s="7"/>
      <c r="J596" s="60"/>
      <c r="K596" s="60" t="str">
        <f t="shared" si="2"/>
        <v/>
      </c>
    </row>
    <row r="597">
      <c r="A597" s="61" t="str">
        <f t="shared" si="1"/>
        <v/>
      </c>
      <c r="B597" s="73"/>
      <c r="C597" s="76"/>
      <c r="D597" s="76" t="str">
        <f>VLOOKUP(B597,'HEAD OF THE FAMILY'!B597:J1934,9,FALSE)</f>
        <v>#N/A</v>
      </c>
      <c r="E597" s="3"/>
      <c r="F597" s="3"/>
      <c r="G597" s="7"/>
      <c r="H597" s="7"/>
      <c r="I597" s="7"/>
      <c r="J597" s="60"/>
      <c r="K597" s="60" t="str">
        <f t="shared" si="2"/>
        <v/>
      </c>
    </row>
    <row r="598">
      <c r="A598" s="61" t="str">
        <f t="shared" si="1"/>
        <v/>
      </c>
      <c r="B598" s="73"/>
      <c r="C598" s="76"/>
      <c r="D598" s="76" t="str">
        <f>VLOOKUP(B598,'HEAD OF THE FAMILY'!B598:J1934,9,FALSE)</f>
        <v>#N/A</v>
      </c>
      <c r="E598" s="3"/>
      <c r="F598" s="3"/>
      <c r="G598" s="7"/>
      <c r="H598" s="7"/>
      <c r="I598" s="7"/>
      <c r="J598" s="60"/>
      <c r="K598" s="60" t="str">
        <f t="shared" si="2"/>
        <v/>
      </c>
    </row>
    <row r="599">
      <c r="A599" s="61" t="str">
        <f t="shared" si="1"/>
        <v/>
      </c>
      <c r="B599" s="73"/>
      <c r="C599" s="76"/>
      <c r="D599" s="76" t="str">
        <f>VLOOKUP(B599,'HEAD OF THE FAMILY'!B599:J1934,9,FALSE)</f>
        <v>#N/A</v>
      </c>
      <c r="E599" s="3"/>
      <c r="F599" s="3"/>
      <c r="G599" s="7"/>
      <c r="H599" s="7"/>
      <c r="I599" s="7"/>
      <c r="J599" s="60"/>
      <c r="K599" s="60" t="str">
        <f t="shared" si="2"/>
        <v/>
      </c>
    </row>
    <row r="600">
      <c r="A600" s="61" t="str">
        <f t="shared" si="1"/>
        <v/>
      </c>
      <c r="B600" s="73"/>
      <c r="C600" s="76"/>
      <c r="D600" s="76" t="str">
        <f>VLOOKUP(B600,'HEAD OF THE FAMILY'!B600:J1934,9,FALSE)</f>
        <v>#N/A</v>
      </c>
      <c r="E600" s="3"/>
      <c r="F600" s="3"/>
      <c r="G600" s="7"/>
      <c r="H600" s="7"/>
      <c r="I600" s="7"/>
      <c r="J600" s="60"/>
      <c r="K600" s="60" t="str">
        <f t="shared" si="2"/>
        <v/>
      </c>
    </row>
    <row r="601">
      <c r="A601" s="61" t="str">
        <f t="shared" si="1"/>
        <v/>
      </c>
      <c r="B601" s="73"/>
      <c r="C601" s="76"/>
      <c r="D601" s="76" t="str">
        <f>VLOOKUP(B601,'HEAD OF THE FAMILY'!B601:J1934,9,FALSE)</f>
        <v>#N/A</v>
      </c>
      <c r="E601" s="3"/>
      <c r="F601" s="3"/>
      <c r="G601" s="7"/>
      <c r="H601" s="7"/>
      <c r="I601" s="7"/>
      <c r="J601" s="60"/>
      <c r="K601" s="60" t="str">
        <f t="shared" si="2"/>
        <v/>
      </c>
    </row>
    <row r="602">
      <c r="A602" s="61" t="str">
        <f t="shared" si="1"/>
        <v/>
      </c>
      <c r="B602" s="73"/>
      <c r="C602" s="76"/>
      <c r="D602" s="76" t="str">
        <f>VLOOKUP(B602,'HEAD OF THE FAMILY'!B602:J1934,9,FALSE)</f>
        <v>#N/A</v>
      </c>
      <c r="E602" s="3"/>
      <c r="F602" s="3"/>
      <c r="G602" s="7"/>
      <c r="H602" s="7"/>
      <c r="I602" s="7"/>
      <c r="J602" s="60"/>
      <c r="K602" s="60" t="str">
        <f t="shared" si="2"/>
        <v/>
      </c>
    </row>
    <row r="603">
      <c r="A603" s="61" t="str">
        <f t="shared" si="1"/>
        <v/>
      </c>
      <c r="B603" s="73"/>
      <c r="C603" s="76"/>
      <c r="D603" s="76" t="str">
        <f>VLOOKUP(B603,'HEAD OF THE FAMILY'!B603:J1934,9,FALSE)</f>
        <v>#N/A</v>
      </c>
      <c r="E603" s="3"/>
      <c r="F603" s="3"/>
      <c r="G603" s="7"/>
      <c r="H603" s="7"/>
      <c r="I603" s="7"/>
      <c r="J603" s="60"/>
      <c r="K603" s="60" t="str">
        <f t="shared" si="2"/>
        <v/>
      </c>
    </row>
    <row r="604">
      <c r="A604" s="61" t="str">
        <f t="shared" si="1"/>
        <v/>
      </c>
      <c r="B604" s="73"/>
      <c r="C604" s="76"/>
      <c r="D604" s="76" t="str">
        <f>VLOOKUP(B604,'HEAD OF THE FAMILY'!B604:J1934,9,FALSE)</f>
        <v>#N/A</v>
      </c>
      <c r="E604" s="3"/>
      <c r="F604" s="3"/>
      <c r="G604" s="7"/>
      <c r="H604" s="7"/>
      <c r="I604" s="7"/>
      <c r="J604" s="60"/>
      <c r="K604" s="60" t="str">
        <f t="shared" si="2"/>
        <v/>
      </c>
    </row>
    <row r="605">
      <c r="A605" s="61" t="str">
        <f t="shared" si="1"/>
        <v/>
      </c>
      <c r="B605" s="73"/>
      <c r="C605" s="76"/>
      <c r="D605" s="76" t="str">
        <f>VLOOKUP(B605,'HEAD OF THE FAMILY'!B605:J1934,9,FALSE)</f>
        <v>#N/A</v>
      </c>
      <c r="E605" s="3"/>
      <c r="F605" s="3"/>
      <c r="G605" s="7"/>
      <c r="H605" s="7"/>
      <c r="I605" s="7"/>
      <c r="J605" s="60"/>
      <c r="K605" s="60" t="str">
        <f t="shared" si="2"/>
        <v/>
      </c>
    </row>
    <row r="606">
      <c r="A606" s="61" t="str">
        <f t="shared" si="1"/>
        <v/>
      </c>
      <c r="B606" s="73"/>
      <c r="C606" s="76"/>
      <c r="D606" s="76" t="str">
        <f>VLOOKUP(B606,'HEAD OF THE FAMILY'!B606:J1934,9,FALSE)</f>
        <v>#N/A</v>
      </c>
      <c r="E606" s="3"/>
      <c r="F606" s="3"/>
      <c r="G606" s="7"/>
      <c r="H606" s="7"/>
      <c r="I606" s="7"/>
      <c r="J606" s="60"/>
      <c r="K606" s="60" t="str">
        <f t="shared" si="2"/>
        <v/>
      </c>
    </row>
    <row r="607">
      <c r="A607" s="61" t="str">
        <f t="shared" si="1"/>
        <v/>
      </c>
      <c r="B607" s="73"/>
      <c r="C607" s="76"/>
      <c r="D607" s="76" t="str">
        <f>VLOOKUP(B607,'HEAD OF THE FAMILY'!B607:J1934,9,FALSE)</f>
        <v>#N/A</v>
      </c>
      <c r="E607" s="3"/>
      <c r="F607" s="3"/>
      <c r="G607" s="7"/>
      <c r="H607" s="7"/>
      <c r="I607" s="7"/>
      <c r="J607" s="60"/>
      <c r="K607" s="60" t="str">
        <f t="shared" si="2"/>
        <v/>
      </c>
    </row>
    <row r="608">
      <c r="A608" s="61" t="str">
        <f t="shared" si="1"/>
        <v/>
      </c>
      <c r="B608" s="73"/>
      <c r="C608" s="76"/>
      <c r="D608" s="76" t="str">
        <f>VLOOKUP(B608,'HEAD OF THE FAMILY'!B608:J1934,9,FALSE)</f>
        <v>#N/A</v>
      </c>
      <c r="E608" s="3"/>
      <c r="F608" s="3"/>
      <c r="G608" s="7"/>
      <c r="H608" s="7"/>
      <c r="I608" s="7"/>
      <c r="J608" s="60"/>
      <c r="K608" s="60" t="str">
        <f t="shared" si="2"/>
        <v/>
      </c>
    </row>
    <row r="609">
      <c r="A609" s="61" t="str">
        <f t="shared" si="1"/>
        <v/>
      </c>
      <c r="B609" s="73"/>
      <c r="C609" s="76"/>
      <c r="D609" s="76" t="str">
        <f>VLOOKUP(B609,'HEAD OF THE FAMILY'!B609:J1934,9,FALSE)</f>
        <v>#N/A</v>
      </c>
      <c r="E609" s="3"/>
      <c r="F609" s="3"/>
      <c r="G609" s="7"/>
      <c r="H609" s="7"/>
      <c r="I609" s="7"/>
      <c r="J609" s="60"/>
      <c r="K609" s="60" t="str">
        <f t="shared" si="2"/>
        <v/>
      </c>
    </row>
    <row r="610">
      <c r="A610" s="61" t="str">
        <f t="shared" si="1"/>
        <v/>
      </c>
      <c r="B610" s="73"/>
      <c r="C610" s="76"/>
      <c r="D610" s="76" t="str">
        <f>VLOOKUP(B610,'HEAD OF THE FAMILY'!B610:J1934,9,FALSE)</f>
        <v>#N/A</v>
      </c>
      <c r="E610" s="3"/>
      <c r="F610" s="3"/>
      <c r="G610" s="7"/>
      <c r="H610" s="7"/>
      <c r="I610" s="7"/>
      <c r="J610" s="60"/>
      <c r="K610" s="60" t="str">
        <f t="shared" si="2"/>
        <v/>
      </c>
    </row>
    <row r="611">
      <c r="A611" s="61" t="str">
        <f t="shared" si="1"/>
        <v/>
      </c>
      <c r="B611" s="73"/>
      <c r="C611" s="76"/>
      <c r="D611" s="76" t="str">
        <f>VLOOKUP(B611,'HEAD OF THE FAMILY'!B611:J1934,9,FALSE)</f>
        <v>#N/A</v>
      </c>
      <c r="E611" s="3"/>
      <c r="F611" s="3"/>
      <c r="G611" s="7"/>
      <c r="H611" s="7"/>
      <c r="I611" s="7"/>
      <c r="J611" s="60"/>
      <c r="K611" s="60" t="str">
        <f t="shared" si="2"/>
        <v/>
      </c>
    </row>
    <row r="612">
      <c r="A612" s="61" t="str">
        <f t="shared" si="1"/>
        <v/>
      </c>
      <c r="B612" s="73"/>
      <c r="C612" s="76"/>
      <c r="D612" s="76" t="str">
        <f>VLOOKUP(B612,'HEAD OF THE FAMILY'!B612:J1934,9,FALSE)</f>
        <v>#N/A</v>
      </c>
      <c r="E612" s="3"/>
      <c r="F612" s="3"/>
      <c r="G612" s="7"/>
      <c r="H612" s="7"/>
      <c r="I612" s="7"/>
      <c r="J612" s="60"/>
      <c r="K612" s="60" t="str">
        <f t="shared" si="2"/>
        <v/>
      </c>
    </row>
    <row r="613">
      <c r="A613" s="61" t="str">
        <f t="shared" si="1"/>
        <v/>
      </c>
      <c r="B613" s="73"/>
      <c r="C613" s="76"/>
      <c r="D613" s="76" t="str">
        <f>VLOOKUP(B613,'HEAD OF THE FAMILY'!B613:J1934,9,FALSE)</f>
        <v>#N/A</v>
      </c>
      <c r="E613" s="3"/>
      <c r="F613" s="3"/>
      <c r="G613" s="7"/>
      <c r="H613" s="7"/>
      <c r="I613" s="7"/>
      <c r="J613" s="60"/>
      <c r="K613" s="60" t="str">
        <f t="shared" si="2"/>
        <v/>
      </c>
    </row>
    <row r="614">
      <c r="A614" s="61" t="str">
        <f t="shared" si="1"/>
        <v/>
      </c>
      <c r="B614" s="73"/>
      <c r="C614" s="76"/>
      <c r="D614" s="76" t="str">
        <f>VLOOKUP(B614,'HEAD OF THE FAMILY'!B614:J1934,9,FALSE)</f>
        <v>#N/A</v>
      </c>
      <c r="E614" s="3"/>
      <c r="F614" s="3"/>
      <c r="G614" s="7"/>
      <c r="H614" s="7"/>
      <c r="I614" s="7"/>
      <c r="J614" s="60"/>
      <c r="K614" s="60" t="str">
        <f t="shared" si="2"/>
        <v/>
      </c>
    </row>
    <row r="615">
      <c r="A615" s="61" t="str">
        <f t="shared" si="1"/>
        <v/>
      </c>
      <c r="B615" s="73"/>
      <c r="C615" s="76"/>
      <c r="D615" s="76" t="str">
        <f>VLOOKUP(B615,'HEAD OF THE FAMILY'!B615:J1934,9,FALSE)</f>
        <v>#N/A</v>
      </c>
      <c r="E615" s="3"/>
      <c r="F615" s="3"/>
      <c r="G615" s="7"/>
      <c r="H615" s="7"/>
      <c r="I615" s="7"/>
      <c r="J615" s="60"/>
      <c r="K615" s="60" t="str">
        <f t="shared" si="2"/>
        <v/>
      </c>
    </row>
    <row r="616">
      <c r="A616" s="61" t="str">
        <f t="shared" si="1"/>
        <v/>
      </c>
      <c r="B616" s="73"/>
      <c r="C616" s="76"/>
      <c r="D616" s="76" t="str">
        <f>VLOOKUP(B616,'HEAD OF THE FAMILY'!B616:J1934,9,FALSE)</f>
        <v>#N/A</v>
      </c>
      <c r="E616" s="3"/>
      <c r="F616" s="3"/>
      <c r="G616" s="7"/>
      <c r="H616" s="7"/>
      <c r="I616" s="7"/>
      <c r="J616" s="60"/>
      <c r="K616" s="60" t="str">
        <f t="shared" si="2"/>
        <v/>
      </c>
    </row>
    <row r="617">
      <c r="A617" s="61" t="str">
        <f t="shared" si="1"/>
        <v/>
      </c>
      <c r="B617" s="73"/>
      <c r="C617" s="76"/>
      <c r="D617" s="76" t="str">
        <f>VLOOKUP(B617,'HEAD OF THE FAMILY'!B617:J1934,9,FALSE)</f>
        <v>#N/A</v>
      </c>
      <c r="E617" s="3"/>
      <c r="F617" s="3"/>
      <c r="G617" s="7"/>
      <c r="H617" s="7"/>
      <c r="I617" s="7"/>
      <c r="J617" s="60"/>
      <c r="K617" s="60" t="str">
        <f t="shared" si="2"/>
        <v/>
      </c>
    </row>
    <row r="618">
      <c r="A618" s="61" t="str">
        <f t="shared" si="1"/>
        <v/>
      </c>
      <c r="B618" s="73"/>
      <c r="C618" s="76"/>
      <c r="D618" s="76" t="str">
        <f>VLOOKUP(B618,'HEAD OF THE FAMILY'!B618:J1934,9,FALSE)</f>
        <v>#N/A</v>
      </c>
      <c r="E618" s="3"/>
      <c r="F618" s="3"/>
      <c r="G618" s="7"/>
      <c r="H618" s="7"/>
      <c r="I618" s="7"/>
      <c r="J618" s="60"/>
      <c r="K618" s="60" t="str">
        <f t="shared" si="2"/>
        <v/>
      </c>
    </row>
    <row r="619">
      <c r="A619" s="61" t="str">
        <f t="shared" si="1"/>
        <v/>
      </c>
      <c r="B619" s="73"/>
      <c r="C619" s="76"/>
      <c r="D619" s="76" t="str">
        <f>VLOOKUP(B619,'HEAD OF THE FAMILY'!B619:J1934,9,FALSE)</f>
        <v>#N/A</v>
      </c>
      <c r="E619" s="3"/>
      <c r="F619" s="3"/>
      <c r="G619" s="7"/>
      <c r="H619" s="7"/>
      <c r="I619" s="7"/>
      <c r="J619" s="60"/>
      <c r="K619" s="60" t="str">
        <f t="shared" si="2"/>
        <v/>
      </c>
    </row>
    <row r="620">
      <c r="A620" s="61" t="str">
        <f t="shared" si="1"/>
        <v/>
      </c>
      <c r="B620" s="73"/>
      <c r="C620" s="76"/>
      <c r="D620" s="76" t="str">
        <f>VLOOKUP(B620,'HEAD OF THE FAMILY'!B620:J1934,9,FALSE)</f>
        <v>#N/A</v>
      </c>
      <c r="E620" s="3"/>
      <c r="F620" s="3"/>
      <c r="G620" s="7"/>
      <c r="H620" s="7"/>
      <c r="I620" s="7"/>
      <c r="J620" s="60"/>
      <c r="K620" s="60" t="str">
        <f t="shared" si="2"/>
        <v/>
      </c>
    </row>
    <row r="621">
      <c r="A621" s="61" t="str">
        <f t="shared" si="1"/>
        <v/>
      </c>
      <c r="B621" s="73"/>
      <c r="C621" s="76"/>
      <c r="D621" s="76" t="str">
        <f>VLOOKUP(B621,'HEAD OF THE FAMILY'!B621:J1934,9,FALSE)</f>
        <v>#N/A</v>
      </c>
      <c r="E621" s="3"/>
      <c r="F621" s="3"/>
      <c r="G621" s="7"/>
      <c r="H621" s="7"/>
      <c r="I621" s="7"/>
      <c r="J621" s="60"/>
      <c r="K621" s="60" t="str">
        <f t="shared" si="2"/>
        <v/>
      </c>
    </row>
    <row r="622">
      <c r="A622" s="61" t="str">
        <f t="shared" si="1"/>
        <v/>
      </c>
      <c r="B622" s="73"/>
      <c r="C622" s="76"/>
      <c r="D622" s="76" t="str">
        <f>VLOOKUP(B622,'HEAD OF THE FAMILY'!B622:J1934,9,FALSE)</f>
        <v>#N/A</v>
      </c>
      <c r="E622" s="3"/>
      <c r="F622" s="3"/>
      <c r="G622" s="7"/>
      <c r="H622" s="7"/>
      <c r="I622" s="7"/>
      <c r="J622" s="60"/>
      <c r="K622" s="60" t="str">
        <f t="shared" si="2"/>
        <v/>
      </c>
    </row>
    <row r="623">
      <c r="A623" s="61" t="str">
        <f t="shared" si="1"/>
        <v/>
      </c>
      <c r="B623" s="73"/>
      <c r="C623" s="76"/>
      <c r="D623" s="76" t="str">
        <f>VLOOKUP(B623,'HEAD OF THE FAMILY'!B623:J1934,9,FALSE)</f>
        <v>#N/A</v>
      </c>
      <c r="E623" s="3"/>
      <c r="F623" s="3"/>
      <c r="G623" s="7"/>
      <c r="H623" s="7"/>
      <c r="I623" s="7"/>
      <c r="J623" s="60"/>
      <c r="K623" s="60" t="str">
        <f t="shared" si="2"/>
        <v/>
      </c>
    </row>
    <row r="624">
      <c r="A624" s="61" t="str">
        <f t="shared" si="1"/>
        <v/>
      </c>
      <c r="B624" s="73"/>
      <c r="C624" s="76"/>
      <c r="D624" s="76" t="str">
        <f>VLOOKUP(B624,'HEAD OF THE FAMILY'!B624:J1934,9,FALSE)</f>
        <v>#N/A</v>
      </c>
      <c r="E624" s="3"/>
      <c r="F624" s="3"/>
      <c r="G624" s="7"/>
      <c r="H624" s="7"/>
      <c r="I624" s="7"/>
      <c r="J624" s="60"/>
      <c r="K624" s="60" t="str">
        <f t="shared" si="2"/>
        <v/>
      </c>
    </row>
    <row r="625">
      <c r="A625" s="61" t="str">
        <f t="shared" si="1"/>
        <v/>
      </c>
      <c r="B625" s="73"/>
      <c r="C625" s="76"/>
      <c r="D625" s="76" t="str">
        <f>VLOOKUP(B625,'HEAD OF THE FAMILY'!B625:J1934,9,FALSE)</f>
        <v>#N/A</v>
      </c>
      <c r="E625" s="3"/>
      <c r="F625" s="3"/>
      <c r="G625" s="7"/>
      <c r="H625" s="7"/>
      <c r="I625" s="7"/>
      <c r="J625" s="60"/>
      <c r="K625" s="60" t="str">
        <f t="shared" si="2"/>
        <v/>
      </c>
    </row>
    <row r="626">
      <c r="A626" s="61" t="str">
        <f t="shared" si="1"/>
        <v/>
      </c>
      <c r="B626" s="73"/>
      <c r="C626" s="76"/>
      <c r="D626" s="76" t="str">
        <f>VLOOKUP(B626,'HEAD OF THE FAMILY'!B626:J1934,9,FALSE)</f>
        <v>#N/A</v>
      </c>
      <c r="E626" s="3"/>
      <c r="F626" s="3"/>
      <c r="G626" s="7"/>
      <c r="H626" s="7"/>
      <c r="I626" s="7"/>
      <c r="J626" s="60"/>
      <c r="K626" s="60" t="str">
        <f t="shared" si="2"/>
        <v/>
      </c>
    </row>
    <row r="627">
      <c r="A627" s="61" t="str">
        <f t="shared" si="1"/>
        <v/>
      </c>
      <c r="B627" s="73"/>
      <c r="C627" s="76"/>
      <c r="D627" s="76" t="str">
        <f>VLOOKUP(B627,'HEAD OF THE FAMILY'!B627:J1934,9,FALSE)</f>
        <v>#N/A</v>
      </c>
      <c r="E627" s="3"/>
      <c r="F627" s="3"/>
      <c r="G627" s="7"/>
      <c r="H627" s="7"/>
      <c r="I627" s="7"/>
      <c r="J627" s="60"/>
      <c r="K627" s="60" t="str">
        <f t="shared" si="2"/>
        <v/>
      </c>
    </row>
    <row r="628">
      <c r="A628" s="61" t="str">
        <f t="shared" si="1"/>
        <v/>
      </c>
      <c r="B628" s="73"/>
      <c r="C628" s="76"/>
      <c r="D628" s="76" t="str">
        <f>VLOOKUP(B628,'HEAD OF THE FAMILY'!B628:J1934,9,FALSE)</f>
        <v>#N/A</v>
      </c>
      <c r="E628" s="3"/>
      <c r="F628" s="3"/>
      <c r="G628" s="7"/>
      <c r="H628" s="7"/>
      <c r="I628" s="7"/>
      <c r="J628" s="60"/>
      <c r="K628" s="60" t="str">
        <f t="shared" si="2"/>
        <v/>
      </c>
    </row>
    <row r="629">
      <c r="A629" s="61" t="str">
        <f t="shared" si="1"/>
        <v/>
      </c>
      <c r="B629" s="73"/>
      <c r="C629" s="76"/>
      <c r="D629" s="76" t="str">
        <f>VLOOKUP(B629,'HEAD OF THE FAMILY'!B629:J1934,9,FALSE)</f>
        <v>#N/A</v>
      </c>
      <c r="E629" s="3"/>
      <c r="F629" s="3"/>
      <c r="G629" s="7"/>
      <c r="H629" s="7"/>
      <c r="I629" s="7"/>
      <c r="J629" s="60"/>
      <c r="K629" s="60" t="str">
        <f t="shared" si="2"/>
        <v/>
      </c>
    </row>
    <row r="630">
      <c r="A630" s="61" t="str">
        <f t="shared" si="1"/>
        <v/>
      </c>
      <c r="B630" s="73"/>
      <c r="C630" s="76"/>
      <c r="D630" s="76" t="str">
        <f>VLOOKUP(B630,'HEAD OF THE FAMILY'!B630:J1934,9,FALSE)</f>
        <v>#N/A</v>
      </c>
      <c r="E630" s="3"/>
      <c r="F630" s="3"/>
      <c r="G630" s="7"/>
      <c r="H630" s="7"/>
      <c r="I630" s="7"/>
      <c r="J630" s="60"/>
      <c r="K630" s="60" t="str">
        <f t="shared" si="2"/>
        <v/>
      </c>
    </row>
    <row r="631">
      <c r="A631" s="61" t="str">
        <f t="shared" si="1"/>
        <v/>
      </c>
      <c r="B631" s="73"/>
      <c r="C631" s="76"/>
      <c r="D631" s="76" t="str">
        <f>VLOOKUP(B631,'HEAD OF THE FAMILY'!B631:J1934,9,FALSE)</f>
        <v>#N/A</v>
      </c>
      <c r="E631" s="3"/>
      <c r="F631" s="3"/>
      <c r="G631" s="7"/>
      <c r="H631" s="7"/>
      <c r="I631" s="7"/>
      <c r="J631" s="60"/>
      <c r="K631" s="60" t="str">
        <f t="shared" si="2"/>
        <v/>
      </c>
    </row>
    <row r="632">
      <c r="A632" s="61" t="str">
        <f t="shared" si="1"/>
        <v/>
      </c>
      <c r="B632" s="73"/>
      <c r="C632" s="76"/>
      <c r="D632" s="76" t="str">
        <f>VLOOKUP(B632,'HEAD OF THE FAMILY'!B632:J1934,9,FALSE)</f>
        <v>#N/A</v>
      </c>
      <c r="E632" s="3"/>
      <c r="F632" s="3"/>
      <c r="G632" s="7"/>
      <c r="H632" s="7"/>
      <c r="I632" s="7"/>
      <c r="J632" s="60"/>
      <c r="K632" s="60" t="str">
        <f t="shared" si="2"/>
        <v/>
      </c>
    </row>
    <row r="633">
      <c r="A633" s="61" t="str">
        <f t="shared" si="1"/>
        <v/>
      </c>
      <c r="B633" s="73"/>
      <c r="C633" s="76"/>
      <c r="D633" s="76" t="str">
        <f>VLOOKUP(B633,'HEAD OF THE FAMILY'!B633:J1934,9,FALSE)</f>
        <v>#N/A</v>
      </c>
      <c r="E633" s="3"/>
      <c r="F633" s="3"/>
      <c r="G633" s="7"/>
      <c r="H633" s="7"/>
      <c r="I633" s="7"/>
      <c r="J633" s="60"/>
      <c r="K633" s="60" t="str">
        <f t="shared" si="2"/>
        <v/>
      </c>
    </row>
    <row r="634">
      <c r="A634" s="61" t="str">
        <f t="shared" si="1"/>
        <v/>
      </c>
      <c r="B634" s="73"/>
      <c r="C634" s="76"/>
      <c r="D634" s="76" t="str">
        <f>VLOOKUP(B634,'HEAD OF THE FAMILY'!B634:J1934,9,FALSE)</f>
        <v>#N/A</v>
      </c>
      <c r="E634" s="3"/>
      <c r="F634" s="3"/>
      <c r="G634" s="7"/>
      <c r="H634" s="7"/>
      <c r="I634" s="7"/>
      <c r="J634" s="60"/>
      <c r="K634" s="60" t="str">
        <f t="shared" si="2"/>
        <v/>
      </c>
    </row>
    <row r="635">
      <c r="A635" s="61" t="str">
        <f t="shared" si="1"/>
        <v/>
      </c>
      <c r="B635" s="73"/>
      <c r="C635" s="76"/>
      <c r="D635" s="76" t="str">
        <f>VLOOKUP(B635,'HEAD OF THE FAMILY'!B635:J1934,9,FALSE)</f>
        <v>#N/A</v>
      </c>
      <c r="E635" s="3"/>
      <c r="F635" s="3"/>
      <c r="G635" s="7"/>
      <c r="H635" s="7"/>
      <c r="I635" s="7"/>
      <c r="J635" s="60"/>
      <c r="K635" s="60" t="str">
        <f t="shared" si="2"/>
        <v/>
      </c>
    </row>
    <row r="636">
      <c r="A636" s="61" t="str">
        <f t="shared" si="1"/>
        <v/>
      </c>
      <c r="B636" s="73"/>
      <c r="C636" s="76"/>
      <c r="D636" s="76" t="str">
        <f>VLOOKUP(B636,'HEAD OF THE FAMILY'!B636:J1934,9,FALSE)</f>
        <v>#N/A</v>
      </c>
      <c r="E636" s="3"/>
      <c r="F636" s="3"/>
      <c r="G636" s="7"/>
      <c r="H636" s="7"/>
      <c r="I636" s="7"/>
      <c r="J636" s="60"/>
      <c r="K636" s="60" t="str">
        <f t="shared" si="2"/>
        <v/>
      </c>
    </row>
    <row r="637">
      <c r="A637" s="61" t="str">
        <f t="shared" si="1"/>
        <v/>
      </c>
      <c r="B637" s="73"/>
      <c r="C637" s="76"/>
      <c r="D637" s="76" t="str">
        <f>VLOOKUP(B637,'HEAD OF THE FAMILY'!B637:J1934,9,FALSE)</f>
        <v>#N/A</v>
      </c>
      <c r="E637" s="3"/>
      <c r="F637" s="3"/>
      <c r="G637" s="7"/>
      <c r="H637" s="7"/>
      <c r="I637" s="7"/>
      <c r="J637" s="60"/>
      <c r="K637" s="60" t="str">
        <f t="shared" si="2"/>
        <v/>
      </c>
    </row>
    <row r="638">
      <c r="A638" s="61" t="str">
        <f t="shared" si="1"/>
        <v/>
      </c>
      <c r="B638" s="73"/>
      <c r="C638" s="76"/>
      <c r="D638" s="76" t="str">
        <f>VLOOKUP(B638,'HEAD OF THE FAMILY'!B638:J1934,9,FALSE)</f>
        <v>#N/A</v>
      </c>
      <c r="E638" s="3"/>
      <c r="F638" s="3"/>
      <c r="G638" s="7"/>
      <c r="H638" s="7"/>
      <c r="I638" s="7"/>
      <c r="J638" s="60"/>
      <c r="K638" s="60" t="str">
        <f t="shared" si="2"/>
        <v/>
      </c>
    </row>
    <row r="639">
      <c r="A639" s="61" t="str">
        <f t="shared" si="1"/>
        <v/>
      </c>
      <c r="B639" s="73"/>
      <c r="C639" s="76"/>
      <c r="D639" s="76" t="str">
        <f>VLOOKUP(B639,'HEAD OF THE FAMILY'!B639:J1934,9,FALSE)</f>
        <v>#N/A</v>
      </c>
      <c r="E639" s="3"/>
      <c r="F639" s="3"/>
      <c r="G639" s="7"/>
      <c r="H639" s="7"/>
      <c r="I639" s="7"/>
      <c r="J639" s="60"/>
      <c r="K639" s="60" t="str">
        <f t="shared" si="2"/>
        <v/>
      </c>
    </row>
    <row r="640">
      <c r="A640" s="61" t="str">
        <f t="shared" si="1"/>
        <v/>
      </c>
      <c r="B640" s="73"/>
      <c r="C640" s="76"/>
      <c r="D640" s="76" t="str">
        <f>VLOOKUP(B640,'HEAD OF THE FAMILY'!B640:J1934,9,FALSE)</f>
        <v>#N/A</v>
      </c>
      <c r="E640" s="3"/>
      <c r="F640" s="3"/>
      <c r="G640" s="7"/>
      <c r="H640" s="7"/>
      <c r="I640" s="7"/>
      <c r="J640" s="60"/>
      <c r="K640" s="60" t="str">
        <f t="shared" si="2"/>
        <v/>
      </c>
    </row>
    <row r="641">
      <c r="A641" s="61" t="str">
        <f t="shared" si="1"/>
        <v/>
      </c>
      <c r="B641" s="73"/>
      <c r="C641" s="76"/>
      <c r="D641" s="76" t="str">
        <f>VLOOKUP(B641,'HEAD OF THE FAMILY'!B641:J1934,9,FALSE)</f>
        <v>#N/A</v>
      </c>
      <c r="E641" s="3"/>
      <c r="F641" s="3"/>
      <c r="G641" s="7"/>
      <c r="H641" s="7"/>
      <c r="I641" s="7"/>
      <c r="J641" s="60"/>
      <c r="K641" s="60" t="str">
        <f t="shared" si="2"/>
        <v/>
      </c>
    </row>
    <row r="642">
      <c r="A642" s="61" t="str">
        <f t="shared" si="1"/>
        <v/>
      </c>
      <c r="B642" s="73"/>
      <c r="C642" s="76"/>
      <c r="D642" s="76" t="str">
        <f>VLOOKUP(B642,'HEAD OF THE FAMILY'!B642:J1934,9,FALSE)</f>
        <v>#N/A</v>
      </c>
      <c r="E642" s="3"/>
      <c r="F642" s="3"/>
      <c r="G642" s="7"/>
      <c r="H642" s="7"/>
      <c r="I642" s="7"/>
      <c r="J642" s="60"/>
      <c r="K642" s="60" t="str">
        <f t="shared" si="2"/>
        <v/>
      </c>
    </row>
    <row r="643">
      <c r="A643" s="61" t="str">
        <f t="shared" si="1"/>
        <v/>
      </c>
      <c r="B643" s="73"/>
      <c r="C643" s="76"/>
      <c r="D643" s="76" t="str">
        <f>VLOOKUP(B643,'HEAD OF THE FAMILY'!B643:J1934,9,FALSE)</f>
        <v>#N/A</v>
      </c>
      <c r="E643" s="3"/>
      <c r="F643" s="3"/>
      <c r="G643" s="7"/>
      <c r="H643" s="7"/>
      <c r="I643" s="7"/>
      <c r="J643" s="60"/>
      <c r="K643" s="60" t="str">
        <f t="shared" si="2"/>
        <v/>
      </c>
    </row>
    <row r="644">
      <c r="A644" s="61" t="str">
        <f t="shared" si="1"/>
        <v/>
      </c>
      <c r="B644" s="73"/>
      <c r="C644" s="76"/>
      <c r="D644" s="76" t="str">
        <f>VLOOKUP(B644,'HEAD OF THE FAMILY'!B644:J1934,9,FALSE)</f>
        <v>#N/A</v>
      </c>
      <c r="E644" s="3"/>
      <c r="F644" s="3"/>
      <c r="G644" s="7"/>
      <c r="H644" s="7"/>
      <c r="I644" s="7"/>
      <c r="J644" s="60"/>
      <c r="K644" s="60" t="str">
        <f t="shared" si="2"/>
        <v/>
      </c>
    </row>
    <row r="645">
      <c r="A645" s="61" t="str">
        <f t="shared" si="1"/>
        <v/>
      </c>
      <c r="B645" s="73"/>
      <c r="C645" s="76"/>
      <c r="D645" s="76" t="str">
        <f>VLOOKUP(B645,'HEAD OF THE FAMILY'!B645:J1934,9,FALSE)</f>
        <v>#N/A</v>
      </c>
      <c r="E645" s="3"/>
      <c r="F645" s="3"/>
      <c r="G645" s="7"/>
      <c r="H645" s="7"/>
      <c r="I645" s="7"/>
      <c r="J645" s="60"/>
      <c r="K645" s="60" t="str">
        <f t="shared" si="2"/>
        <v/>
      </c>
    </row>
    <row r="646">
      <c r="A646" s="61" t="str">
        <f t="shared" si="1"/>
        <v/>
      </c>
      <c r="B646" s="73"/>
      <c r="C646" s="76"/>
      <c r="D646" s="76" t="str">
        <f>VLOOKUP(B646,'HEAD OF THE FAMILY'!B646:J1934,9,FALSE)</f>
        <v>#N/A</v>
      </c>
      <c r="E646" s="3"/>
      <c r="F646" s="3"/>
      <c r="G646" s="7"/>
      <c r="H646" s="7"/>
      <c r="I646" s="7"/>
      <c r="J646" s="60"/>
      <c r="K646" s="60" t="str">
        <f t="shared" si="2"/>
        <v/>
      </c>
    </row>
    <row r="647">
      <c r="A647" s="61" t="str">
        <f t="shared" si="1"/>
        <v/>
      </c>
      <c r="B647" s="73"/>
      <c r="C647" s="76"/>
      <c r="D647" s="76" t="str">
        <f>VLOOKUP(B647,'HEAD OF THE FAMILY'!B647:J1934,9,FALSE)</f>
        <v>#N/A</v>
      </c>
      <c r="E647" s="3"/>
      <c r="F647" s="3"/>
      <c r="G647" s="7"/>
      <c r="H647" s="7"/>
      <c r="I647" s="7"/>
      <c r="J647" s="60"/>
      <c r="K647" s="60" t="str">
        <f t="shared" si="2"/>
        <v/>
      </c>
    </row>
    <row r="648">
      <c r="A648" s="61" t="str">
        <f t="shared" si="1"/>
        <v/>
      </c>
      <c r="B648" s="73"/>
      <c r="C648" s="76"/>
      <c r="D648" s="76" t="str">
        <f>VLOOKUP(B648,'HEAD OF THE FAMILY'!B648:J1934,9,FALSE)</f>
        <v>#N/A</v>
      </c>
      <c r="E648" s="3"/>
      <c r="F648" s="3"/>
      <c r="G648" s="7"/>
      <c r="H648" s="7"/>
      <c r="I648" s="7"/>
      <c r="J648" s="60"/>
      <c r="K648" s="60" t="str">
        <f t="shared" si="2"/>
        <v/>
      </c>
    </row>
    <row r="649">
      <c r="A649" s="61" t="str">
        <f t="shared" si="1"/>
        <v/>
      </c>
      <c r="B649" s="73"/>
      <c r="C649" s="76"/>
      <c r="D649" s="76" t="str">
        <f>VLOOKUP(B649,'HEAD OF THE FAMILY'!B649:J1934,9,FALSE)</f>
        <v>#N/A</v>
      </c>
      <c r="E649" s="3"/>
      <c r="F649" s="3"/>
      <c r="G649" s="7"/>
      <c r="H649" s="7"/>
      <c r="I649" s="7"/>
      <c r="J649" s="60"/>
      <c r="K649" s="60" t="str">
        <f t="shared" si="2"/>
        <v/>
      </c>
    </row>
    <row r="650">
      <c r="A650" s="61" t="str">
        <f t="shared" si="1"/>
        <v/>
      </c>
      <c r="B650" s="73"/>
      <c r="C650" s="76"/>
      <c r="D650" s="76" t="str">
        <f>VLOOKUP(B650,'HEAD OF THE FAMILY'!B650:J1934,9,FALSE)</f>
        <v>#N/A</v>
      </c>
      <c r="E650" s="3"/>
      <c r="F650" s="3"/>
      <c r="G650" s="7"/>
      <c r="H650" s="7"/>
      <c r="I650" s="7"/>
      <c r="J650" s="60"/>
      <c r="K650" s="60" t="str">
        <f t="shared" si="2"/>
        <v/>
      </c>
    </row>
    <row r="651">
      <c r="A651" s="61" t="str">
        <f t="shared" si="1"/>
        <v/>
      </c>
      <c r="B651" s="73"/>
      <c r="C651" s="76"/>
      <c r="D651" s="76" t="str">
        <f>VLOOKUP(B651,'HEAD OF THE FAMILY'!B651:J1934,9,FALSE)</f>
        <v>#N/A</v>
      </c>
      <c r="E651" s="3"/>
      <c r="F651" s="3"/>
      <c r="G651" s="7"/>
      <c r="H651" s="7"/>
      <c r="I651" s="7"/>
      <c r="J651" s="60"/>
      <c r="K651" s="60" t="str">
        <f t="shared" si="2"/>
        <v/>
      </c>
    </row>
    <row r="652">
      <c r="A652" s="61" t="str">
        <f t="shared" si="1"/>
        <v/>
      </c>
      <c r="B652" s="73"/>
      <c r="C652" s="76"/>
      <c r="D652" s="76" t="str">
        <f>VLOOKUP(B652,'HEAD OF THE FAMILY'!B652:J1934,9,FALSE)</f>
        <v>#N/A</v>
      </c>
      <c r="E652" s="3"/>
      <c r="F652" s="3"/>
      <c r="G652" s="7"/>
      <c r="H652" s="7"/>
      <c r="I652" s="7"/>
      <c r="J652" s="60"/>
      <c r="K652" s="60" t="str">
        <f t="shared" si="2"/>
        <v/>
      </c>
    </row>
    <row r="653">
      <c r="A653" s="61" t="str">
        <f t="shared" si="1"/>
        <v/>
      </c>
      <c r="B653" s="73"/>
      <c r="C653" s="76"/>
      <c r="D653" s="76" t="str">
        <f>VLOOKUP(B653,'HEAD OF THE FAMILY'!B653:J1934,9,FALSE)</f>
        <v>#N/A</v>
      </c>
      <c r="E653" s="3"/>
      <c r="F653" s="3"/>
      <c r="G653" s="7"/>
      <c r="H653" s="7"/>
      <c r="I653" s="7"/>
      <c r="J653" s="60"/>
      <c r="K653" s="60" t="str">
        <f t="shared" si="2"/>
        <v/>
      </c>
    </row>
    <row r="654">
      <c r="A654" s="61" t="str">
        <f t="shared" si="1"/>
        <v/>
      </c>
      <c r="B654" s="73"/>
      <c r="C654" s="76"/>
      <c r="D654" s="76" t="str">
        <f>VLOOKUP(B654,'HEAD OF THE FAMILY'!B654:J1934,9,FALSE)</f>
        <v>#N/A</v>
      </c>
      <c r="E654" s="3"/>
      <c r="F654" s="3"/>
      <c r="G654" s="7"/>
      <c r="H654" s="7"/>
      <c r="I654" s="7"/>
      <c r="J654" s="60"/>
      <c r="K654" s="60" t="str">
        <f t="shared" si="2"/>
        <v/>
      </c>
    </row>
    <row r="655">
      <c r="A655" s="61" t="str">
        <f t="shared" si="1"/>
        <v/>
      </c>
      <c r="B655" s="73"/>
      <c r="C655" s="76"/>
      <c r="D655" s="76" t="str">
        <f>VLOOKUP(B655,'HEAD OF THE FAMILY'!B655:J1934,9,FALSE)</f>
        <v>#N/A</v>
      </c>
      <c r="E655" s="3"/>
      <c r="F655" s="3"/>
      <c r="G655" s="7"/>
      <c r="H655" s="7"/>
      <c r="I655" s="7"/>
      <c r="J655" s="60"/>
      <c r="K655" s="60" t="str">
        <f t="shared" si="2"/>
        <v/>
      </c>
    </row>
    <row r="656">
      <c r="A656" s="61" t="str">
        <f t="shared" si="1"/>
        <v/>
      </c>
      <c r="B656" s="73"/>
      <c r="C656" s="76"/>
      <c r="D656" s="76" t="str">
        <f>VLOOKUP(B656,'HEAD OF THE FAMILY'!B656:J1934,9,FALSE)</f>
        <v>#N/A</v>
      </c>
      <c r="E656" s="3"/>
      <c r="F656" s="3"/>
      <c r="G656" s="7"/>
      <c r="H656" s="7"/>
      <c r="I656" s="7"/>
      <c r="J656" s="60"/>
      <c r="K656" s="60" t="str">
        <f t="shared" si="2"/>
        <v/>
      </c>
    </row>
    <row r="657">
      <c r="A657" s="61" t="str">
        <f t="shared" si="1"/>
        <v/>
      </c>
      <c r="B657" s="73"/>
      <c r="C657" s="76"/>
      <c r="D657" s="76" t="str">
        <f>VLOOKUP(B657,'HEAD OF THE FAMILY'!B657:J1934,9,FALSE)</f>
        <v>#N/A</v>
      </c>
      <c r="E657" s="3"/>
      <c r="F657" s="3"/>
      <c r="G657" s="7"/>
      <c r="H657" s="7"/>
      <c r="I657" s="7"/>
      <c r="J657" s="60"/>
      <c r="K657" s="60" t="str">
        <f t="shared" si="2"/>
        <v/>
      </c>
    </row>
    <row r="658">
      <c r="A658" s="61" t="str">
        <f t="shared" si="1"/>
        <v/>
      </c>
      <c r="B658" s="73"/>
      <c r="C658" s="76"/>
      <c r="D658" s="76" t="str">
        <f>VLOOKUP(B658,'HEAD OF THE FAMILY'!B658:J1934,9,FALSE)</f>
        <v>#N/A</v>
      </c>
      <c r="E658" s="3"/>
      <c r="F658" s="3"/>
      <c r="G658" s="7"/>
      <c r="H658" s="7"/>
      <c r="I658" s="7"/>
      <c r="J658" s="60"/>
      <c r="K658" s="60" t="str">
        <f t="shared" si="2"/>
        <v/>
      </c>
    </row>
    <row r="659">
      <c r="A659" s="61" t="str">
        <f t="shared" si="1"/>
        <v/>
      </c>
      <c r="B659" s="73"/>
      <c r="C659" s="76"/>
      <c r="D659" s="76" t="str">
        <f>VLOOKUP(B659,'HEAD OF THE FAMILY'!B659:J1934,9,FALSE)</f>
        <v>#N/A</v>
      </c>
      <c r="E659" s="3"/>
      <c r="F659" s="3"/>
      <c r="G659" s="7"/>
      <c r="H659" s="7"/>
      <c r="I659" s="7"/>
      <c r="J659" s="60"/>
      <c r="K659" s="60" t="str">
        <f t="shared" si="2"/>
        <v/>
      </c>
    </row>
    <row r="660">
      <c r="A660" s="61" t="str">
        <f t="shared" si="1"/>
        <v/>
      </c>
      <c r="B660" s="73"/>
      <c r="C660" s="76"/>
      <c r="D660" s="76" t="str">
        <f>VLOOKUP(B660,'HEAD OF THE FAMILY'!B660:J1934,9,FALSE)</f>
        <v>#N/A</v>
      </c>
      <c r="E660" s="3"/>
      <c r="F660" s="3"/>
      <c r="G660" s="7"/>
      <c r="H660" s="7"/>
      <c r="I660" s="7"/>
      <c r="J660" s="60"/>
      <c r="K660" s="60" t="str">
        <f t="shared" si="2"/>
        <v/>
      </c>
    </row>
    <row r="661">
      <c r="A661" s="61" t="str">
        <f t="shared" si="1"/>
        <v/>
      </c>
      <c r="B661" s="73"/>
      <c r="C661" s="76"/>
      <c r="D661" s="76" t="str">
        <f>VLOOKUP(B661,'HEAD OF THE FAMILY'!B661:J1934,9,FALSE)</f>
        <v>#N/A</v>
      </c>
      <c r="E661" s="3"/>
      <c r="F661" s="3"/>
      <c r="G661" s="7"/>
      <c r="H661" s="7"/>
      <c r="I661" s="7"/>
      <c r="J661" s="60"/>
      <c r="K661" s="60" t="str">
        <f t="shared" si="2"/>
        <v/>
      </c>
    </row>
    <row r="662">
      <c r="A662" s="61" t="str">
        <f t="shared" si="1"/>
        <v/>
      </c>
      <c r="B662" s="73"/>
      <c r="C662" s="76"/>
      <c r="D662" s="76" t="str">
        <f>VLOOKUP(B662,'HEAD OF THE FAMILY'!B662:J1934,9,FALSE)</f>
        <v>#N/A</v>
      </c>
      <c r="E662" s="3"/>
      <c r="F662" s="3"/>
      <c r="G662" s="7"/>
      <c r="H662" s="7"/>
      <c r="I662" s="7"/>
      <c r="J662" s="60"/>
      <c r="K662" s="60" t="str">
        <f t="shared" si="2"/>
        <v/>
      </c>
    </row>
    <row r="663">
      <c r="A663" s="61" t="str">
        <f t="shared" si="1"/>
        <v/>
      </c>
      <c r="B663" s="73"/>
      <c r="C663" s="76"/>
      <c r="D663" s="76" t="str">
        <f>VLOOKUP(B663,'HEAD OF THE FAMILY'!B663:J1934,9,FALSE)</f>
        <v>#N/A</v>
      </c>
      <c r="E663" s="3"/>
      <c r="F663" s="3"/>
      <c r="G663" s="7"/>
      <c r="H663" s="7"/>
      <c r="I663" s="7"/>
      <c r="J663" s="60"/>
      <c r="K663" s="60" t="str">
        <f t="shared" si="2"/>
        <v/>
      </c>
    </row>
    <row r="664">
      <c r="A664" s="61" t="str">
        <f t="shared" si="1"/>
        <v/>
      </c>
      <c r="B664" s="73"/>
      <c r="C664" s="76"/>
      <c r="D664" s="76" t="str">
        <f>VLOOKUP(B664,'HEAD OF THE FAMILY'!B664:J1934,9,FALSE)</f>
        <v>#N/A</v>
      </c>
      <c r="E664" s="3"/>
      <c r="F664" s="3"/>
      <c r="G664" s="7"/>
      <c r="H664" s="7"/>
      <c r="I664" s="7"/>
      <c r="J664" s="60"/>
      <c r="K664" s="60" t="str">
        <f t="shared" si="2"/>
        <v/>
      </c>
    </row>
    <row r="665">
      <c r="A665" s="61" t="str">
        <f t="shared" si="1"/>
        <v/>
      </c>
      <c r="B665" s="73"/>
      <c r="C665" s="76"/>
      <c r="D665" s="76" t="str">
        <f>VLOOKUP(B665,'HEAD OF THE FAMILY'!B665:J1934,9,FALSE)</f>
        <v>#N/A</v>
      </c>
      <c r="E665" s="3"/>
      <c r="F665" s="3"/>
      <c r="G665" s="7"/>
      <c r="H665" s="7"/>
      <c r="I665" s="7"/>
      <c r="J665" s="60"/>
      <c r="K665" s="60" t="str">
        <f t="shared" si="2"/>
        <v/>
      </c>
    </row>
    <row r="666">
      <c r="A666" s="61" t="str">
        <f t="shared" si="1"/>
        <v/>
      </c>
      <c r="B666" s="73"/>
      <c r="C666" s="76"/>
      <c r="D666" s="76" t="str">
        <f>VLOOKUP(B666,'HEAD OF THE FAMILY'!B666:J1934,9,FALSE)</f>
        <v>#N/A</v>
      </c>
      <c r="E666" s="3"/>
      <c r="F666" s="3"/>
      <c r="G666" s="7"/>
      <c r="H666" s="7"/>
      <c r="I666" s="7"/>
      <c r="J666" s="60"/>
      <c r="K666" s="60" t="str">
        <f t="shared" si="2"/>
        <v/>
      </c>
    </row>
    <row r="667">
      <c r="A667" s="61" t="str">
        <f t="shared" si="1"/>
        <v/>
      </c>
      <c r="B667" s="73"/>
      <c r="C667" s="76"/>
      <c r="D667" s="76" t="str">
        <f>VLOOKUP(B667,'HEAD OF THE FAMILY'!B667:J1934,9,FALSE)</f>
        <v>#N/A</v>
      </c>
      <c r="E667" s="3"/>
      <c r="F667" s="3"/>
      <c r="G667" s="7"/>
      <c r="H667" s="7"/>
      <c r="I667" s="7"/>
      <c r="J667" s="60"/>
      <c r="K667" s="60" t="str">
        <f t="shared" si="2"/>
        <v/>
      </c>
    </row>
    <row r="668">
      <c r="A668" s="61" t="str">
        <f t="shared" si="1"/>
        <v/>
      </c>
      <c r="B668" s="73"/>
      <c r="C668" s="76"/>
      <c r="D668" s="76" t="str">
        <f>VLOOKUP(B668,'HEAD OF THE FAMILY'!B668:J1934,9,FALSE)</f>
        <v>#N/A</v>
      </c>
      <c r="E668" s="3"/>
      <c r="F668" s="3"/>
      <c r="G668" s="7"/>
      <c r="H668" s="7"/>
      <c r="I668" s="7"/>
      <c r="J668" s="60"/>
      <c r="K668" s="60" t="str">
        <f t="shared" si="2"/>
        <v/>
      </c>
    </row>
    <row r="669">
      <c r="A669" s="61" t="str">
        <f t="shared" si="1"/>
        <v/>
      </c>
      <c r="B669" s="73"/>
      <c r="C669" s="76"/>
      <c r="D669" s="76" t="str">
        <f>VLOOKUP(B669,'HEAD OF THE FAMILY'!B669:J1934,9,FALSE)</f>
        <v>#N/A</v>
      </c>
      <c r="E669" s="3"/>
      <c r="F669" s="3"/>
      <c r="G669" s="7"/>
      <c r="H669" s="7"/>
      <c r="I669" s="7"/>
      <c r="J669" s="60"/>
      <c r="K669" s="60" t="str">
        <f t="shared" si="2"/>
        <v/>
      </c>
    </row>
    <row r="670">
      <c r="A670" s="61" t="str">
        <f t="shared" si="1"/>
        <v/>
      </c>
      <c r="B670" s="73"/>
      <c r="C670" s="76"/>
      <c r="D670" s="76" t="str">
        <f>VLOOKUP(B670,'HEAD OF THE FAMILY'!B670:J1934,9,FALSE)</f>
        <v>#N/A</v>
      </c>
      <c r="E670" s="3"/>
      <c r="F670" s="3"/>
      <c r="G670" s="7"/>
      <c r="H670" s="7"/>
      <c r="I670" s="7"/>
      <c r="J670" s="60"/>
      <c r="K670" s="60" t="str">
        <f t="shared" si="2"/>
        <v/>
      </c>
    </row>
    <row r="671">
      <c r="A671" s="61" t="str">
        <f t="shared" si="1"/>
        <v/>
      </c>
      <c r="B671" s="73"/>
      <c r="C671" s="76"/>
      <c r="D671" s="76" t="str">
        <f>VLOOKUP(B671,'HEAD OF THE FAMILY'!B671:J1934,9,FALSE)</f>
        <v>#N/A</v>
      </c>
      <c r="E671" s="3"/>
      <c r="F671" s="3"/>
      <c r="G671" s="7"/>
      <c r="H671" s="7"/>
      <c r="I671" s="7"/>
      <c r="J671" s="60"/>
      <c r="K671" s="60" t="str">
        <f t="shared" si="2"/>
        <v/>
      </c>
    </row>
    <row r="672">
      <c r="A672" s="61" t="str">
        <f t="shared" si="1"/>
        <v/>
      </c>
      <c r="B672" s="73"/>
      <c r="C672" s="76"/>
      <c r="D672" s="76" t="str">
        <f>VLOOKUP(B672,'HEAD OF THE FAMILY'!B672:J1934,9,FALSE)</f>
        <v>#N/A</v>
      </c>
      <c r="E672" s="3"/>
      <c r="F672" s="3"/>
      <c r="G672" s="7"/>
      <c r="H672" s="7"/>
      <c r="I672" s="7"/>
      <c r="J672" s="60"/>
      <c r="K672" s="60" t="str">
        <f t="shared" si="2"/>
        <v/>
      </c>
    </row>
    <row r="673">
      <c r="A673" s="61" t="str">
        <f t="shared" si="1"/>
        <v/>
      </c>
      <c r="B673" s="73"/>
      <c r="C673" s="76"/>
      <c r="D673" s="76" t="str">
        <f>VLOOKUP(B673,'HEAD OF THE FAMILY'!B673:J1934,9,FALSE)</f>
        <v>#N/A</v>
      </c>
      <c r="E673" s="3"/>
      <c r="F673" s="3"/>
      <c r="G673" s="7"/>
      <c r="H673" s="7"/>
      <c r="I673" s="7"/>
      <c r="J673" s="60"/>
      <c r="K673" s="60" t="str">
        <f t="shared" si="2"/>
        <v/>
      </c>
    </row>
    <row r="674">
      <c r="A674" s="61" t="str">
        <f t="shared" si="1"/>
        <v/>
      </c>
      <c r="B674" s="73"/>
      <c r="C674" s="76"/>
      <c r="D674" s="76" t="str">
        <f>VLOOKUP(B674,'HEAD OF THE FAMILY'!B674:J1934,9,FALSE)</f>
        <v>#N/A</v>
      </c>
      <c r="E674" s="3"/>
      <c r="F674" s="3"/>
      <c r="G674" s="7"/>
      <c r="H674" s="7"/>
      <c r="I674" s="7"/>
      <c r="J674" s="60"/>
      <c r="K674" s="60" t="str">
        <f t="shared" si="2"/>
        <v/>
      </c>
    </row>
    <row r="675">
      <c r="A675" s="61" t="str">
        <f t="shared" si="1"/>
        <v/>
      </c>
      <c r="B675" s="73"/>
      <c r="C675" s="76"/>
      <c r="D675" s="76" t="str">
        <f>VLOOKUP(B675,'HEAD OF THE FAMILY'!B675:J1934,9,FALSE)</f>
        <v>#N/A</v>
      </c>
      <c r="E675" s="3"/>
      <c r="F675" s="3"/>
      <c r="G675" s="7"/>
      <c r="H675" s="7"/>
      <c r="I675" s="7"/>
      <c r="J675" s="60"/>
      <c r="K675" s="60" t="str">
        <f t="shared" si="2"/>
        <v/>
      </c>
    </row>
    <row r="676">
      <c r="A676" s="61" t="str">
        <f t="shared" si="1"/>
        <v/>
      </c>
      <c r="B676" s="73"/>
      <c r="C676" s="76"/>
      <c r="D676" s="76" t="str">
        <f>VLOOKUP(B676,'HEAD OF THE FAMILY'!B676:J1934,9,FALSE)</f>
        <v>#N/A</v>
      </c>
      <c r="E676" s="3"/>
      <c r="F676" s="3"/>
      <c r="G676" s="7"/>
      <c r="H676" s="7"/>
      <c r="I676" s="7"/>
      <c r="J676" s="60"/>
      <c r="K676" s="60" t="str">
        <f t="shared" si="2"/>
        <v/>
      </c>
    </row>
    <row r="677">
      <c r="A677" s="61" t="str">
        <f t="shared" si="1"/>
        <v/>
      </c>
      <c r="B677" s="73"/>
      <c r="C677" s="76"/>
      <c r="D677" s="76" t="str">
        <f>VLOOKUP(B677,'HEAD OF THE FAMILY'!B677:J1934,9,FALSE)</f>
        <v>#N/A</v>
      </c>
      <c r="E677" s="3"/>
      <c r="F677" s="3"/>
      <c r="G677" s="7"/>
      <c r="H677" s="7"/>
      <c r="I677" s="7"/>
      <c r="J677" s="60"/>
      <c r="K677" s="60" t="str">
        <f t="shared" si="2"/>
        <v/>
      </c>
    </row>
    <row r="678">
      <c r="A678" s="61" t="str">
        <f t="shared" si="1"/>
        <v/>
      </c>
      <c r="B678" s="73"/>
      <c r="C678" s="76"/>
      <c r="D678" s="76" t="str">
        <f>VLOOKUP(B678,'HEAD OF THE FAMILY'!B678:J1934,9,FALSE)</f>
        <v>#N/A</v>
      </c>
      <c r="E678" s="3"/>
      <c r="F678" s="3"/>
      <c r="G678" s="7"/>
      <c r="H678" s="7"/>
      <c r="I678" s="7"/>
      <c r="J678" s="60"/>
      <c r="K678" s="60" t="str">
        <f t="shared" si="2"/>
        <v/>
      </c>
    </row>
    <row r="679">
      <c r="A679" s="61" t="str">
        <f t="shared" si="1"/>
        <v/>
      </c>
      <c r="B679" s="73"/>
      <c r="C679" s="76"/>
      <c r="D679" s="76" t="str">
        <f>VLOOKUP(B679,'HEAD OF THE FAMILY'!B679:J1934,9,FALSE)</f>
        <v>#N/A</v>
      </c>
      <c r="E679" s="3"/>
      <c r="F679" s="3"/>
      <c r="G679" s="7"/>
      <c r="H679" s="7"/>
      <c r="I679" s="7"/>
      <c r="J679" s="60"/>
      <c r="K679" s="60" t="str">
        <f t="shared" si="2"/>
        <v/>
      </c>
    </row>
    <row r="680">
      <c r="A680" s="61" t="str">
        <f t="shared" si="1"/>
        <v/>
      </c>
      <c r="B680" s="73"/>
      <c r="C680" s="76"/>
      <c r="D680" s="76" t="str">
        <f>VLOOKUP(B680,'HEAD OF THE FAMILY'!B680:J1934,9,FALSE)</f>
        <v>#N/A</v>
      </c>
      <c r="E680" s="3"/>
      <c r="F680" s="3"/>
      <c r="G680" s="7"/>
      <c r="H680" s="7"/>
      <c r="I680" s="7"/>
      <c r="J680" s="60"/>
      <c r="K680" s="60" t="str">
        <f t="shared" si="2"/>
        <v/>
      </c>
    </row>
    <row r="681">
      <c r="A681" s="61" t="str">
        <f t="shared" si="1"/>
        <v/>
      </c>
      <c r="B681" s="73"/>
      <c r="C681" s="76"/>
      <c r="D681" s="76" t="str">
        <f>VLOOKUP(B681,'HEAD OF THE FAMILY'!B681:J1934,9,FALSE)</f>
        <v>#N/A</v>
      </c>
      <c r="E681" s="3"/>
      <c r="F681" s="3"/>
      <c r="G681" s="7"/>
      <c r="H681" s="7"/>
      <c r="I681" s="7"/>
      <c r="J681" s="60"/>
      <c r="K681" s="60" t="str">
        <f t="shared" si="2"/>
        <v/>
      </c>
    </row>
    <row r="682">
      <c r="A682" s="61" t="str">
        <f t="shared" si="1"/>
        <v/>
      </c>
      <c r="B682" s="73"/>
      <c r="C682" s="76"/>
      <c r="D682" s="76" t="str">
        <f>VLOOKUP(B682,'HEAD OF THE FAMILY'!B682:J1934,9,FALSE)</f>
        <v>#N/A</v>
      </c>
      <c r="E682" s="3"/>
      <c r="F682" s="3"/>
      <c r="G682" s="7"/>
      <c r="H682" s="7"/>
      <c r="I682" s="7"/>
      <c r="J682" s="60"/>
      <c r="K682" s="60" t="str">
        <f t="shared" si="2"/>
        <v/>
      </c>
    </row>
    <row r="683">
      <c r="A683" s="61" t="str">
        <f t="shared" si="1"/>
        <v/>
      </c>
      <c r="B683" s="73"/>
      <c r="C683" s="76"/>
      <c r="D683" s="76" t="str">
        <f>VLOOKUP(B683,'HEAD OF THE FAMILY'!B683:J1934,9,FALSE)</f>
        <v>#N/A</v>
      </c>
      <c r="E683" s="3"/>
      <c r="F683" s="3"/>
      <c r="G683" s="7"/>
      <c r="H683" s="7"/>
      <c r="I683" s="7"/>
      <c r="J683" s="60"/>
      <c r="K683" s="60" t="str">
        <f t="shared" si="2"/>
        <v/>
      </c>
    </row>
    <row r="684">
      <c r="A684" s="61" t="str">
        <f t="shared" si="1"/>
        <v/>
      </c>
      <c r="B684" s="73"/>
      <c r="C684" s="76"/>
      <c r="D684" s="76" t="str">
        <f>VLOOKUP(B684,'HEAD OF THE FAMILY'!B684:J1934,9,FALSE)</f>
        <v>#N/A</v>
      </c>
      <c r="E684" s="3"/>
      <c r="F684" s="3"/>
      <c r="G684" s="7"/>
      <c r="H684" s="7"/>
      <c r="I684" s="7"/>
      <c r="J684" s="60"/>
      <c r="K684" s="60" t="str">
        <f t="shared" si="2"/>
        <v/>
      </c>
    </row>
    <row r="685">
      <c r="A685" s="61" t="str">
        <f t="shared" si="1"/>
        <v/>
      </c>
      <c r="B685" s="73"/>
      <c r="C685" s="76"/>
      <c r="D685" s="76" t="str">
        <f>VLOOKUP(B685,'HEAD OF THE FAMILY'!B685:J1934,9,FALSE)</f>
        <v>#N/A</v>
      </c>
      <c r="E685" s="3"/>
      <c r="F685" s="3"/>
      <c r="G685" s="7"/>
      <c r="H685" s="7"/>
      <c r="I685" s="7"/>
      <c r="J685" s="60"/>
      <c r="K685" s="60" t="str">
        <f t="shared" si="2"/>
        <v/>
      </c>
    </row>
    <row r="686">
      <c r="A686" s="61" t="str">
        <f t="shared" si="1"/>
        <v/>
      </c>
      <c r="B686" s="73"/>
      <c r="C686" s="76"/>
      <c r="D686" s="76" t="str">
        <f>VLOOKUP(B686,'HEAD OF THE FAMILY'!B686:J1934,9,FALSE)</f>
        <v>#N/A</v>
      </c>
      <c r="E686" s="3"/>
      <c r="F686" s="3"/>
      <c r="G686" s="7"/>
      <c r="H686" s="7"/>
      <c r="I686" s="7"/>
      <c r="J686" s="60"/>
      <c r="K686" s="60" t="str">
        <f t="shared" si="2"/>
        <v/>
      </c>
    </row>
    <row r="687">
      <c r="A687" s="61" t="str">
        <f t="shared" si="1"/>
        <v/>
      </c>
      <c r="B687" s="73"/>
      <c r="C687" s="76"/>
      <c r="D687" s="76" t="str">
        <f>VLOOKUP(B687,'HEAD OF THE FAMILY'!B687:J1934,9,FALSE)</f>
        <v>#N/A</v>
      </c>
      <c r="E687" s="3"/>
      <c r="F687" s="3"/>
      <c r="G687" s="7"/>
      <c r="H687" s="7"/>
      <c r="I687" s="7"/>
      <c r="J687" s="60"/>
      <c r="K687" s="60" t="str">
        <f t="shared" si="2"/>
        <v/>
      </c>
    </row>
    <row r="688">
      <c r="A688" s="61" t="str">
        <f t="shared" si="1"/>
        <v/>
      </c>
      <c r="B688" s="73"/>
      <c r="C688" s="76"/>
      <c r="D688" s="76" t="str">
        <f>VLOOKUP(B688,'HEAD OF THE FAMILY'!B688:J1934,9,FALSE)</f>
        <v>#N/A</v>
      </c>
      <c r="E688" s="3"/>
      <c r="F688" s="3"/>
      <c r="G688" s="7"/>
      <c r="H688" s="7"/>
      <c r="I688" s="7"/>
      <c r="J688" s="60"/>
      <c r="K688" s="60" t="str">
        <f t="shared" si="2"/>
        <v/>
      </c>
    </row>
    <row r="689">
      <c r="A689" s="61" t="str">
        <f t="shared" si="1"/>
        <v/>
      </c>
      <c r="B689" s="73"/>
      <c r="C689" s="76"/>
      <c r="D689" s="76" t="str">
        <f>VLOOKUP(B689,'HEAD OF THE FAMILY'!B689:J1934,9,FALSE)</f>
        <v>#N/A</v>
      </c>
      <c r="E689" s="3"/>
      <c r="F689" s="3"/>
      <c r="G689" s="7"/>
      <c r="H689" s="7"/>
      <c r="I689" s="7"/>
      <c r="J689" s="60"/>
      <c r="K689" s="60" t="str">
        <f t="shared" si="2"/>
        <v/>
      </c>
    </row>
    <row r="690">
      <c r="A690" s="61" t="str">
        <f t="shared" si="1"/>
        <v/>
      </c>
      <c r="B690" s="73"/>
      <c r="C690" s="76"/>
      <c r="D690" s="76" t="str">
        <f>VLOOKUP(B690,'HEAD OF THE FAMILY'!B690:J1934,9,FALSE)</f>
        <v>#N/A</v>
      </c>
      <c r="E690" s="3"/>
      <c r="F690" s="3"/>
      <c r="G690" s="7"/>
      <c r="H690" s="7"/>
      <c r="I690" s="7"/>
      <c r="J690" s="60"/>
      <c r="K690" s="60" t="str">
        <f t="shared" si="2"/>
        <v/>
      </c>
    </row>
    <row r="691">
      <c r="A691" s="61" t="str">
        <f t="shared" si="1"/>
        <v/>
      </c>
      <c r="B691" s="73"/>
      <c r="C691" s="76"/>
      <c r="D691" s="76" t="str">
        <f>VLOOKUP(B691,'HEAD OF THE FAMILY'!B691:J1934,9,FALSE)</f>
        <v>#N/A</v>
      </c>
      <c r="E691" s="3"/>
      <c r="F691" s="3"/>
      <c r="G691" s="7"/>
      <c r="H691" s="7"/>
      <c r="I691" s="7"/>
      <c r="J691" s="60"/>
      <c r="K691" s="60" t="str">
        <f t="shared" si="2"/>
        <v/>
      </c>
    </row>
    <row r="692">
      <c r="A692" s="61" t="str">
        <f t="shared" si="1"/>
        <v/>
      </c>
      <c r="B692" s="73"/>
      <c r="C692" s="76"/>
      <c r="D692" s="76" t="str">
        <f>VLOOKUP(B692,'HEAD OF THE FAMILY'!B692:J1934,9,FALSE)</f>
        <v>#N/A</v>
      </c>
      <c r="E692" s="3"/>
      <c r="F692" s="3"/>
      <c r="G692" s="7"/>
      <c r="H692" s="7"/>
      <c r="I692" s="7"/>
      <c r="J692" s="60"/>
      <c r="K692" s="60" t="str">
        <f t="shared" si="2"/>
        <v/>
      </c>
    </row>
    <row r="693">
      <c r="A693" s="61" t="str">
        <f t="shared" si="1"/>
        <v/>
      </c>
      <c r="B693" s="73"/>
      <c r="C693" s="76"/>
      <c r="D693" s="76" t="str">
        <f>VLOOKUP(B693,'HEAD OF THE FAMILY'!B693:J1934,9,FALSE)</f>
        <v>#N/A</v>
      </c>
      <c r="E693" s="3"/>
      <c r="F693" s="3"/>
      <c r="G693" s="7"/>
      <c r="H693" s="7"/>
      <c r="I693" s="7"/>
      <c r="J693" s="60"/>
      <c r="K693" s="60" t="str">
        <f t="shared" si="2"/>
        <v/>
      </c>
    </row>
    <row r="694">
      <c r="A694" s="61" t="str">
        <f t="shared" si="1"/>
        <v/>
      </c>
      <c r="B694" s="73"/>
      <c r="C694" s="76"/>
      <c r="D694" s="76" t="str">
        <f>VLOOKUP(B694,'HEAD OF THE FAMILY'!B694:J1934,9,FALSE)</f>
        <v>#N/A</v>
      </c>
      <c r="E694" s="3"/>
      <c r="F694" s="3"/>
      <c r="G694" s="7"/>
      <c r="H694" s="7"/>
      <c r="I694" s="7"/>
      <c r="J694" s="60"/>
      <c r="K694" s="60" t="str">
        <f t="shared" si="2"/>
        <v/>
      </c>
    </row>
    <row r="695">
      <c r="A695" s="61" t="str">
        <f t="shared" si="1"/>
        <v/>
      </c>
      <c r="B695" s="73"/>
      <c r="C695" s="76"/>
      <c r="D695" s="76" t="str">
        <f>VLOOKUP(B695,'HEAD OF THE FAMILY'!B695:J1934,9,FALSE)</f>
        <v>#N/A</v>
      </c>
      <c r="E695" s="3"/>
      <c r="F695" s="3"/>
      <c r="G695" s="7"/>
      <c r="H695" s="7"/>
      <c r="I695" s="7"/>
      <c r="J695" s="60"/>
      <c r="K695" s="60" t="str">
        <f t="shared" si="2"/>
        <v/>
      </c>
    </row>
    <row r="696">
      <c r="A696" s="61" t="str">
        <f t="shared" si="1"/>
        <v/>
      </c>
      <c r="B696" s="73"/>
      <c r="C696" s="76"/>
      <c r="D696" s="76" t="str">
        <f>VLOOKUP(B696,'HEAD OF THE FAMILY'!B696:J1934,9,FALSE)</f>
        <v>#N/A</v>
      </c>
      <c r="E696" s="3"/>
      <c r="F696" s="3"/>
      <c r="G696" s="7"/>
      <c r="H696" s="7"/>
      <c r="I696" s="7"/>
      <c r="J696" s="60"/>
      <c r="K696" s="60" t="str">
        <f t="shared" si="2"/>
        <v/>
      </c>
    </row>
    <row r="697">
      <c r="A697" s="61" t="str">
        <f t="shared" si="1"/>
        <v/>
      </c>
      <c r="B697" s="73"/>
      <c r="C697" s="76"/>
      <c r="D697" s="76" t="str">
        <f>VLOOKUP(B697,'HEAD OF THE FAMILY'!B697:J1934,9,FALSE)</f>
        <v>#N/A</v>
      </c>
      <c r="E697" s="3"/>
      <c r="F697" s="3"/>
      <c r="G697" s="7"/>
      <c r="H697" s="7"/>
      <c r="I697" s="7"/>
      <c r="J697" s="60"/>
      <c r="K697" s="60" t="str">
        <f t="shared" si="2"/>
        <v/>
      </c>
    </row>
    <row r="698">
      <c r="A698" s="61" t="str">
        <f t="shared" si="1"/>
        <v/>
      </c>
      <c r="B698" s="73"/>
      <c r="C698" s="76"/>
      <c r="D698" s="76" t="str">
        <f>VLOOKUP(B698,'HEAD OF THE FAMILY'!B698:J1934,9,FALSE)</f>
        <v>#N/A</v>
      </c>
      <c r="E698" s="3"/>
      <c r="F698" s="3"/>
      <c r="G698" s="7"/>
      <c r="H698" s="7"/>
      <c r="I698" s="7"/>
      <c r="J698" s="60"/>
      <c r="K698" s="60" t="str">
        <f t="shared" si="2"/>
        <v/>
      </c>
    </row>
    <row r="699">
      <c r="A699" s="61" t="str">
        <f t="shared" si="1"/>
        <v/>
      </c>
      <c r="B699" s="73"/>
      <c r="C699" s="76"/>
      <c r="D699" s="76" t="str">
        <f>VLOOKUP(B699,'HEAD OF THE FAMILY'!B699:J1934,9,FALSE)</f>
        <v>#N/A</v>
      </c>
      <c r="E699" s="3"/>
      <c r="F699" s="3"/>
      <c r="G699" s="7"/>
      <c r="H699" s="7"/>
      <c r="I699" s="7"/>
      <c r="J699" s="60"/>
      <c r="K699" s="60" t="str">
        <f t="shared" si="2"/>
        <v/>
      </c>
    </row>
    <row r="700">
      <c r="A700" s="61" t="str">
        <f t="shared" si="1"/>
        <v/>
      </c>
      <c r="B700" s="73"/>
      <c r="C700" s="76"/>
      <c r="D700" s="76" t="str">
        <f>VLOOKUP(B700,'HEAD OF THE FAMILY'!B700:J1934,9,FALSE)</f>
        <v>#N/A</v>
      </c>
      <c r="E700" s="3"/>
      <c r="F700" s="3"/>
      <c r="G700" s="7"/>
      <c r="H700" s="7"/>
      <c r="I700" s="7"/>
      <c r="J700" s="60"/>
      <c r="K700" s="60" t="str">
        <f t="shared" si="2"/>
        <v/>
      </c>
    </row>
    <row r="701">
      <c r="A701" s="61" t="str">
        <f t="shared" si="1"/>
        <v/>
      </c>
      <c r="B701" s="73"/>
      <c r="C701" s="76"/>
      <c r="D701" s="76" t="str">
        <f>VLOOKUP(B701,'HEAD OF THE FAMILY'!B701:J1934,9,FALSE)</f>
        <v>#N/A</v>
      </c>
      <c r="E701" s="3"/>
      <c r="F701" s="3"/>
      <c r="G701" s="7"/>
      <c r="H701" s="7"/>
      <c r="I701" s="7"/>
      <c r="J701" s="60"/>
      <c r="K701" s="60" t="str">
        <f t="shared" si="2"/>
        <v/>
      </c>
    </row>
    <row r="702">
      <c r="A702" s="61" t="str">
        <f t="shared" si="1"/>
        <v/>
      </c>
      <c r="B702" s="73"/>
      <c r="C702" s="76"/>
      <c r="D702" s="76" t="str">
        <f>VLOOKUP(B702,'HEAD OF THE FAMILY'!B702:J1934,9,FALSE)</f>
        <v>#N/A</v>
      </c>
      <c r="E702" s="3"/>
      <c r="F702" s="3"/>
      <c r="G702" s="7"/>
      <c r="H702" s="7"/>
      <c r="I702" s="7"/>
      <c r="J702" s="60"/>
      <c r="K702" s="60" t="str">
        <f t="shared" si="2"/>
        <v/>
      </c>
    </row>
    <row r="703">
      <c r="A703" s="61" t="str">
        <f t="shared" si="1"/>
        <v/>
      </c>
      <c r="B703" s="73"/>
      <c r="C703" s="76"/>
      <c r="D703" s="76" t="str">
        <f>VLOOKUP(B703,'HEAD OF THE FAMILY'!B703:J1934,9,FALSE)</f>
        <v>#N/A</v>
      </c>
      <c r="E703" s="3"/>
      <c r="F703" s="3"/>
      <c r="G703" s="7"/>
      <c r="H703" s="7"/>
      <c r="I703" s="7"/>
      <c r="J703" s="60"/>
      <c r="K703" s="60" t="str">
        <f t="shared" si="2"/>
        <v/>
      </c>
    </row>
    <row r="704">
      <c r="A704" s="61" t="str">
        <f t="shared" si="1"/>
        <v/>
      </c>
      <c r="B704" s="73"/>
      <c r="C704" s="76"/>
      <c r="D704" s="76" t="str">
        <f>VLOOKUP(B704,'HEAD OF THE FAMILY'!B704:J1934,9,FALSE)</f>
        <v>#N/A</v>
      </c>
      <c r="E704" s="3"/>
      <c r="F704" s="3"/>
      <c r="G704" s="7"/>
      <c r="H704" s="7"/>
      <c r="I704" s="7"/>
      <c r="J704" s="60"/>
      <c r="K704" s="60" t="str">
        <f t="shared" si="2"/>
        <v/>
      </c>
    </row>
    <row r="705">
      <c r="A705" s="61" t="str">
        <f t="shared" si="1"/>
        <v/>
      </c>
      <c r="B705" s="73"/>
      <c r="C705" s="76"/>
      <c r="D705" s="76" t="str">
        <f>VLOOKUP(B705,'HEAD OF THE FAMILY'!B705:J1934,9,FALSE)</f>
        <v>#N/A</v>
      </c>
      <c r="E705" s="3"/>
      <c r="F705" s="3"/>
      <c r="G705" s="7"/>
      <c r="H705" s="7"/>
      <c r="I705" s="7"/>
      <c r="J705" s="60"/>
      <c r="K705" s="60" t="str">
        <f t="shared" si="2"/>
        <v/>
      </c>
    </row>
    <row r="706">
      <c r="A706" s="61" t="str">
        <f t="shared" si="1"/>
        <v/>
      </c>
      <c r="B706" s="73"/>
      <c r="C706" s="76"/>
      <c r="D706" s="76" t="str">
        <f>VLOOKUP(B706,'HEAD OF THE FAMILY'!B706:J1934,9,FALSE)</f>
        <v>#N/A</v>
      </c>
      <c r="E706" s="3"/>
      <c r="F706" s="3"/>
      <c r="G706" s="7"/>
      <c r="H706" s="7"/>
      <c r="I706" s="7"/>
      <c r="J706" s="60"/>
      <c r="K706" s="60" t="str">
        <f t="shared" si="2"/>
        <v/>
      </c>
    </row>
    <row r="707">
      <c r="A707" s="61" t="str">
        <f t="shared" si="1"/>
        <v/>
      </c>
      <c r="B707" s="73"/>
      <c r="C707" s="76"/>
      <c r="D707" s="76" t="str">
        <f>VLOOKUP(B707,'HEAD OF THE FAMILY'!B707:J1934,9,FALSE)</f>
        <v>#N/A</v>
      </c>
      <c r="E707" s="3"/>
      <c r="F707" s="3"/>
      <c r="G707" s="7"/>
      <c r="H707" s="7"/>
      <c r="I707" s="7"/>
      <c r="J707" s="60"/>
      <c r="K707" s="60" t="str">
        <f t="shared" si="2"/>
        <v/>
      </c>
    </row>
    <row r="708">
      <c r="A708" s="61" t="str">
        <f t="shared" si="1"/>
        <v/>
      </c>
      <c r="B708" s="73"/>
      <c r="C708" s="76"/>
      <c r="D708" s="76" t="str">
        <f>VLOOKUP(B708,'HEAD OF THE FAMILY'!B708:J1934,9,FALSE)</f>
        <v>#N/A</v>
      </c>
      <c r="E708" s="3"/>
      <c r="F708" s="3"/>
      <c r="G708" s="7"/>
      <c r="H708" s="7"/>
      <c r="I708" s="7"/>
      <c r="J708" s="60"/>
      <c r="K708" s="60" t="str">
        <f t="shared" si="2"/>
        <v/>
      </c>
    </row>
    <row r="709">
      <c r="A709" s="61" t="str">
        <f t="shared" si="1"/>
        <v/>
      </c>
      <c r="B709" s="73"/>
      <c r="C709" s="76"/>
      <c r="D709" s="76" t="str">
        <f>VLOOKUP(B709,'HEAD OF THE FAMILY'!B709:J1934,9,FALSE)</f>
        <v>#N/A</v>
      </c>
      <c r="E709" s="3"/>
      <c r="F709" s="3"/>
      <c r="G709" s="7"/>
      <c r="H709" s="7"/>
      <c r="I709" s="7"/>
      <c r="J709" s="60"/>
      <c r="K709" s="60" t="str">
        <f t="shared" si="2"/>
        <v/>
      </c>
    </row>
    <row r="710">
      <c r="A710" s="61" t="str">
        <f t="shared" si="1"/>
        <v/>
      </c>
      <c r="B710" s="73"/>
      <c r="C710" s="76"/>
      <c r="D710" s="76" t="str">
        <f>VLOOKUP(B710,'HEAD OF THE FAMILY'!B710:J1934,9,FALSE)</f>
        <v>#N/A</v>
      </c>
      <c r="E710" s="3"/>
      <c r="F710" s="3"/>
      <c r="G710" s="7"/>
      <c r="H710" s="7"/>
      <c r="I710" s="7"/>
      <c r="J710" s="60"/>
      <c r="K710" s="60" t="str">
        <f t="shared" si="2"/>
        <v/>
      </c>
    </row>
    <row r="711">
      <c r="A711" s="61" t="str">
        <f t="shared" si="1"/>
        <v/>
      </c>
      <c r="B711" s="73"/>
      <c r="C711" s="76"/>
      <c r="D711" s="76" t="str">
        <f>VLOOKUP(B711,'HEAD OF THE FAMILY'!B711:J1934,9,FALSE)</f>
        <v>#N/A</v>
      </c>
      <c r="E711" s="3"/>
      <c r="F711" s="3"/>
      <c r="G711" s="7"/>
      <c r="H711" s="7"/>
      <c r="I711" s="7"/>
      <c r="J711" s="60"/>
      <c r="K711" s="60" t="str">
        <f t="shared" si="2"/>
        <v/>
      </c>
    </row>
    <row r="712">
      <c r="A712" s="61" t="str">
        <f t="shared" si="1"/>
        <v/>
      </c>
      <c r="B712" s="73"/>
      <c r="C712" s="76"/>
      <c r="D712" s="76" t="str">
        <f>VLOOKUP(B712,'HEAD OF THE FAMILY'!B712:J1934,9,FALSE)</f>
        <v>#N/A</v>
      </c>
      <c r="E712" s="3"/>
      <c r="F712" s="3"/>
      <c r="G712" s="7"/>
      <c r="H712" s="7"/>
      <c r="I712" s="7"/>
      <c r="J712" s="60"/>
      <c r="K712" s="60" t="str">
        <f t="shared" si="2"/>
        <v/>
      </c>
    </row>
    <row r="713">
      <c r="A713" s="61" t="str">
        <f t="shared" si="1"/>
        <v/>
      </c>
      <c r="B713" s="73"/>
      <c r="C713" s="76"/>
      <c r="D713" s="76" t="str">
        <f>VLOOKUP(B713,'HEAD OF THE FAMILY'!B713:J1934,9,FALSE)</f>
        <v>#N/A</v>
      </c>
      <c r="E713" s="3"/>
      <c r="F713" s="3"/>
      <c r="G713" s="7"/>
      <c r="H713" s="7"/>
      <c r="I713" s="7"/>
      <c r="J713" s="60"/>
      <c r="K713" s="60" t="str">
        <f t="shared" si="2"/>
        <v/>
      </c>
    </row>
    <row r="714">
      <c r="A714" s="61" t="str">
        <f t="shared" si="1"/>
        <v/>
      </c>
      <c r="B714" s="73"/>
      <c r="C714" s="76"/>
      <c r="D714" s="76" t="str">
        <f>VLOOKUP(B714,'HEAD OF THE FAMILY'!B714:J1934,9,FALSE)</f>
        <v>#N/A</v>
      </c>
      <c r="E714" s="3"/>
      <c r="F714" s="3"/>
      <c r="G714" s="7"/>
      <c r="H714" s="7"/>
      <c r="I714" s="7"/>
      <c r="J714" s="60"/>
      <c r="K714" s="60" t="str">
        <f t="shared" si="2"/>
        <v/>
      </c>
    </row>
    <row r="715">
      <c r="A715" s="61" t="str">
        <f t="shared" si="1"/>
        <v/>
      </c>
      <c r="B715" s="73"/>
      <c r="C715" s="76"/>
      <c r="D715" s="76" t="str">
        <f>VLOOKUP(B715,'HEAD OF THE FAMILY'!B715:J1934,9,FALSE)</f>
        <v>#N/A</v>
      </c>
      <c r="E715" s="3"/>
      <c r="F715" s="3"/>
      <c r="G715" s="7"/>
      <c r="H715" s="7"/>
      <c r="I715" s="7"/>
      <c r="J715" s="60"/>
      <c r="K715" s="60" t="str">
        <f t="shared" si="2"/>
        <v/>
      </c>
    </row>
    <row r="716">
      <c r="A716" s="61" t="str">
        <f t="shared" si="1"/>
        <v/>
      </c>
      <c r="B716" s="73"/>
      <c r="C716" s="76"/>
      <c r="D716" s="76" t="str">
        <f>VLOOKUP(B716,'HEAD OF THE FAMILY'!B716:J1934,9,FALSE)</f>
        <v>#N/A</v>
      </c>
      <c r="E716" s="3"/>
      <c r="F716" s="3"/>
      <c r="G716" s="7"/>
      <c r="H716" s="7"/>
      <c r="I716" s="7"/>
      <c r="J716" s="60"/>
      <c r="K716" s="60" t="str">
        <f t="shared" si="2"/>
        <v/>
      </c>
    </row>
    <row r="717">
      <c r="A717" s="61" t="str">
        <f t="shared" si="1"/>
        <v/>
      </c>
      <c r="B717" s="73"/>
      <c r="C717" s="76"/>
      <c r="D717" s="76" t="str">
        <f>VLOOKUP(B717,'HEAD OF THE FAMILY'!B717:J1934,9,FALSE)</f>
        <v>#N/A</v>
      </c>
      <c r="E717" s="3"/>
      <c r="F717" s="3"/>
      <c r="G717" s="7"/>
      <c r="H717" s="7"/>
      <c r="I717" s="7"/>
      <c r="J717" s="60"/>
      <c r="K717" s="60" t="str">
        <f t="shared" si="2"/>
        <v/>
      </c>
    </row>
    <row r="718">
      <c r="A718" s="61" t="str">
        <f t="shared" si="1"/>
        <v/>
      </c>
      <c r="B718" s="73"/>
      <c r="C718" s="76"/>
      <c r="D718" s="76" t="str">
        <f>VLOOKUP(B718,'HEAD OF THE FAMILY'!B718:J1934,9,FALSE)</f>
        <v>#N/A</v>
      </c>
      <c r="E718" s="3"/>
      <c r="F718" s="3"/>
      <c r="G718" s="7"/>
      <c r="H718" s="7"/>
      <c r="I718" s="7"/>
      <c r="J718" s="60"/>
      <c r="K718" s="60" t="str">
        <f t="shared" si="2"/>
        <v/>
      </c>
    </row>
    <row r="719">
      <c r="A719" s="61" t="str">
        <f t="shared" si="1"/>
        <v/>
      </c>
      <c r="B719" s="73"/>
      <c r="C719" s="76"/>
      <c r="D719" s="76" t="str">
        <f>VLOOKUP(B719,'HEAD OF THE FAMILY'!B719:J1934,9,FALSE)</f>
        <v>#N/A</v>
      </c>
      <c r="E719" s="3"/>
      <c r="F719" s="3"/>
      <c r="G719" s="7"/>
      <c r="H719" s="7"/>
      <c r="I719" s="7"/>
      <c r="J719" s="60"/>
      <c r="K719" s="60" t="str">
        <f t="shared" si="2"/>
        <v/>
      </c>
    </row>
    <row r="720">
      <c r="A720" s="61" t="str">
        <f t="shared" si="1"/>
        <v/>
      </c>
      <c r="B720" s="73"/>
      <c r="C720" s="76"/>
      <c r="D720" s="76" t="str">
        <f>VLOOKUP(B720,'HEAD OF THE FAMILY'!B720:J1934,9,FALSE)</f>
        <v>#N/A</v>
      </c>
      <c r="E720" s="3"/>
      <c r="F720" s="3"/>
      <c r="G720" s="7"/>
      <c r="H720" s="7"/>
      <c r="I720" s="7"/>
      <c r="J720" s="60"/>
      <c r="K720" s="60" t="str">
        <f t="shared" si="2"/>
        <v/>
      </c>
    </row>
    <row r="721">
      <c r="A721" s="61" t="str">
        <f t="shared" si="1"/>
        <v/>
      </c>
      <c r="B721" s="73"/>
      <c r="C721" s="76"/>
      <c r="D721" s="76" t="str">
        <f>VLOOKUP(B721,'HEAD OF THE FAMILY'!B721:J1934,9,FALSE)</f>
        <v>#N/A</v>
      </c>
      <c r="E721" s="3"/>
      <c r="F721" s="3"/>
      <c r="G721" s="7"/>
      <c r="H721" s="7"/>
      <c r="I721" s="7"/>
      <c r="J721" s="60"/>
      <c r="K721" s="60" t="str">
        <f t="shared" si="2"/>
        <v/>
      </c>
    </row>
    <row r="722">
      <c r="A722" s="61" t="str">
        <f t="shared" si="1"/>
        <v/>
      </c>
      <c r="B722" s="73"/>
      <c r="C722" s="76"/>
      <c r="D722" s="76" t="str">
        <f>VLOOKUP(B722,'HEAD OF THE FAMILY'!B722:J1934,9,FALSE)</f>
        <v>#N/A</v>
      </c>
      <c r="E722" s="3"/>
      <c r="F722" s="3"/>
      <c r="G722" s="7"/>
      <c r="H722" s="7"/>
      <c r="I722" s="7"/>
      <c r="J722" s="60"/>
      <c r="K722" s="60" t="str">
        <f t="shared" si="2"/>
        <v/>
      </c>
    </row>
    <row r="723">
      <c r="A723" s="61" t="str">
        <f t="shared" si="1"/>
        <v/>
      </c>
      <c r="B723" s="73"/>
      <c r="C723" s="76"/>
      <c r="D723" s="76" t="str">
        <f>VLOOKUP(B723,'HEAD OF THE FAMILY'!B723:J1934,9,FALSE)</f>
        <v>#N/A</v>
      </c>
      <c r="E723" s="3"/>
      <c r="F723" s="3"/>
      <c r="G723" s="7"/>
      <c r="H723" s="7"/>
      <c r="I723" s="7"/>
      <c r="J723" s="60"/>
      <c r="K723" s="60" t="str">
        <f t="shared" si="2"/>
        <v/>
      </c>
    </row>
    <row r="724">
      <c r="A724" s="61" t="str">
        <f t="shared" si="1"/>
        <v/>
      </c>
      <c r="B724" s="73"/>
      <c r="C724" s="76"/>
      <c r="D724" s="76" t="str">
        <f>VLOOKUP(B724,'HEAD OF THE FAMILY'!B724:J1934,9,FALSE)</f>
        <v>#N/A</v>
      </c>
      <c r="E724" s="3"/>
      <c r="F724" s="3"/>
      <c r="G724" s="7"/>
      <c r="H724" s="7"/>
      <c r="I724" s="7"/>
      <c r="J724" s="60"/>
      <c r="K724" s="60" t="str">
        <f t="shared" si="2"/>
        <v/>
      </c>
    </row>
    <row r="725">
      <c r="A725" s="61" t="str">
        <f t="shared" si="1"/>
        <v/>
      </c>
      <c r="B725" s="73"/>
      <c r="C725" s="76"/>
      <c r="D725" s="76" t="str">
        <f>VLOOKUP(B725,'HEAD OF THE FAMILY'!B725:J1934,9,FALSE)</f>
        <v>#N/A</v>
      </c>
      <c r="E725" s="3"/>
      <c r="F725" s="3"/>
      <c r="G725" s="7"/>
      <c r="H725" s="7"/>
      <c r="I725" s="7"/>
      <c r="J725" s="60"/>
      <c r="K725" s="60" t="str">
        <f t="shared" si="2"/>
        <v/>
      </c>
    </row>
    <row r="726">
      <c r="A726" s="61" t="str">
        <f t="shared" si="1"/>
        <v/>
      </c>
      <c r="B726" s="73"/>
      <c r="C726" s="76"/>
      <c r="D726" s="76" t="str">
        <f>VLOOKUP(B726,'HEAD OF THE FAMILY'!B726:J1934,9,FALSE)</f>
        <v>#N/A</v>
      </c>
      <c r="E726" s="3"/>
      <c r="F726" s="3"/>
      <c r="G726" s="7"/>
      <c r="H726" s="7"/>
      <c r="I726" s="7"/>
      <c r="J726" s="60"/>
      <c r="K726" s="60" t="str">
        <f t="shared" si="2"/>
        <v/>
      </c>
    </row>
    <row r="727">
      <c r="A727" s="61" t="str">
        <f t="shared" si="1"/>
        <v/>
      </c>
      <c r="B727" s="73"/>
      <c r="C727" s="76"/>
      <c r="D727" s="76" t="str">
        <f>VLOOKUP(B727,'HEAD OF THE FAMILY'!B727:J1934,9,FALSE)</f>
        <v>#N/A</v>
      </c>
      <c r="E727" s="3"/>
      <c r="F727" s="3"/>
      <c r="G727" s="7"/>
      <c r="H727" s="7"/>
      <c r="I727" s="7"/>
      <c r="J727" s="60"/>
      <c r="K727" s="60" t="str">
        <f t="shared" si="2"/>
        <v/>
      </c>
    </row>
    <row r="728">
      <c r="A728" s="61" t="str">
        <f t="shared" si="1"/>
        <v/>
      </c>
      <c r="B728" s="73"/>
      <c r="C728" s="76"/>
      <c r="D728" s="76" t="str">
        <f>VLOOKUP(B728,'HEAD OF THE FAMILY'!B728:J1934,9,FALSE)</f>
        <v>#N/A</v>
      </c>
      <c r="E728" s="3"/>
      <c r="F728" s="3"/>
      <c r="G728" s="7"/>
      <c r="H728" s="7"/>
      <c r="I728" s="7"/>
      <c r="J728" s="60"/>
      <c r="K728" s="60" t="str">
        <f t="shared" si="2"/>
        <v/>
      </c>
    </row>
    <row r="729">
      <c r="A729" s="61" t="str">
        <f t="shared" si="1"/>
        <v/>
      </c>
      <c r="B729" s="73"/>
      <c r="C729" s="76"/>
      <c r="D729" s="76" t="str">
        <f>VLOOKUP(B729,'HEAD OF THE FAMILY'!B729:J1934,9,FALSE)</f>
        <v>#N/A</v>
      </c>
      <c r="E729" s="3"/>
      <c r="F729" s="3"/>
      <c r="G729" s="7"/>
      <c r="H729" s="7"/>
      <c r="I729" s="7"/>
      <c r="J729" s="60"/>
      <c r="K729" s="60" t="str">
        <f t="shared" si="2"/>
        <v/>
      </c>
    </row>
    <row r="730">
      <c r="A730" s="61" t="str">
        <f t="shared" si="1"/>
        <v/>
      </c>
      <c r="B730" s="73"/>
      <c r="C730" s="76"/>
      <c r="D730" s="76" t="str">
        <f>VLOOKUP(B730,'HEAD OF THE FAMILY'!B730:J1934,9,FALSE)</f>
        <v>#N/A</v>
      </c>
      <c r="E730" s="3"/>
      <c r="F730" s="3"/>
      <c r="G730" s="7"/>
      <c r="H730" s="7"/>
      <c r="I730" s="7"/>
      <c r="J730" s="60"/>
      <c r="K730" s="60" t="str">
        <f t="shared" si="2"/>
        <v/>
      </c>
    </row>
    <row r="731">
      <c r="A731" s="61" t="str">
        <f t="shared" si="1"/>
        <v/>
      </c>
      <c r="B731" s="73"/>
      <c r="C731" s="76"/>
      <c r="D731" s="76" t="str">
        <f>VLOOKUP(B731,'HEAD OF THE FAMILY'!B731:J1934,9,FALSE)</f>
        <v>#N/A</v>
      </c>
      <c r="E731" s="3"/>
      <c r="F731" s="3"/>
      <c r="G731" s="7"/>
      <c r="H731" s="7"/>
      <c r="I731" s="7"/>
      <c r="J731" s="60"/>
      <c r="K731" s="60" t="str">
        <f t="shared" si="2"/>
        <v/>
      </c>
    </row>
    <row r="732">
      <c r="A732" s="61" t="str">
        <f t="shared" si="1"/>
        <v/>
      </c>
      <c r="B732" s="73"/>
      <c r="C732" s="76"/>
      <c r="D732" s="76" t="str">
        <f>VLOOKUP(B732,'HEAD OF THE FAMILY'!B732:J1934,9,FALSE)</f>
        <v>#N/A</v>
      </c>
      <c r="E732" s="3"/>
      <c r="F732" s="3"/>
      <c r="G732" s="7"/>
      <c r="H732" s="7"/>
      <c r="I732" s="7"/>
      <c r="J732" s="60"/>
      <c r="K732" s="60" t="str">
        <f t="shared" si="2"/>
        <v/>
      </c>
    </row>
    <row r="733">
      <c r="A733" s="61" t="str">
        <f t="shared" si="1"/>
        <v/>
      </c>
      <c r="B733" s="73"/>
      <c r="C733" s="76"/>
      <c r="D733" s="76" t="str">
        <f>VLOOKUP(B733,'HEAD OF THE FAMILY'!B733:J1934,9,FALSE)</f>
        <v>#N/A</v>
      </c>
      <c r="E733" s="3"/>
      <c r="F733" s="3"/>
      <c r="G733" s="7"/>
      <c r="H733" s="7"/>
      <c r="I733" s="7"/>
      <c r="J733" s="60"/>
      <c r="K733" s="60" t="str">
        <f t="shared" si="2"/>
        <v/>
      </c>
    </row>
    <row r="734">
      <c r="A734" s="61" t="str">
        <f t="shared" si="1"/>
        <v/>
      </c>
      <c r="B734" s="73"/>
      <c r="C734" s="76"/>
      <c r="D734" s="76" t="str">
        <f>VLOOKUP(B734,'HEAD OF THE FAMILY'!B734:J1934,9,FALSE)</f>
        <v>#N/A</v>
      </c>
      <c r="E734" s="3"/>
      <c r="F734" s="3"/>
      <c r="G734" s="7"/>
      <c r="H734" s="7"/>
      <c r="I734" s="7"/>
      <c r="J734" s="60"/>
      <c r="K734" s="60" t="str">
        <f t="shared" si="2"/>
        <v/>
      </c>
    </row>
    <row r="735">
      <c r="A735" s="61" t="str">
        <f t="shared" si="1"/>
        <v/>
      </c>
      <c r="B735" s="73"/>
      <c r="C735" s="76"/>
      <c r="D735" s="76" t="str">
        <f>VLOOKUP(B735,'HEAD OF THE FAMILY'!B735:J1934,9,FALSE)</f>
        <v>#N/A</v>
      </c>
      <c r="E735" s="3"/>
      <c r="F735" s="3"/>
      <c r="G735" s="7"/>
      <c r="H735" s="7"/>
      <c r="I735" s="7"/>
      <c r="J735" s="60"/>
      <c r="K735" s="60" t="str">
        <f t="shared" si="2"/>
        <v/>
      </c>
    </row>
    <row r="736">
      <c r="A736" s="61" t="str">
        <f t="shared" si="1"/>
        <v/>
      </c>
      <c r="B736" s="73"/>
      <c r="C736" s="76"/>
      <c r="D736" s="76" t="str">
        <f>VLOOKUP(B736,'HEAD OF THE FAMILY'!B736:J1934,9,FALSE)</f>
        <v>#N/A</v>
      </c>
      <c r="E736" s="3"/>
      <c r="F736" s="3"/>
      <c r="G736" s="7"/>
      <c r="H736" s="7"/>
      <c r="I736" s="7"/>
      <c r="J736" s="60"/>
      <c r="K736" s="60" t="str">
        <f t="shared" si="2"/>
        <v/>
      </c>
    </row>
    <row r="737">
      <c r="A737" s="61" t="str">
        <f t="shared" si="1"/>
        <v/>
      </c>
      <c r="B737" s="73"/>
      <c r="C737" s="76"/>
      <c r="D737" s="76" t="str">
        <f>VLOOKUP(B737,'HEAD OF THE FAMILY'!B737:J1934,9,FALSE)</f>
        <v>#N/A</v>
      </c>
      <c r="E737" s="3"/>
      <c r="F737" s="3"/>
      <c r="G737" s="7"/>
      <c r="H737" s="7"/>
      <c r="I737" s="7"/>
      <c r="J737" s="60"/>
      <c r="K737" s="60" t="str">
        <f t="shared" si="2"/>
        <v/>
      </c>
    </row>
    <row r="738">
      <c r="A738" s="61" t="str">
        <f t="shared" si="1"/>
        <v/>
      </c>
      <c r="B738" s="73"/>
      <c r="C738" s="76"/>
      <c r="D738" s="76" t="str">
        <f>VLOOKUP(B738,'HEAD OF THE FAMILY'!B738:J1934,9,FALSE)</f>
        <v>#N/A</v>
      </c>
      <c r="E738" s="3"/>
      <c r="F738" s="3"/>
      <c r="G738" s="7"/>
      <c r="H738" s="7"/>
      <c r="I738" s="7"/>
      <c r="J738" s="60"/>
      <c r="K738" s="60" t="str">
        <f t="shared" si="2"/>
        <v/>
      </c>
    </row>
    <row r="739">
      <c r="A739" s="61" t="str">
        <f t="shared" si="1"/>
        <v/>
      </c>
      <c r="B739" s="73"/>
      <c r="C739" s="76"/>
      <c r="D739" s="76" t="str">
        <f>VLOOKUP(B739,'HEAD OF THE FAMILY'!B739:J1934,9,FALSE)</f>
        <v>#N/A</v>
      </c>
      <c r="E739" s="3"/>
      <c r="F739" s="3"/>
      <c r="G739" s="7"/>
      <c r="H739" s="7"/>
      <c r="I739" s="7"/>
      <c r="J739" s="60"/>
      <c r="K739" s="60" t="str">
        <f t="shared" si="2"/>
        <v/>
      </c>
    </row>
    <row r="740">
      <c r="A740" s="61" t="str">
        <f t="shared" si="1"/>
        <v/>
      </c>
      <c r="B740" s="73"/>
      <c r="C740" s="76"/>
      <c r="D740" s="76" t="str">
        <f>VLOOKUP(B740,'HEAD OF THE FAMILY'!B740:J1934,9,FALSE)</f>
        <v>#N/A</v>
      </c>
      <c r="E740" s="3"/>
      <c r="F740" s="3"/>
      <c r="G740" s="7"/>
      <c r="H740" s="7"/>
      <c r="I740" s="7"/>
      <c r="J740" s="60"/>
      <c r="K740" s="60" t="str">
        <f t="shared" si="2"/>
        <v/>
      </c>
    </row>
    <row r="741">
      <c r="A741" s="61" t="str">
        <f t="shared" si="1"/>
        <v/>
      </c>
      <c r="B741" s="73"/>
      <c r="C741" s="76"/>
      <c r="D741" s="76" t="str">
        <f>VLOOKUP(B741,'HEAD OF THE FAMILY'!B741:J1934,9,FALSE)</f>
        <v>#N/A</v>
      </c>
      <c r="E741" s="3"/>
      <c r="F741" s="3"/>
      <c r="G741" s="7"/>
      <c r="H741" s="7"/>
      <c r="I741" s="7"/>
      <c r="J741" s="60"/>
      <c r="K741" s="60" t="str">
        <f t="shared" si="2"/>
        <v/>
      </c>
    </row>
    <row r="742">
      <c r="A742" s="61" t="str">
        <f t="shared" si="1"/>
        <v/>
      </c>
      <c r="B742" s="73"/>
      <c r="C742" s="76"/>
      <c r="D742" s="76" t="str">
        <f>VLOOKUP(B742,'HEAD OF THE FAMILY'!B742:J1934,9,FALSE)</f>
        <v>#N/A</v>
      </c>
      <c r="E742" s="3"/>
      <c r="F742" s="3"/>
      <c r="G742" s="7"/>
      <c r="H742" s="7"/>
      <c r="I742" s="7"/>
      <c r="J742" s="60"/>
      <c r="K742" s="60" t="str">
        <f t="shared" si="2"/>
        <v/>
      </c>
    </row>
    <row r="743">
      <c r="A743" s="61" t="str">
        <f t="shared" si="1"/>
        <v/>
      </c>
      <c r="B743" s="73"/>
      <c r="C743" s="76"/>
      <c r="D743" s="76" t="str">
        <f>VLOOKUP(B743,'HEAD OF THE FAMILY'!B743:J1934,9,FALSE)</f>
        <v>#N/A</v>
      </c>
      <c r="E743" s="3"/>
      <c r="F743" s="3"/>
      <c r="G743" s="7"/>
      <c r="H743" s="7"/>
      <c r="I743" s="7"/>
      <c r="J743" s="60"/>
      <c r="K743" s="60" t="str">
        <f t="shared" si="2"/>
        <v/>
      </c>
    </row>
    <row r="744">
      <c r="A744" s="61" t="str">
        <f t="shared" si="1"/>
        <v/>
      </c>
      <c r="B744" s="73"/>
      <c r="C744" s="76"/>
      <c r="D744" s="76" t="str">
        <f>VLOOKUP(B744,'HEAD OF THE FAMILY'!B744:J1934,9,FALSE)</f>
        <v>#N/A</v>
      </c>
      <c r="E744" s="3"/>
      <c r="F744" s="3"/>
      <c r="G744" s="7"/>
      <c r="H744" s="7"/>
      <c r="I744" s="7"/>
      <c r="J744" s="60"/>
      <c r="K744" s="60" t="str">
        <f t="shared" si="2"/>
        <v/>
      </c>
    </row>
    <row r="745">
      <c r="A745" s="61" t="str">
        <f t="shared" si="1"/>
        <v/>
      </c>
      <c r="B745" s="73"/>
      <c r="C745" s="76"/>
      <c r="D745" s="76" t="str">
        <f>VLOOKUP(B745,'HEAD OF THE FAMILY'!B745:J1934,9,FALSE)</f>
        <v>#N/A</v>
      </c>
      <c r="E745" s="3"/>
      <c r="F745" s="3"/>
      <c r="G745" s="7"/>
      <c r="H745" s="7"/>
      <c r="I745" s="7"/>
      <c r="J745" s="60"/>
      <c r="K745" s="60" t="str">
        <f t="shared" si="2"/>
        <v/>
      </c>
    </row>
    <row r="746">
      <c r="A746" s="61" t="str">
        <f t="shared" si="1"/>
        <v/>
      </c>
      <c r="B746" s="73"/>
      <c r="C746" s="76"/>
      <c r="D746" s="76" t="str">
        <f>VLOOKUP(B746,'HEAD OF THE FAMILY'!B746:J1934,9,FALSE)</f>
        <v>#N/A</v>
      </c>
      <c r="E746" s="3"/>
      <c r="F746" s="3"/>
      <c r="G746" s="7"/>
      <c r="H746" s="7"/>
      <c r="I746" s="7"/>
      <c r="J746" s="60"/>
      <c r="K746" s="60" t="str">
        <f t="shared" si="2"/>
        <v/>
      </c>
    </row>
    <row r="747">
      <c r="A747" s="61" t="str">
        <f t="shared" si="1"/>
        <v/>
      </c>
      <c r="B747" s="73"/>
      <c r="C747" s="76"/>
      <c r="D747" s="76" t="str">
        <f>VLOOKUP(B747,'HEAD OF THE FAMILY'!B747:J1934,9,FALSE)</f>
        <v>#N/A</v>
      </c>
      <c r="E747" s="3"/>
      <c r="F747" s="3"/>
      <c r="G747" s="7"/>
      <c r="H747" s="7"/>
      <c r="I747" s="7"/>
      <c r="J747" s="60"/>
      <c r="K747" s="60" t="str">
        <f t="shared" si="2"/>
        <v/>
      </c>
    </row>
    <row r="748">
      <c r="A748" s="61" t="str">
        <f t="shared" si="1"/>
        <v/>
      </c>
      <c r="B748" s="73"/>
      <c r="C748" s="76"/>
      <c r="D748" s="76" t="str">
        <f>VLOOKUP(B748,'HEAD OF THE FAMILY'!B748:J1934,9,FALSE)</f>
        <v>#N/A</v>
      </c>
      <c r="E748" s="3"/>
      <c r="F748" s="3"/>
      <c r="G748" s="7"/>
      <c r="H748" s="7"/>
      <c r="I748" s="7"/>
      <c r="J748" s="60"/>
      <c r="K748" s="60" t="str">
        <f t="shared" si="2"/>
        <v/>
      </c>
    </row>
    <row r="749">
      <c r="A749" s="61" t="str">
        <f t="shared" si="1"/>
        <v/>
      </c>
      <c r="B749" s="73"/>
      <c r="C749" s="76"/>
      <c r="D749" s="76" t="str">
        <f>VLOOKUP(B749,'HEAD OF THE FAMILY'!B749:J1934,9,FALSE)</f>
        <v>#N/A</v>
      </c>
      <c r="E749" s="3"/>
      <c r="F749" s="3"/>
      <c r="G749" s="7"/>
      <c r="H749" s="7"/>
      <c r="I749" s="7"/>
      <c r="J749" s="60"/>
      <c r="K749" s="60" t="str">
        <f t="shared" si="2"/>
        <v/>
      </c>
    </row>
    <row r="750">
      <c r="A750" s="61" t="str">
        <f t="shared" si="1"/>
        <v/>
      </c>
      <c r="B750" s="73"/>
      <c r="C750" s="76"/>
      <c r="D750" s="76" t="str">
        <f>VLOOKUP(B750,'HEAD OF THE FAMILY'!B750:J1934,9,FALSE)</f>
        <v>#N/A</v>
      </c>
      <c r="E750" s="3"/>
      <c r="F750" s="3"/>
      <c r="G750" s="7"/>
      <c r="H750" s="7"/>
      <c r="I750" s="7"/>
      <c r="J750" s="60"/>
      <c r="K750" s="60" t="str">
        <f t="shared" si="2"/>
        <v/>
      </c>
    </row>
    <row r="751">
      <c r="A751" s="61" t="str">
        <f t="shared" si="1"/>
        <v/>
      </c>
      <c r="B751" s="73"/>
      <c r="C751" s="76"/>
      <c r="D751" s="76" t="str">
        <f>VLOOKUP(B751,'HEAD OF THE FAMILY'!B751:J1934,9,FALSE)</f>
        <v>#N/A</v>
      </c>
      <c r="E751" s="3"/>
      <c r="F751" s="3"/>
      <c r="G751" s="7"/>
      <c r="H751" s="7"/>
      <c r="I751" s="7"/>
      <c r="J751" s="60"/>
      <c r="K751" s="60" t="str">
        <f t="shared" si="2"/>
        <v/>
      </c>
    </row>
    <row r="752">
      <c r="A752" s="61" t="str">
        <f t="shared" si="1"/>
        <v/>
      </c>
      <c r="B752" s="73"/>
      <c r="C752" s="76"/>
      <c r="D752" s="76" t="str">
        <f>VLOOKUP(B752,'HEAD OF THE FAMILY'!B752:J1934,9,FALSE)</f>
        <v>#N/A</v>
      </c>
      <c r="E752" s="3"/>
      <c r="F752" s="3"/>
      <c r="G752" s="7"/>
      <c r="H752" s="7"/>
      <c r="I752" s="7"/>
      <c r="J752" s="60"/>
      <c r="K752" s="60" t="str">
        <f t="shared" si="2"/>
        <v/>
      </c>
    </row>
    <row r="753">
      <c r="A753" s="61" t="str">
        <f t="shared" si="1"/>
        <v/>
      </c>
      <c r="B753" s="73"/>
      <c r="C753" s="76"/>
      <c r="D753" s="76" t="str">
        <f>VLOOKUP(B753,'HEAD OF THE FAMILY'!B753:J1934,9,FALSE)</f>
        <v>#N/A</v>
      </c>
      <c r="E753" s="3"/>
      <c r="F753" s="3"/>
      <c r="G753" s="7"/>
      <c r="H753" s="7"/>
      <c r="I753" s="7"/>
      <c r="J753" s="60"/>
      <c r="K753" s="60" t="str">
        <f t="shared" si="2"/>
        <v/>
      </c>
    </row>
    <row r="754">
      <c r="A754" s="61" t="str">
        <f t="shared" si="1"/>
        <v/>
      </c>
      <c r="B754" s="73"/>
      <c r="C754" s="76"/>
      <c r="D754" s="76" t="str">
        <f>VLOOKUP(B754,'HEAD OF THE FAMILY'!B754:J1934,9,FALSE)</f>
        <v>#N/A</v>
      </c>
      <c r="E754" s="3"/>
      <c r="F754" s="3"/>
      <c r="G754" s="7"/>
      <c r="H754" s="7"/>
      <c r="I754" s="7"/>
      <c r="J754" s="60"/>
      <c r="K754" s="60" t="str">
        <f t="shared" si="2"/>
        <v/>
      </c>
    </row>
    <row r="755">
      <c r="A755" s="61" t="str">
        <f t="shared" si="1"/>
        <v/>
      </c>
      <c r="B755" s="73"/>
      <c r="C755" s="76"/>
      <c r="D755" s="76" t="str">
        <f>VLOOKUP(B755,'HEAD OF THE FAMILY'!B755:J1934,9,FALSE)</f>
        <v>#N/A</v>
      </c>
      <c r="E755" s="3"/>
      <c r="F755" s="3"/>
      <c r="G755" s="7"/>
      <c r="H755" s="7"/>
      <c r="I755" s="7"/>
      <c r="J755" s="60"/>
      <c r="K755" s="60" t="str">
        <f t="shared" si="2"/>
        <v/>
      </c>
    </row>
    <row r="756">
      <c r="A756" s="61" t="str">
        <f t="shared" si="1"/>
        <v/>
      </c>
      <c r="B756" s="73"/>
      <c r="C756" s="76"/>
      <c r="D756" s="76" t="str">
        <f>VLOOKUP(B756,'HEAD OF THE FAMILY'!B756:J1934,9,FALSE)</f>
        <v>#N/A</v>
      </c>
      <c r="E756" s="3"/>
      <c r="F756" s="3"/>
      <c r="G756" s="7"/>
      <c r="H756" s="7"/>
      <c r="I756" s="7"/>
      <c r="J756" s="60"/>
      <c r="K756" s="60" t="str">
        <f t="shared" si="2"/>
        <v/>
      </c>
    </row>
    <row r="757">
      <c r="A757" s="61" t="str">
        <f t="shared" si="1"/>
        <v/>
      </c>
      <c r="B757" s="73"/>
      <c r="C757" s="76"/>
      <c r="D757" s="76" t="str">
        <f>VLOOKUP(B757,'HEAD OF THE FAMILY'!B757:J1934,9,FALSE)</f>
        <v>#N/A</v>
      </c>
      <c r="E757" s="3"/>
      <c r="F757" s="3"/>
      <c r="G757" s="7"/>
      <c r="H757" s="7"/>
      <c r="I757" s="7"/>
      <c r="J757" s="60"/>
      <c r="K757" s="60" t="str">
        <f t="shared" si="2"/>
        <v/>
      </c>
    </row>
    <row r="758">
      <c r="A758" s="61" t="str">
        <f t="shared" si="1"/>
        <v/>
      </c>
      <c r="B758" s="73"/>
      <c r="C758" s="76"/>
      <c r="D758" s="76" t="str">
        <f>VLOOKUP(B758,'HEAD OF THE FAMILY'!B758:J1934,9,FALSE)</f>
        <v>#N/A</v>
      </c>
      <c r="E758" s="3"/>
      <c r="F758" s="3"/>
      <c r="G758" s="7"/>
      <c r="H758" s="7"/>
      <c r="I758" s="7"/>
      <c r="J758" s="60"/>
      <c r="K758" s="60" t="str">
        <f t="shared" si="2"/>
        <v/>
      </c>
    </row>
    <row r="759">
      <c r="A759" s="61" t="str">
        <f t="shared" si="1"/>
        <v/>
      </c>
      <c r="B759" s="73"/>
      <c r="C759" s="76"/>
      <c r="D759" s="76" t="str">
        <f>VLOOKUP(B759,'HEAD OF THE FAMILY'!B759:J1934,9,FALSE)</f>
        <v>#N/A</v>
      </c>
      <c r="E759" s="3"/>
      <c r="F759" s="3"/>
      <c r="G759" s="7"/>
      <c r="H759" s="7"/>
      <c r="I759" s="7"/>
      <c r="J759" s="60"/>
      <c r="K759" s="60" t="str">
        <f t="shared" si="2"/>
        <v/>
      </c>
    </row>
    <row r="760">
      <c r="A760" s="61" t="str">
        <f t="shared" si="1"/>
        <v/>
      </c>
      <c r="B760" s="73"/>
      <c r="C760" s="76"/>
      <c r="D760" s="76" t="str">
        <f>VLOOKUP(B760,'HEAD OF THE FAMILY'!B760:J1934,9,FALSE)</f>
        <v>#N/A</v>
      </c>
      <c r="E760" s="3"/>
      <c r="F760" s="3"/>
      <c r="G760" s="7"/>
      <c r="H760" s="7"/>
      <c r="I760" s="7"/>
      <c r="J760" s="60"/>
      <c r="K760" s="60" t="str">
        <f t="shared" si="2"/>
        <v/>
      </c>
    </row>
    <row r="761">
      <c r="A761" s="61" t="str">
        <f t="shared" si="1"/>
        <v/>
      </c>
      <c r="B761" s="73"/>
      <c r="C761" s="76"/>
      <c r="D761" s="76" t="str">
        <f>VLOOKUP(B761,'HEAD OF THE FAMILY'!B761:J1934,9,FALSE)</f>
        <v>#N/A</v>
      </c>
      <c r="E761" s="3"/>
      <c r="F761" s="3"/>
      <c r="G761" s="7"/>
      <c r="H761" s="7"/>
      <c r="I761" s="7"/>
      <c r="J761" s="60"/>
      <c r="K761" s="60" t="str">
        <f t="shared" si="2"/>
        <v/>
      </c>
    </row>
    <row r="762">
      <c r="A762" s="61" t="str">
        <f t="shared" si="1"/>
        <v/>
      </c>
      <c r="B762" s="73"/>
      <c r="C762" s="76"/>
      <c r="D762" s="76" t="str">
        <f>VLOOKUP(B762,'HEAD OF THE FAMILY'!B762:J1934,9,FALSE)</f>
        <v>#N/A</v>
      </c>
      <c r="E762" s="3"/>
      <c r="F762" s="3"/>
      <c r="G762" s="7"/>
      <c r="H762" s="7"/>
      <c r="I762" s="7"/>
      <c r="J762" s="60"/>
      <c r="K762" s="60" t="str">
        <f t="shared" si="2"/>
        <v/>
      </c>
    </row>
    <row r="763">
      <c r="A763" s="61" t="str">
        <f t="shared" si="1"/>
        <v/>
      </c>
      <c r="B763" s="73"/>
      <c r="C763" s="76"/>
      <c r="D763" s="76" t="str">
        <f>VLOOKUP(B763,'HEAD OF THE FAMILY'!B762:J1934,9,FALSE)</f>
        <v>#N/A</v>
      </c>
      <c r="E763" s="3"/>
      <c r="F763" s="3"/>
      <c r="G763" s="7"/>
      <c r="H763" s="7"/>
      <c r="I763" s="7"/>
      <c r="J763" s="60"/>
      <c r="K763" s="60" t="str">
        <f t="shared" si="2"/>
        <v/>
      </c>
    </row>
    <row r="764">
      <c r="A764" s="61" t="str">
        <f t="shared" si="1"/>
        <v/>
      </c>
      <c r="B764" s="73"/>
      <c r="C764" s="76"/>
      <c r="D764" s="76" t="str">
        <f>VLOOKUP(B764,'HEAD OF THE FAMILY'!B763:J1934,9,FALSE)</f>
        <v>#N/A</v>
      </c>
      <c r="E764" s="3"/>
      <c r="F764" s="3"/>
      <c r="G764" s="7"/>
      <c r="H764" s="7"/>
      <c r="I764" s="7"/>
      <c r="J764" s="60"/>
      <c r="K764" s="60" t="str">
        <f t="shared" si="2"/>
        <v/>
      </c>
    </row>
    <row r="765">
      <c r="A765" s="61" t="str">
        <f t="shared" si="1"/>
        <v/>
      </c>
      <c r="B765" s="73"/>
      <c r="C765" s="76"/>
      <c r="D765" s="76" t="str">
        <f>VLOOKUP(B765,'HEAD OF THE FAMILY'!B764:J1934,9,FALSE)</f>
        <v>#N/A</v>
      </c>
      <c r="E765" s="3"/>
      <c r="F765" s="3"/>
      <c r="G765" s="7"/>
      <c r="H765" s="7"/>
      <c r="I765" s="7"/>
      <c r="J765" s="60"/>
      <c r="K765" s="60" t="str">
        <f t="shared" si="2"/>
        <v/>
      </c>
    </row>
    <row r="766">
      <c r="A766" s="61" t="str">
        <f t="shared" si="1"/>
        <v/>
      </c>
      <c r="B766" s="73"/>
      <c r="C766" s="76"/>
      <c r="D766" s="76" t="str">
        <f>VLOOKUP(B766,'HEAD OF THE FAMILY'!B765:J1934,9,FALSE)</f>
        <v>#N/A</v>
      </c>
      <c r="E766" s="3"/>
      <c r="F766" s="3"/>
      <c r="G766" s="7"/>
      <c r="H766" s="7"/>
      <c r="I766" s="7"/>
      <c r="J766" s="60"/>
      <c r="K766" s="60" t="str">
        <f t="shared" si="2"/>
        <v/>
      </c>
    </row>
    <row r="767">
      <c r="A767" s="61" t="str">
        <f t="shared" si="1"/>
        <v/>
      </c>
      <c r="B767" s="73"/>
      <c r="C767" s="76"/>
      <c r="D767" s="76" t="str">
        <f>VLOOKUP(B767,'HEAD OF THE FAMILY'!B766:J1934,9,FALSE)</f>
        <v>#N/A</v>
      </c>
      <c r="E767" s="3"/>
      <c r="F767" s="3"/>
      <c r="G767" s="7"/>
      <c r="H767" s="7"/>
      <c r="I767" s="7"/>
      <c r="J767" s="60"/>
      <c r="K767" s="60" t="str">
        <f t="shared" si="2"/>
        <v/>
      </c>
    </row>
    <row r="768">
      <c r="A768" s="61" t="str">
        <f t="shared" si="1"/>
        <v/>
      </c>
      <c r="B768" s="73"/>
      <c r="C768" s="76"/>
      <c r="D768" s="76" t="str">
        <f>VLOOKUP(B768,'HEAD OF THE FAMILY'!B767:J1934,9,FALSE)</f>
        <v>#N/A</v>
      </c>
      <c r="E768" s="3"/>
      <c r="F768" s="3"/>
      <c r="G768" s="7"/>
      <c r="H768" s="7"/>
      <c r="I768" s="7"/>
      <c r="J768" s="60"/>
      <c r="K768" s="60" t="str">
        <f t="shared" si="2"/>
        <v/>
      </c>
    </row>
    <row r="769">
      <c r="A769" s="61" t="str">
        <f t="shared" si="1"/>
        <v/>
      </c>
      <c r="B769" s="73"/>
      <c r="C769" s="76"/>
      <c r="D769" s="76" t="str">
        <f>VLOOKUP(B769,'HEAD OF THE FAMILY'!B768:J1934,9,FALSE)</f>
        <v>#N/A</v>
      </c>
      <c r="E769" s="3"/>
      <c r="F769" s="3"/>
      <c r="G769" s="7"/>
      <c r="H769" s="7"/>
      <c r="I769" s="7"/>
      <c r="J769" s="60"/>
      <c r="K769" s="60" t="str">
        <f t="shared" si="2"/>
        <v/>
      </c>
    </row>
    <row r="770">
      <c r="A770" s="61" t="str">
        <f t="shared" si="1"/>
        <v/>
      </c>
      <c r="B770" s="73"/>
      <c r="C770" s="76"/>
      <c r="D770" s="76" t="str">
        <f>VLOOKUP(B770,'HEAD OF THE FAMILY'!B769:J1934,9,FALSE)</f>
        <v>#N/A</v>
      </c>
      <c r="E770" s="3"/>
      <c r="F770" s="3"/>
      <c r="G770" s="7"/>
      <c r="H770" s="7"/>
      <c r="I770" s="7"/>
      <c r="J770" s="60"/>
      <c r="K770" s="60" t="str">
        <f t="shared" si="2"/>
        <v/>
      </c>
    </row>
    <row r="771">
      <c r="A771" s="61" t="str">
        <f t="shared" si="1"/>
        <v/>
      </c>
      <c r="B771" s="73"/>
      <c r="C771" s="76"/>
      <c r="D771" s="76" t="str">
        <f>VLOOKUP(B771,'HEAD OF THE FAMILY'!B770:J1934,9,FALSE)</f>
        <v>#N/A</v>
      </c>
      <c r="E771" s="3"/>
      <c r="F771" s="3"/>
      <c r="G771" s="7"/>
      <c r="H771" s="7"/>
      <c r="I771" s="7"/>
      <c r="J771" s="60"/>
      <c r="K771" s="60" t="str">
        <f t="shared" si="2"/>
        <v/>
      </c>
    </row>
    <row r="772">
      <c r="A772" s="61" t="str">
        <f t="shared" si="1"/>
        <v/>
      </c>
      <c r="B772" s="73"/>
      <c r="C772" s="76"/>
      <c r="D772" s="76" t="str">
        <f>VLOOKUP(B772,'HEAD OF THE FAMILY'!B771:J1934,9,FALSE)</f>
        <v>#N/A</v>
      </c>
      <c r="E772" s="3"/>
      <c r="F772" s="3"/>
      <c r="G772" s="7"/>
      <c r="H772" s="7"/>
      <c r="I772" s="7"/>
      <c r="J772" s="60"/>
      <c r="K772" s="60" t="str">
        <f t="shared" si="2"/>
        <v/>
      </c>
    </row>
    <row r="773">
      <c r="A773" s="61" t="str">
        <f t="shared" si="1"/>
        <v/>
      </c>
      <c r="B773" s="73"/>
      <c r="C773" s="76"/>
      <c r="D773" s="76" t="str">
        <f>VLOOKUP(B773,'HEAD OF THE FAMILY'!B772:J1934,9,FALSE)</f>
        <v>#N/A</v>
      </c>
      <c r="E773" s="3"/>
      <c r="F773" s="3"/>
      <c r="G773" s="7"/>
      <c r="H773" s="7"/>
      <c r="I773" s="7"/>
      <c r="J773" s="60"/>
      <c r="K773" s="60" t="str">
        <f t="shared" si="2"/>
        <v/>
      </c>
    </row>
    <row r="774">
      <c r="A774" s="61" t="str">
        <f t="shared" si="1"/>
        <v/>
      </c>
      <c r="B774" s="73"/>
      <c r="C774" s="76"/>
      <c r="D774" s="76" t="str">
        <f>VLOOKUP(B774,'HEAD OF THE FAMILY'!B773:J1934,9,FALSE)</f>
        <v>#N/A</v>
      </c>
      <c r="E774" s="3"/>
      <c r="F774" s="3"/>
      <c r="G774" s="7"/>
      <c r="H774" s="7"/>
      <c r="I774" s="7"/>
      <c r="J774" s="60"/>
      <c r="K774" s="60" t="str">
        <f t="shared" si="2"/>
        <v/>
      </c>
    </row>
    <row r="775">
      <c r="A775" s="61" t="str">
        <f t="shared" si="1"/>
        <v/>
      </c>
      <c r="B775" s="73"/>
      <c r="C775" s="76"/>
      <c r="D775" s="76" t="str">
        <f>VLOOKUP(B775,'HEAD OF THE FAMILY'!B774:J1934,9,FALSE)</f>
        <v>#N/A</v>
      </c>
      <c r="E775" s="3"/>
      <c r="F775" s="3"/>
      <c r="G775" s="7"/>
      <c r="H775" s="7"/>
      <c r="I775" s="7"/>
      <c r="J775" s="60"/>
      <c r="K775" s="60" t="str">
        <f t="shared" si="2"/>
        <v/>
      </c>
    </row>
    <row r="776">
      <c r="A776" s="61" t="str">
        <f t="shared" si="1"/>
        <v/>
      </c>
      <c r="B776" s="73"/>
      <c r="C776" s="76"/>
      <c r="D776" s="76" t="str">
        <f>VLOOKUP(B776,'HEAD OF THE FAMILY'!B775:J1934,9,FALSE)</f>
        <v>#N/A</v>
      </c>
      <c r="E776" s="3"/>
      <c r="F776" s="3"/>
      <c r="G776" s="7"/>
      <c r="H776" s="7"/>
      <c r="I776" s="7"/>
      <c r="J776" s="60"/>
      <c r="K776" s="60" t="str">
        <f t="shared" si="2"/>
        <v/>
      </c>
    </row>
    <row r="777">
      <c r="A777" s="61" t="str">
        <f t="shared" si="1"/>
        <v/>
      </c>
      <c r="B777" s="73"/>
      <c r="C777" s="76"/>
      <c r="D777" s="76" t="str">
        <f>VLOOKUP(B777,'HEAD OF THE FAMILY'!B776:J1934,9,FALSE)</f>
        <v>#N/A</v>
      </c>
      <c r="E777" s="3"/>
      <c r="F777" s="3"/>
      <c r="G777" s="7"/>
      <c r="H777" s="7"/>
      <c r="I777" s="7"/>
      <c r="J777" s="60"/>
      <c r="K777" s="60" t="str">
        <f t="shared" si="2"/>
        <v/>
      </c>
    </row>
    <row r="778">
      <c r="A778" s="61" t="str">
        <f t="shared" si="1"/>
        <v/>
      </c>
      <c r="B778" s="73"/>
      <c r="C778" s="76"/>
      <c r="D778" s="76" t="str">
        <f>VLOOKUP(B778,'HEAD OF THE FAMILY'!B777:J1934,9,FALSE)</f>
        <v>#N/A</v>
      </c>
      <c r="E778" s="3"/>
      <c r="F778" s="3"/>
      <c r="G778" s="7"/>
      <c r="H778" s="7"/>
      <c r="I778" s="7"/>
      <c r="J778" s="60"/>
      <c r="K778" s="60" t="str">
        <f t="shared" si="2"/>
        <v/>
      </c>
    </row>
    <row r="779">
      <c r="A779" s="61" t="str">
        <f t="shared" si="1"/>
        <v/>
      </c>
      <c r="B779" s="73"/>
      <c r="C779" s="76"/>
      <c r="D779" s="76" t="str">
        <f>VLOOKUP(B779,'HEAD OF THE FAMILY'!B778:J1934,9,FALSE)</f>
        <v>#N/A</v>
      </c>
      <c r="E779" s="3"/>
      <c r="F779" s="3"/>
      <c r="G779" s="7"/>
      <c r="H779" s="7"/>
      <c r="I779" s="7"/>
      <c r="J779" s="60"/>
      <c r="K779" s="60" t="str">
        <f t="shared" si="2"/>
        <v/>
      </c>
    </row>
    <row r="780">
      <c r="A780" s="61" t="str">
        <f t="shared" si="1"/>
        <v/>
      </c>
      <c r="B780" s="73"/>
      <c r="C780" s="76"/>
      <c r="D780" s="76" t="str">
        <f>VLOOKUP(B780,'HEAD OF THE FAMILY'!B779:J1934,9,FALSE)</f>
        <v>#N/A</v>
      </c>
      <c r="E780" s="3"/>
      <c r="F780" s="3"/>
      <c r="G780" s="7"/>
      <c r="H780" s="7"/>
      <c r="I780" s="7"/>
      <c r="J780" s="60"/>
      <c r="K780" s="60" t="str">
        <f t="shared" si="2"/>
        <v/>
      </c>
    </row>
    <row r="781">
      <c r="A781" s="61" t="str">
        <f t="shared" si="1"/>
        <v/>
      </c>
      <c r="B781" s="73"/>
      <c r="C781" s="76"/>
      <c r="D781" s="76" t="str">
        <f>VLOOKUP(B781,'HEAD OF THE FAMILY'!B780:J1934,9,FALSE)</f>
        <v>#N/A</v>
      </c>
      <c r="E781" s="3"/>
      <c r="F781" s="3"/>
      <c r="G781" s="7"/>
      <c r="H781" s="7"/>
      <c r="I781" s="7"/>
      <c r="J781" s="60"/>
      <c r="K781" s="60" t="str">
        <f t="shared" si="2"/>
        <v/>
      </c>
    </row>
    <row r="782">
      <c r="A782" s="61" t="str">
        <f t="shared" si="1"/>
        <v/>
      </c>
      <c r="B782" s="73"/>
      <c r="C782" s="76"/>
      <c r="D782" s="76" t="str">
        <f>VLOOKUP(B782,'HEAD OF THE FAMILY'!B781:J1934,9,FALSE)</f>
        <v>#N/A</v>
      </c>
      <c r="E782" s="3"/>
      <c r="F782" s="3"/>
      <c r="G782" s="7"/>
      <c r="H782" s="7"/>
      <c r="I782" s="7"/>
      <c r="J782" s="60"/>
      <c r="K782" s="60" t="str">
        <f t="shared" si="2"/>
        <v/>
      </c>
    </row>
    <row r="783">
      <c r="A783" s="61" t="str">
        <f t="shared" si="1"/>
        <v/>
      </c>
      <c r="B783" s="73"/>
      <c r="C783" s="76"/>
      <c r="D783" s="76" t="str">
        <f>VLOOKUP(B783,'HEAD OF THE FAMILY'!B782:J1934,9,FALSE)</f>
        <v>#N/A</v>
      </c>
      <c r="E783" s="3"/>
      <c r="F783" s="3"/>
      <c r="G783" s="7"/>
      <c r="H783" s="7"/>
      <c r="I783" s="7"/>
      <c r="J783" s="60"/>
      <c r="K783" s="60" t="str">
        <f t="shared" si="2"/>
        <v/>
      </c>
    </row>
    <row r="784">
      <c r="A784" s="61" t="str">
        <f t="shared" si="1"/>
        <v/>
      </c>
      <c r="B784" s="73"/>
      <c r="C784" s="76"/>
      <c r="D784" s="76" t="str">
        <f>VLOOKUP(B784,'HEAD OF THE FAMILY'!B783:J1934,9,FALSE)</f>
        <v>#N/A</v>
      </c>
      <c r="E784" s="3"/>
      <c r="F784" s="3"/>
      <c r="G784" s="7"/>
      <c r="H784" s="7"/>
      <c r="I784" s="7"/>
      <c r="J784" s="60"/>
      <c r="K784" s="60" t="str">
        <f t="shared" si="2"/>
        <v/>
      </c>
    </row>
    <row r="785">
      <c r="A785" s="61" t="str">
        <f t="shared" si="1"/>
        <v/>
      </c>
      <c r="B785" s="73"/>
      <c r="C785" s="76"/>
      <c r="D785" s="76" t="str">
        <f>VLOOKUP(B785,'HEAD OF THE FAMILY'!B784:J1934,9,FALSE)</f>
        <v>#N/A</v>
      </c>
      <c r="E785" s="3"/>
      <c r="F785" s="3"/>
      <c r="G785" s="7"/>
      <c r="H785" s="7"/>
      <c r="I785" s="7"/>
      <c r="J785" s="60"/>
      <c r="K785" s="60" t="str">
        <f t="shared" si="2"/>
        <v/>
      </c>
    </row>
    <row r="786">
      <c r="A786" s="61" t="str">
        <f t="shared" si="1"/>
        <v/>
      </c>
      <c r="B786" s="73"/>
      <c r="C786" s="76"/>
      <c r="D786" s="76" t="str">
        <f>VLOOKUP(B786,'HEAD OF THE FAMILY'!B785:J1934,9,FALSE)</f>
        <v>#N/A</v>
      </c>
      <c r="E786" s="3"/>
      <c r="F786" s="3"/>
      <c r="G786" s="7"/>
      <c r="H786" s="7"/>
      <c r="I786" s="7"/>
      <c r="J786" s="60"/>
      <c r="K786" s="60" t="str">
        <f t="shared" si="2"/>
        <v/>
      </c>
    </row>
    <row r="787">
      <c r="A787" s="61" t="str">
        <f t="shared" si="1"/>
        <v/>
      </c>
      <c r="B787" s="73"/>
      <c r="C787" s="76"/>
      <c r="D787" s="76" t="str">
        <f>VLOOKUP(B787,'HEAD OF THE FAMILY'!B786:J1934,9,FALSE)</f>
        <v>#N/A</v>
      </c>
      <c r="E787" s="3"/>
      <c r="F787" s="3"/>
      <c r="G787" s="7"/>
      <c r="H787" s="7"/>
      <c r="I787" s="7"/>
      <c r="J787" s="60"/>
      <c r="K787" s="60" t="str">
        <f t="shared" si="2"/>
        <v/>
      </c>
    </row>
    <row r="788">
      <c r="A788" s="61" t="str">
        <f t="shared" si="1"/>
        <v/>
      </c>
      <c r="B788" s="73"/>
      <c r="C788" s="76"/>
      <c r="D788" s="76" t="str">
        <f>VLOOKUP(B788,'HEAD OF THE FAMILY'!B787:J1934,9,FALSE)</f>
        <v>#N/A</v>
      </c>
      <c r="E788" s="3"/>
      <c r="F788" s="3"/>
      <c r="G788" s="7"/>
      <c r="H788" s="7"/>
      <c r="I788" s="7"/>
      <c r="J788" s="60"/>
      <c r="K788" s="60" t="str">
        <f t="shared" si="2"/>
        <v/>
      </c>
    </row>
    <row r="789">
      <c r="A789" s="61" t="str">
        <f t="shared" si="1"/>
        <v/>
      </c>
      <c r="B789" s="73"/>
      <c r="C789" s="76"/>
      <c r="D789" s="76" t="str">
        <f>VLOOKUP(B789,'HEAD OF THE FAMILY'!B788:J1934,9,FALSE)</f>
        <v>#N/A</v>
      </c>
      <c r="E789" s="3"/>
      <c r="F789" s="3"/>
      <c r="G789" s="7"/>
      <c r="H789" s="7"/>
      <c r="I789" s="7"/>
      <c r="J789" s="60"/>
      <c r="K789" s="60" t="str">
        <f t="shared" si="2"/>
        <v/>
      </c>
    </row>
    <row r="790">
      <c r="A790" s="61" t="str">
        <f t="shared" si="1"/>
        <v/>
      </c>
      <c r="B790" s="73"/>
      <c r="C790" s="76"/>
      <c r="D790" s="76" t="str">
        <f>VLOOKUP(B790,'HEAD OF THE FAMILY'!B789:J1934,9,FALSE)</f>
        <v>#N/A</v>
      </c>
      <c r="E790" s="3"/>
      <c r="F790" s="3"/>
      <c r="G790" s="7"/>
      <c r="H790" s="7"/>
      <c r="I790" s="7"/>
      <c r="J790" s="60"/>
      <c r="K790" s="60" t="str">
        <f t="shared" si="2"/>
        <v/>
      </c>
    </row>
    <row r="791">
      <c r="A791" s="61" t="str">
        <f t="shared" si="1"/>
        <v/>
      </c>
      <c r="B791" s="73"/>
      <c r="C791" s="76"/>
      <c r="D791" s="76" t="str">
        <f>VLOOKUP(B791,'HEAD OF THE FAMILY'!B790:J1934,9,FALSE)</f>
        <v>#N/A</v>
      </c>
      <c r="E791" s="3"/>
      <c r="F791" s="3"/>
      <c r="G791" s="7"/>
      <c r="H791" s="7"/>
      <c r="I791" s="7"/>
      <c r="J791" s="60"/>
      <c r="K791" s="60" t="str">
        <f t="shared" si="2"/>
        <v/>
      </c>
    </row>
    <row r="792">
      <c r="A792" s="61" t="str">
        <f t="shared" si="1"/>
        <v/>
      </c>
      <c r="B792" s="73"/>
      <c r="C792" s="76"/>
      <c r="D792" s="76" t="str">
        <f>VLOOKUP(B792,'HEAD OF THE FAMILY'!B791:J1934,9,FALSE)</f>
        <v>#N/A</v>
      </c>
      <c r="E792" s="3"/>
      <c r="F792" s="3"/>
      <c r="G792" s="7"/>
      <c r="H792" s="7"/>
      <c r="I792" s="7"/>
      <c r="J792" s="60"/>
      <c r="K792" s="60" t="str">
        <f t="shared" si="2"/>
        <v/>
      </c>
    </row>
    <row r="793">
      <c r="A793" s="61" t="str">
        <f t="shared" si="1"/>
        <v/>
      </c>
      <c r="B793" s="73"/>
      <c r="C793" s="76"/>
      <c r="D793" s="76" t="str">
        <f>VLOOKUP(B793,'HEAD OF THE FAMILY'!B792:J1934,9,FALSE)</f>
        <v>#N/A</v>
      </c>
      <c r="E793" s="3"/>
      <c r="F793" s="3"/>
      <c r="G793" s="7"/>
      <c r="H793" s="7"/>
      <c r="I793" s="7"/>
      <c r="J793" s="60"/>
      <c r="K793" s="60" t="str">
        <f t="shared" si="2"/>
        <v/>
      </c>
    </row>
    <row r="794">
      <c r="A794" s="61" t="str">
        <f t="shared" si="1"/>
        <v/>
      </c>
      <c r="B794" s="73"/>
      <c r="C794" s="76"/>
      <c r="D794" s="76" t="str">
        <f>VLOOKUP(B794,'HEAD OF THE FAMILY'!B793:J1934,9,FALSE)</f>
        <v>#N/A</v>
      </c>
      <c r="E794" s="3"/>
      <c r="F794" s="3"/>
      <c r="G794" s="7"/>
      <c r="H794" s="7"/>
      <c r="I794" s="7"/>
      <c r="J794" s="60"/>
      <c r="K794" s="60" t="str">
        <f t="shared" si="2"/>
        <v/>
      </c>
    </row>
    <row r="795">
      <c r="A795" s="61" t="str">
        <f t="shared" si="1"/>
        <v/>
      </c>
      <c r="B795" s="73"/>
      <c r="C795" s="76"/>
      <c r="D795" s="76" t="str">
        <f>VLOOKUP(B795,'HEAD OF THE FAMILY'!B794:J1934,9,FALSE)</f>
        <v>#N/A</v>
      </c>
      <c r="E795" s="3"/>
      <c r="F795" s="3"/>
      <c r="G795" s="7"/>
      <c r="H795" s="7"/>
      <c r="I795" s="7"/>
      <c r="J795" s="60"/>
      <c r="K795" s="60" t="str">
        <f t="shared" si="2"/>
        <v/>
      </c>
    </row>
    <row r="796">
      <c r="A796" s="61" t="str">
        <f t="shared" si="1"/>
        <v/>
      </c>
      <c r="B796" s="73"/>
      <c r="C796" s="76"/>
      <c r="D796" s="76" t="str">
        <f>VLOOKUP(B796,'HEAD OF THE FAMILY'!B795:J1934,9,FALSE)</f>
        <v>#N/A</v>
      </c>
      <c r="E796" s="3"/>
      <c r="F796" s="3"/>
      <c r="G796" s="7"/>
      <c r="H796" s="7"/>
      <c r="I796" s="7"/>
      <c r="J796" s="60"/>
      <c r="K796" s="60" t="str">
        <f t="shared" si="2"/>
        <v/>
      </c>
    </row>
    <row r="797">
      <c r="A797" s="61" t="str">
        <f t="shared" si="1"/>
        <v/>
      </c>
      <c r="B797" s="73"/>
      <c r="C797" s="76"/>
      <c r="D797" s="76" t="str">
        <f>VLOOKUP(B797,'HEAD OF THE FAMILY'!B796:J1934,9,FALSE)</f>
        <v>#N/A</v>
      </c>
      <c r="E797" s="3"/>
      <c r="F797" s="3"/>
      <c r="G797" s="7"/>
      <c r="H797" s="7"/>
      <c r="I797" s="7"/>
      <c r="J797" s="60"/>
      <c r="K797" s="60" t="str">
        <f t="shared" si="2"/>
        <v/>
      </c>
    </row>
    <row r="798">
      <c r="A798" s="61" t="str">
        <f t="shared" si="1"/>
        <v/>
      </c>
      <c r="B798" s="73"/>
      <c r="C798" s="76"/>
      <c r="D798" s="76" t="str">
        <f>VLOOKUP(B798,'HEAD OF THE FAMILY'!B797:J1934,9,FALSE)</f>
        <v>#N/A</v>
      </c>
      <c r="E798" s="3"/>
      <c r="F798" s="3"/>
      <c r="G798" s="7"/>
      <c r="H798" s="7"/>
      <c r="I798" s="7"/>
      <c r="J798" s="60"/>
      <c r="K798" s="60" t="str">
        <f t="shared" si="2"/>
        <v/>
      </c>
    </row>
    <row r="799">
      <c r="A799" s="61" t="str">
        <f t="shared" si="1"/>
        <v/>
      </c>
      <c r="B799" s="73"/>
      <c r="C799" s="76"/>
      <c r="D799" s="76" t="str">
        <f>VLOOKUP(B799,'HEAD OF THE FAMILY'!B797:J1934,9,FALSE)</f>
        <v>#N/A</v>
      </c>
      <c r="E799" s="3"/>
      <c r="F799" s="3"/>
      <c r="G799" s="7"/>
      <c r="H799" s="7"/>
      <c r="I799" s="7"/>
      <c r="J799" s="60"/>
      <c r="K799" s="60" t="str">
        <f t="shared" si="2"/>
        <v/>
      </c>
    </row>
    <row r="800">
      <c r="A800" s="61" t="str">
        <f t="shared" si="1"/>
        <v/>
      </c>
      <c r="B800" s="73"/>
      <c r="C800" s="76"/>
      <c r="D800" s="76" t="str">
        <f>VLOOKUP(B800,'HEAD OF THE FAMILY'!B797:J1934,9,FALSE)</f>
        <v>#N/A</v>
      </c>
      <c r="E800" s="3"/>
      <c r="F800" s="3"/>
      <c r="G800" s="7"/>
      <c r="H800" s="7"/>
      <c r="I800" s="7"/>
      <c r="J800" s="60"/>
      <c r="K800" s="60" t="str">
        <f t="shared" si="2"/>
        <v/>
      </c>
    </row>
    <row r="801">
      <c r="A801" s="61" t="str">
        <f t="shared" si="1"/>
        <v/>
      </c>
      <c r="B801" s="73"/>
      <c r="C801" s="76"/>
      <c r="D801" s="76" t="str">
        <f>VLOOKUP(B801,'HEAD OF THE FAMILY'!B798:J1934,9,FALSE)</f>
        <v>#N/A</v>
      </c>
      <c r="E801" s="3"/>
      <c r="F801" s="3"/>
      <c r="G801" s="7"/>
      <c r="H801" s="7"/>
      <c r="I801" s="7"/>
      <c r="J801" s="60"/>
      <c r="K801" s="60" t="str">
        <f t="shared" si="2"/>
        <v/>
      </c>
    </row>
    <row r="802">
      <c r="A802" s="61" t="str">
        <f t="shared" si="1"/>
        <v/>
      </c>
      <c r="B802" s="73"/>
      <c r="C802" s="76"/>
      <c r="D802" s="76" t="str">
        <f>VLOOKUP(B802,'HEAD OF THE FAMILY'!B799:J1934,9,FALSE)</f>
        <v>#N/A</v>
      </c>
      <c r="E802" s="3"/>
      <c r="F802" s="3"/>
      <c r="G802" s="7"/>
      <c r="H802" s="7"/>
      <c r="I802" s="7"/>
      <c r="J802" s="60"/>
      <c r="K802" s="60" t="str">
        <f t="shared" si="2"/>
        <v/>
      </c>
    </row>
    <row r="803">
      <c r="A803" s="61" t="str">
        <f t="shared" si="1"/>
        <v/>
      </c>
      <c r="B803" s="73"/>
      <c r="C803" s="76"/>
      <c r="D803" s="76" t="str">
        <f>VLOOKUP(B803,'HEAD OF THE FAMILY'!B800:J1934,9,FALSE)</f>
        <v>#N/A</v>
      </c>
      <c r="E803" s="3"/>
      <c r="F803" s="3"/>
      <c r="G803" s="7"/>
      <c r="H803" s="7"/>
      <c r="I803" s="7"/>
      <c r="J803" s="60"/>
      <c r="K803" s="60" t="str">
        <f t="shared" si="2"/>
        <v/>
      </c>
    </row>
    <row r="804">
      <c r="A804" s="61" t="str">
        <f t="shared" si="1"/>
        <v/>
      </c>
      <c r="B804" s="73"/>
      <c r="C804" s="76"/>
      <c r="D804" s="76" t="str">
        <f>VLOOKUP(B804,'HEAD OF THE FAMILY'!B801:J1934,9,FALSE)</f>
        <v>#N/A</v>
      </c>
      <c r="E804" s="3"/>
      <c r="F804" s="3"/>
      <c r="G804" s="7"/>
      <c r="H804" s="7"/>
      <c r="I804" s="7"/>
      <c r="J804" s="60"/>
      <c r="K804" s="60" t="str">
        <f t="shared" si="2"/>
        <v/>
      </c>
    </row>
    <row r="805">
      <c r="A805" s="61" t="str">
        <f t="shared" si="1"/>
        <v/>
      </c>
      <c r="B805" s="73"/>
      <c r="C805" s="76"/>
      <c r="D805" s="76" t="str">
        <f>VLOOKUP(B805,'HEAD OF THE FAMILY'!B802:J1934,9,FALSE)</f>
        <v>#N/A</v>
      </c>
      <c r="E805" s="3"/>
      <c r="F805" s="3"/>
      <c r="G805" s="7"/>
      <c r="H805" s="7"/>
      <c r="I805" s="7"/>
      <c r="J805" s="60"/>
      <c r="K805" s="60" t="str">
        <f t="shared" si="2"/>
        <v/>
      </c>
    </row>
    <row r="806">
      <c r="A806" s="61" t="str">
        <f t="shared" si="1"/>
        <v/>
      </c>
      <c r="B806" s="73"/>
      <c r="C806" s="76"/>
      <c r="D806" s="76" t="str">
        <f>VLOOKUP(B806,'HEAD OF THE FAMILY'!B803:J1934,9,FALSE)</f>
        <v>#N/A</v>
      </c>
      <c r="E806" s="3"/>
      <c r="F806" s="3"/>
      <c r="G806" s="7"/>
      <c r="H806" s="7"/>
      <c r="I806" s="7"/>
      <c r="J806" s="60"/>
      <c r="K806" s="60" t="str">
        <f t="shared" si="2"/>
        <v/>
      </c>
    </row>
    <row r="807">
      <c r="A807" s="61" t="str">
        <f t="shared" si="1"/>
        <v/>
      </c>
      <c r="B807" s="73"/>
      <c r="C807" s="76"/>
      <c r="D807" s="76" t="str">
        <f>VLOOKUP(B807,'HEAD OF THE FAMILY'!B804:J1934,9,FALSE)</f>
        <v>#N/A</v>
      </c>
      <c r="E807" s="3"/>
      <c r="F807" s="3"/>
      <c r="G807" s="7"/>
      <c r="H807" s="7"/>
      <c r="I807" s="7"/>
      <c r="J807" s="60"/>
      <c r="K807" s="60" t="str">
        <f t="shared" si="2"/>
        <v/>
      </c>
    </row>
    <row r="808">
      <c r="A808" s="61" t="str">
        <f t="shared" si="1"/>
        <v/>
      </c>
      <c r="B808" s="73"/>
      <c r="C808" s="76"/>
      <c r="D808" s="76" t="str">
        <f>VLOOKUP(B808,'HEAD OF THE FAMILY'!B805:J1934,9,FALSE)</f>
        <v>#N/A</v>
      </c>
      <c r="E808" s="3"/>
      <c r="F808" s="3"/>
      <c r="G808" s="7"/>
      <c r="H808" s="7"/>
      <c r="I808" s="7"/>
      <c r="J808" s="60"/>
      <c r="K808" s="60" t="str">
        <f t="shared" si="2"/>
        <v/>
      </c>
    </row>
    <row r="809">
      <c r="A809" s="61" t="str">
        <f t="shared" si="1"/>
        <v/>
      </c>
      <c r="B809" s="73"/>
      <c r="C809" s="76"/>
      <c r="D809" s="76" t="str">
        <f>VLOOKUP(B809,'HEAD OF THE FAMILY'!B1806:J1934,9,FALSE)</f>
        <v>#REF!</v>
      </c>
      <c r="E809" s="3"/>
      <c r="F809" s="3"/>
      <c r="G809" s="7"/>
      <c r="H809" s="7"/>
      <c r="I809" s="7"/>
      <c r="J809" s="60"/>
      <c r="K809" s="60" t="str">
        <f t="shared" si="2"/>
        <v/>
      </c>
    </row>
    <row r="810">
      <c r="A810" s="61" t="str">
        <f t="shared" si="1"/>
        <v/>
      </c>
      <c r="B810" s="73"/>
      <c r="C810" s="76"/>
      <c r="D810" s="76" t="str">
        <f>VLOOKUP(B810,'HEAD OF THE FAMILY'!B1807:J1934,9,FALSE)</f>
        <v>#REF!</v>
      </c>
      <c r="E810" s="3"/>
      <c r="F810" s="3"/>
      <c r="G810" s="7"/>
      <c r="H810" s="7"/>
      <c r="I810" s="7"/>
      <c r="J810" s="60"/>
      <c r="K810" s="60" t="str">
        <f t="shared" si="2"/>
        <v/>
      </c>
    </row>
    <row r="811">
      <c r="A811" s="61" t="str">
        <f t="shared" si="1"/>
        <v/>
      </c>
      <c r="B811" s="73"/>
      <c r="C811" s="76"/>
      <c r="D811" s="76" t="str">
        <f>VLOOKUP(B811,'HEAD OF THE FAMILY'!B1808:J1934,9,FALSE)</f>
        <v>#REF!</v>
      </c>
      <c r="E811" s="3"/>
      <c r="F811" s="3"/>
      <c r="G811" s="7"/>
      <c r="H811" s="7"/>
      <c r="I811" s="7"/>
      <c r="J811" s="60"/>
      <c r="K811" s="60" t="str">
        <f t="shared" si="2"/>
        <v/>
      </c>
    </row>
    <row r="812">
      <c r="A812" s="61" t="str">
        <f t="shared" si="1"/>
        <v/>
      </c>
      <c r="B812" s="73"/>
      <c r="C812" s="76"/>
      <c r="D812" s="76" t="str">
        <f>VLOOKUP(B812,'HEAD OF THE FAMILY'!B1809:J1934,9,FALSE)</f>
        <v>#REF!</v>
      </c>
      <c r="E812" s="3"/>
      <c r="F812" s="3"/>
      <c r="G812" s="7"/>
      <c r="H812" s="7"/>
      <c r="I812" s="7"/>
      <c r="J812" s="60"/>
      <c r="K812" s="60" t="str">
        <f t="shared" si="2"/>
        <v/>
      </c>
    </row>
    <row r="813">
      <c r="A813" s="61" t="str">
        <f t="shared" si="1"/>
        <v/>
      </c>
      <c r="B813" s="73"/>
      <c r="C813" s="76"/>
      <c r="D813" s="76" t="str">
        <f>VLOOKUP(B813,'HEAD OF THE FAMILY'!B1810:J1934,9,FALSE)</f>
        <v>#REF!</v>
      </c>
      <c r="E813" s="3"/>
      <c r="F813" s="3"/>
      <c r="G813" s="7"/>
      <c r="H813" s="7"/>
      <c r="I813" s="7"/>
      <c r="J813" s="60"/>
      <c r="K813" s="60" t="str">
        <f t="shared" si="2"/>
        <v/>
      </c>
    </row>
    <row r="814">
      <c r="A814" s="61" t="str">
        <f t="shared" si="1"/>
        <v/>
      </c>
      <c r="B814" s="73"/>
      <c r="C814" s="76"/>
      <c r="D814" s="76" t="str">
        <f>VLOOKUP(B814,'HEAD OF THE FAMILY'!B1811:J1934,9,FALSE)</f>
        <v>#REF!</v>
      </c>
      <c r="E814" s="3"/>
      <c r="F814" s="3"/>
      <c r="G814" s="7"/>
      <c r="H814" s="7"/>
      <c r="I814" s="7"/>
      <c r="J814" s="60"/>
      <c r="K814" s="60" t="str">
        <f t="shared" si="2"/>
        <v/>
      </c>
    </row>
    <row r="815">
      <c r="A815" s="61" t="str">
        <f t="shared" si="1"/>
        <v/>
      </c>
      <c r="B815" s="73"/>
      <c r="C815" s="76"/>
      <c r="D815" s="76" t="str">
        <f>VLOOKUP(B815,'HEAD OF THE FAMILY'!B1812:J1934,9,FALSE)</f>
        <v>#REF!</v>
      </c>
      <c r="E815" s="3"/>
      <c r="F815" s="3"/>
      <c r="G815" s="7"/>
      <c r="H815" s="7"/>
      <c r="I815" s="7"/>
      <c r="J815" s="60"/>
      <c r="K815" s="60" t="str">
        <f t="shared" si="2"/>
        <v/>
      </c>
    </row>
    <row r="816">
      <c r="A816" s="61" t="str">
        <f t="shared" si="1"/>
        <v/>
      </c>
      <c r="B816" s="73"/>
      <c r="C816" s="76"/>
      <c r="D816" s="76" t="str">
        <f>VLOOKUP(B816,'HEAD OF THE FAMILY'!B1813:J1934,9,FALSE)</f>
        <v>#REF!</v>
      </c>
      <c r="E816" s="3"/>
      <c r="F816" s="3"/>
      <c r="G816" s="7"/>
      <c r="H816" s="7"/>
      <c r="I816" s="7"/>
      <c r="J816" s="60"/>
      <c r="K816" s="60" t="str">
        <f t="shared" si="2"/>
        <v/>
      </c>
    </row>
    <row r="817">
      <c r="A817" s="61" t="str">
        <f t="shared" si="1"/>
        <v/>
      </c>
      <c r="B817" s="73"/>
      <c r="C817" s="76"/>
      <c r="D817" s="76" t="str">
        <f>VLOOKUP(B817,'HEAD OF THE FAMILY'!B1814:J1934,9,FALSE)</f>
        <v>#REF!</v>
      </c>
      <c r="E817" s="3"/>
      <c r="F817" s="3"/>
      <c r="G817" s="7"/>
      <c r="H817" s="7"/>
      <c r="I817" s="7"/>
      <c r="J817" s="60"/>
      <c r="K817" s="60" t="str">
        <f t="shared" si="2"/>
        <v/>
      </c>
    </row>
    <row r="818">
      <c r="A818" s="61" t="str">
        <f t="shared" si="1"/>
        <v/>
      </c>
      <c r="B818" s="73"/>
      <c r="C818" s="76"/>
      <c r="D818" s="76" t="str">
        <f>VLOOKUP(B818,'HEAD OF THE FAMILY'!B1815:J1934,9,FALSE)</f>
        <v>#REF!</v>
      </c>
      <c r="E818" s="3"/>
      <c r="F818" s="3"/>
      <c r="G818" s="7"/>
      <c r="H818" s="7"/>
      <c r="I818" s="7"/>
      <c r="J818" s="60"/>
      <c r="K818" s="60" t="str">
        <f t="shared" si="2"/>
        <v/>
      </c>
    </row>
    <row r="819">
      <c r="A819" s="61" t="str">
        <f t="shared" si="1"/>
        <v/>
      </c>
      <c r="B819" s="73"/>
      <c r="C819" s="76"/>
      <c r="D819" s="76" t="str">
        <f>VLOOKUP(B819,'HEAD OF THE FAMILY'!B1816:J1934,9,FALSE)</f>
        <v>#REF!</v>
      </c>
      <c r="E819" s="3"/>
      <c r="F819" s="3"/>
      <c r="G819" s="7"/>
      <c r="H819" s="7"/>
      <c r="I819" s="7"/>
      <c r="J819" s="60"/>
      <c r="K819" s="60" t="str">
        <f t="shared" si="2"/>
        <v/>
      </c>
    </row>
    <row r="820">
      <c r="A820" s="61" t="str">
        <f t="shared" si="1"/>
        <v/>
      </c>
      <c r="B820" s="73"/>
      <c r="C820" s="76"/>
      <c r="D820" s="76" t="str">
        <f>VLOOKUP(B820,'HEAD OF THE FAMILY'!B1817:J1934,9,FALSE)</f>
        <v>#REF!</v>
      </c>
      <c r="E820" s="3"/>
      <c r="F820" s="3"/>
      <c r="G820" s="7"/>
      <c r="H820" s="7"/>
      <c r="I820" s="7"/>
      <c r="J820" s="60"/>
      <c r="K820" s="60" t="str">
        <f t="shared" si="2"/>
        <v/>
      </c>
    </row>
    <row r="821">
      <c r="A821" s="61" t="str">
        <f t="shared" si="1"/>
        <v/>
      </c>
      <c r="B821" s="73"/>
      <c r="C821" s="76"/>
      <c r="D821" s="76" t="str">
        <f>VLOOKUP(B821,'HEAD OF THE FAMILY'!B1818:J1934,9,FALSE)</f>
        <v>#REF!</v>
      </c>
      <c r="E821" s="3"/>
      <c r="F821" s="3"/>
      <c r="G821" s="7"/>
      <c r="H821" s="7"/>
      <c r="I821" s="7"/>
      <c r="J821" s="60"/>
      <c r="K821" s="60" t="str">
        <f t="shared" si="2"/>
        <v/>
      </c>
    </row>
    <row r="822">
      <c r="A822" s="61" t="str">
        <f t="shared" si="1"/>
        <v/>
      </c>
      <c r="B822" s="73"/>
      <c r="C822" s="76"/>
      <c r="D822" s="76" t="str">
        <f>VLOOKUP(B822,'HEAD OF THE FAMILY'!B1819:J1934,9,FALSE)</f>
        <v>#REF!</v>
      </c>
      <c r="E822" s="3"/>
      <c r="F822" s="3"/>
      <c r="G822" s="7"/>
      <c r="H822" s="7"/>
      <c r="I822" s="7"/>
      <c r="J822" s="60"/>
      <c r="K822" s="60" t="str">
        <f t="shared" si="2"/>
        <v/>
      </c>
    </row>
    <row r="823">
      <c r="A823" s="61" t="str">
        <f t="shared" si="1"/>
        <v/>
      </c>
      <c r="B823" s="73"/>
      <c r="C823" s="76"/>
      <c r="D823" s="76" t="str">
        <f>VLOOKUP(B823,'HEAD OF THE FAMILY'!B1820:J1934,9,FALSE)</f>
        <v>#REF!</v>
      </c>
      <c r="E823" s="3"/>
      <c r="F823" s="3"/>
      <c r="G823" s="7"/>
      <c r="H823" s="7"/>
      <c r="I823" s="7"/>
      <c r="J823" s="60"/>
      <c r="K823" s="60" t="str">
        <f t="shared" si="2"/>
        <v/>
      </c>
    </row>
    <row r="824">
      <c r="A824" s="61" t="str">
        <f t="shared" si="1"/>
        <v/>
      </c>
      <c r="B824" s="73"/>
      <c r="C824" s="76"/>
      <c r="D824" s="76" t="str">
        <f>VLOOKUP(B824,'HEAD OF THE FAMILY'!B1821:J1934,9,FALSE)</f>
        <v>#REF!</v>
      </c>
      <c r="E824" s="3"/>
      <c r="F824" s="3"/>
      <c r="G824" s="7"/>
      <c r="H824" s="7"/>
      <c r="I824" s="7"/>
      <c r="J824" s="60"/>
      <c r="K824" s="60" t="str">
        <f t="shared" si="2"/>
        <v/>
      </c>
    </row>
    <row r="825">
      <c r="A825" s="61" t="str">
        <f t="shared" si="1"/>
        <v/>
      </c>
      <c r="B825" s="73"/>
      <c r="C825" s="76"/>
      <c r="D825" s="76" t="str">
        <f>VLOOKUP(B825,'HEAD OF THE FAMILY'!B1822:J1934,9,FALSE)</f>
        <v>#REF!</v>
      </c>
      <c r="E825" s="3"/>
      <c r="F825" s="3"/>
      <c r="G825" s="7"/>
      <c r="H825" s="7"/>
      <c r="I825" s="7"/>
      <c r="J825" s="60"/>
      <c r="K825" s="60" t="str">
        <f t="shared" si="2"/>
        <v/>
      </c>
    </row>
    <row r="826">
      <c r="A826" s="61" t="str">
        <f t="shared" si="1"/>
        <v/>
      </c>
      <c r="B826" s="73"/>
      <c r="C826" s="76"/>
      <c r="D826" s="76" t="str">
        <f>VLOOKUP(B826,'HEAD OF THE FAMILY'!B1823:J1934,9,FALSE)</f>
        <v>#REF!</v>
      </c>
      <c r="E826" s="3"/>
      <c r="F826" s="3"/>
      <c r="G826" s="7"/>
      <c r="H826" s="7"/>
      <c r="I826" s="7"/>
      <c r="J826" s="60"/>
      <c r="K826" s="60" t="str">
        <f t="shared" si="2"/>
        <v/>
      </c>
    </row>
    <row r="827">
      <c r="A827" s="61" t="str">
        <f t="shared" si="1"/>
        <v/>
      </c>
      <c r="B827" s="73"/>
      <c r="C827" s="76"/>
      <c r="D827" s="76" t="str">
        <f>VLOOKUP(B827,'HEAD OF THE FAMILY'!B1824:J1934,9,FALSE)</f>
        <v>#REF!</v>
      </c>
      <c r="E827" s="3"/>
      <c r="F827" s="3"/>
      <c r="G827" s="7"/>
      <c r="H827" s="7"/>
      <c r="I827" s="7"/>
      <c r="J827" s="60"/>
      <c r="K827" s="60" t="str">
        <f t="shared" si="2"/>
        <v/>
      </c>
    </row>
    <row r="828">
      <c r="A828" s="61" t="str">
        <f t="shared" si="1"/>
        <v/>
      </c>
      <c r="B828" s="73"/>
      <c r="C828" s="76"/>
      <c r="D828" s="76" t="str">
        <f>VLOOKUP(B828,'HEAD OF THE FAMILY'!B1825:J1934,9,FALSE)</f>
        <v>#REF!</v>
      </c>
      <c r="E828" s="3"/>
      <c r="F828" s="3"/>
      <c r="G828" s="7"/>
      <c r="H828" s="7"/>
      <c r="I828" s="7"/>
      <c r="J828" s="60"/>
      <c r="K828" s="60" t="str">
        <f t="shared" si="2"/>
        <v/>
      </c>
    </row>
    <row r="829">
      <c r="A829" s="61" t="str">
        <f t="shared" si="1"/>
        <v/>
      </c>
      <c r="B829" s="73"/>
      <c r="C829" s="76"/>
      <c r="D829" s="76" t="str">
        <f>VLOOKUP(B829,'HEAD OF THE FAMILY'!B1826:J1934,9,FALSE)</f>
        <v>#REF!</v>
      </c>
      <c r="E829" s="3"/>
      <c r="F829" s="3"/>
      <c r="G829" s="7"/>
      <c r="H829" s="7"/>
      <c r="I829" s="7"/>
      <c r="J829" s="60"/>
      <c r="K829" s="60" t="str">
        <f t="shared" si="2"/>
        <v/>
      </c>
    </row>
    <row r="830">
      <c r="A830" s="61" t="str">
        <f t="shared" si="1"/>
        <v/>
      </c>
      <c r="B830" s="73"/>
      <c r="C830" s="76"/>
      <c r="D830" s="76" t="str">
        <f>VLOOKUP(B830,'HEAD OF THE FAMILY'!B1827:J1934,9,FALSE)</f>
        <v>#REF!</v>
      </c>
      <c r="E830" s="3"/>
      <c r="F830" s="3"/>
      <c r="G830" s="7"/>
      <c r="H830" s="7"/>
      <c r="I830" s="7"/>
      <c r="J830" s="60"/>
      <c r="K830" s="60" t="str">
        <f t="shared" si="2"/>
        <v/>
      </c>
    </row>
    <row r="831">
      <c r="A831" s="61" t="str">
        <f t="shared" si="1"/>
        <v/>
      </c>
      <c r="B831" s="73"/>
      <c r="C831" s="76"/>
      <c r="D831" s="76" t="str">
        <f>VLOOKUP(B831,'HEAD OF THE FAMILY'!B1828:J1934,9,FALSE)</f>
        <v>#REF!</v>
      </c>
      <c r="E831" s="3"/>
      <c r="F831" s="3"/>
      <c r="G831" s="7"/>
      <c r="H831" s="7"/>
      <c r="I831" s="7"/>
      <c r="J831" s="60"/>
      <c r="K831" s="60" t="str">
        <f t="shared" si="2"/>
        <v/>
      </c>
    </row>
    <row r="832">
      <c r="A832" s="61" t="str">
        <f t="shared" si="1"/>
        <v/>
      </c>
      <c r="B832" s="73"/>
      <c r="C832" s="76"/>
      <c r="D832" s="76" t="str">
        <f>VLOOKUP(B832,'HEAD OF THE FAMILY'!B1829:J1934,9,FALSE)</f>
        <v>#REF!</v>
      </c>
      <c r="E832" s="3"/>
      <c r="F832" s="3"/>
      <c r="G832" s="7"/>
      <c r="H832" s="7"/>
      <c r="I832" s="7"/>
      <c r="J832" s="60"/>
      <c r="K832" s="60" t="str">
        <f t="shared" si="2"/>
        <v/>
      </c>
    </row>
    <row r="833">
      <c r="A833" s="61" t="str">
        <f t="shared" si="1"/>
        <v/>
      </c>
      <c r="B833" s="73"/>
      <c r="C833" s="76"/>
      <c r="D833" s="76" t="str">
        <f>VLOOKUP(B833,'HEAD OF THE FAMILY'!B1830:J1934,9,FALSE)</f>
        <v>#REF!</v>
      </c>
      <c r="E833" s="3"/>
      <c r="F833" s="3"/>
      <c r="G833" s="7"/>
      <c r="H833" s="7"/>
      <c r="I833" s="7"/>
      <c r="J833" s="60"/>
      <c r="K833" s="60" t="str">
        <f t="shared" si="2"/>
        <v/>
      </c>
    </row>
    <row r="834">
      <c r="A834" s="61" t="str">
        <f t="shared" si="1"/>
        <v/>
      </c>
      <c r="B834" s="73"/>
      <c r="C834" s="76"/>
      <c r="D834" s="76" t="str">
        <f>VLOOKUP(B834,'HEAD OF THE FAMILY'!B1831:J1934,9,FALSE)</f>
        <v>#REF!</v>
      </c>
      <c r="E834" s="3"/>
      <c r="F834" s="3"/>
      <c r="G834" s="7"/>
      <c r="H834" s="7"/>
      <c r="I834" s="7"/>
      <c r="J834" s="60"/>
      <c r="K834" s="60" t="str">
        <f t="shared" si="2"/>
        <v/>
      </c>
    </row>
    <row r="835">
      <c r="A835" s="61" t="str">
        <f t="shared" si="1"/>
        <v/>
      </c>
      <c r="B835" s="73"/>
      <c r="C835" s="76"/>
      <c r="D835" s="76" t="str">
        <f>VLOOKUP(B835,'HEAD OF THE FAMILY'!B1832:J1934,9,FALSE)</f>
        <v>#REF!</v>
      </c>
      <c r="E835" s="3"/>
      <c r="F835" s="3"/>
      <c r="G835" s="7"/>
      <c r="H835" s="7"/>
      <c r="I835" s="7"/>
      <c r="J835" s="60"/>
      <c r="K835" s="60" t="str">
        <f t="shared" si="2"/>
        <v/>
      </c>
    </row>
    <row r="836">
      <c r="A836" s="61" t="str">
        <f t="shared" si="1"/>
        <v/>
      </c>
      <c r="B836" s="73"/>
      <c r="C836" s="76"/>
      <c r="D836" s="76" t="str">
        <f>VLOOKUP(B836,'HEAD OF THE FAMILY'!B1833:J1934,9,FALSE)</f>
        <v>#REF!</v>
      </c>
      <c r="E836" s="3"/>
      <c r="F836" s="3"/>
      <c r="G836" s="7"/>
      <c r="H836" s="7"/>
      <c r="I836" s="7"/>
      <c r="J836" s="60"/>
      <c r="K836" s="60" t="str">
        <f t="shared" si="2"/>
        <v/>
      </c>
    </row>
    <row r="837">
      <c r="A837" s="61" t="str">
        <f t="shared" si="1"/>
        <v/>
      </c>
      <c r="B837" s="73"/>
      <c r="C837" s="76"/>
      <c r="D837" s="76" t="str">
        <f>VLOOKUP(B837,'HEAD OF THE FAMILY'!B1834:J1934,9,FALSE)</f>
        <v>#REF!</v>
      </c>
      <c r="E837" s="3"/>
      <c r="F837" s="3"/>
      <c r="G837" s="7"/>
      <c r="H837" s="7"/>
      <c r="I837" s="7"/>
      <c r="J837" s="60"/>
      <c r="K837" s="60" t="str">
        <f t="shared" si="2"/>
        <v/>
      </c>
    </row>
    <row r="838">
      <c r="A838" s="61" t="str">
        <f t="shared" si="1"/>
        <v/>
      </c>
      <c r="B838" s="73"/>
      <c r="C838" s="76"/>
      <c r="D838" s="76" t="str">
        <f>VLOOKUP(B838,'HEAD OF THE FAMILY'!B1835:J1934,9,FALSE)</f>
        <v>#REF!</v>
      </c>
      <c r="E838" s="3"/>
      <c r="F838" s="3"/>
      <c r="G838" s="7"/>
      <c r="H838" s="7"/>
      <c r="I838" s="7"/>
      <c r="J838" s="60"/>
      <c r="K838" s="60" t="str">
        <f t="shared" si="2"/>
        <v/>
      </c>
    </row>
    <row r="839">
      <c r="A839" s="61" t="str">
        <f t="shared" si="1"/>
        <v/>
      </c>
      <c r="B839" s="73"/>
      <c r="C839" s="76"/>
      <c r="D839" s="76" t="str">
        <f>VLOOKUP(B839,'HEAD OF THE FAMILY'!B1836:J1934,9,FALSE)</f>
        <v>#REF!</v>
      </c>
      <c r="E839" s="3"/>
      <c r="F839" s="3"/>
      <c r="G839" s="7"/>
      <c r="H839" s="7"/>
      <c r="I839" s="7"/>
      <c r="J839" s="60"/>
      <c r="K839" s="60" t="str">
        <f t="shared" si="2"/>
        <v/>
      </c>
    </row>
    <row r="840">
      <c r="A840" s="61" t="str">
        <f t="shared" si="1"/>
        <v/>
      </c>
      <c r="B840" s="73"/>
      <c r="C840" s="76"/>
      <c r="D840" s="76" t="str">
        <f>VLOOKUP(B840,'HEAD OF THE FAMILY'!B1837:J1934,9,FALSE)</f>
        <v>#REF!</v>
      </c>
      <c r="E840" s="3"/>
      <c r="F840" s="3"/>
      <c r="G840" s="7"/>
      <c r="H840" s="7"/>
      <c r="I840" s="7"/>
      <c r="J840" s="60"/>
      <c r="K840" s="60" t="str">
        <f t="shared" si="2"/>
        <v/>
      </c>
    </row>
    <row r="841">
      <c r="A841" s="61" t="str">
        <f t="shared" si="1"/>
        <v/>
      </c>
      <c r="B841" s="73"/>
      <c r="C841" s="76"/>
      <c r="D841" s="76" t="str">
        <f>VLOOKUP(B841,'HEAD OF THE FAMILY'!B1838:J1934,9,FALSE)</f>
        <v>#REF!</v>
      </c>
      <c r="E841" s="3"/>
      <c r="F841" s="3"/>
      <c r="G841" s="7"/>
      <c r="H841" s="7"/>
      <c r="I841" s="7"/>
      <c r="J841" s="60"/>
      <c r="K841" s="60" t="str">
        <f t="shared" si="2"/>
        <v/>
      </c>
    </row>
    <row r="842">
      <c r="A842" s="61" t="str">
        <f t="shared" si="1"/>
        <v/>
      </c>
      <c r="B842" s="73"/>
      <c r="C842" s="76"/>
      <c r="D842" s="76" t="str">
        <f>VLOOKUP(B842,'HEAD OF THE FAMILY'!B1839:J1934,9,FALSE)</f>
        <v>#REF!</v>
      </c>
      <c r="E842" s="3"/>
      <c r="F842" s="3"/>
      <c r="G842" s="7"/>
      <c r="H842" s="7"/>
      <c r="I842" s="7"/>
      <c r="J842" s="60"/>
      <c r="K842" s="60" t="str">
        <f t="shared" si="2"/>
        <v/>
      </c>
    </row>
    <row r="843">
      <c r="A843" s="61" t="str">
        <f t="shared" si="1"/>
        <v/>
      </c>
      <c r="B843" s="73"/>
      <c r="C843" s="76"/>
      <c r="D843" s="76" t="str">
        <f>VLOOKUP(B843,'HEAD OF THE FAMILY'!B1840:J1934,9,FALSE)</f>
        <v>#REF!</v>
      </c>
      <c r="E843" s="3"/>
      <c r="F843" s="3"/>
      <c r="G843" s="7"/>
      <c r="H843" s="7"/>
      <c r="I843" s="7"/>
      <c r="J843" s="60"/>
      <c r="K843" s="60" t="str">
        <f t="shared" si="2"/>
        <v/>
      </c>
    </row>
    <row r="844">
      <c r="A844" s="61" t="str">
        <f t="shared" si="1"/>
        <v/>
      </c>
      <c r="B844" s="73"/>
      <c r="C844" s="76"/>
      <c r="D844" s="76" t="str">
        <f>VLOOKUP(B844,'HEAD OF THE FAMILY'!B1841:J1934,9,FALSE)</f>
        <v>#REF!</v>
      </c>
      <c r="E844" s="3"/>
      <c r="F844" s="3"/>
      <c r="G844" s="7"/>
      <c r="H844" s="7"/>
      <c r="I844" s="7"/>
      <c r="J844" s="60"/>
      <c r="K844" s="60" t="str">
        <f t="shared" si="2"/>
        <v/>
      </c>
    </row>
    <row r="845">
      <c r="A845" s="61" t="str">
        <f t="shared" si="1"/>
        <v/>
      </c>
      <c r="B845" s="73"/>
      <c r="C845" s="76"/>
      <c r="D845" s="76" t="str">
        <f>VLOOKUP(B845,'HEAD OF THE FAMILY'!B1842:J1934,9,FALSE)</f>
        <v>#REF!</v>
      </c>
      <c r="E845" s="3"/>
      <c r="F845" s="3"/>
      <c r="G845" s="7"/>
      <c r="H845" s="7"/>
      <c r="I845" s="7"/>
      <c r="J845" s="60"/>
      <c r="K845" s="60" t="str">
        <f t="shared" si="2"/>
        <v/>
      </c>
    </row>
    <row r="846">
      <c r="A846" s="61" t="str">
        <f t="shared" si="1"/>
        <v/>
      </c>
      <c r="B846" s="73"/>
      <c r="C846" s="76"/>
      <c r="D846" s="76" t="str">
        <f>VLOOKUP(B846,'HEAD OF THE FAMILY'!B1843:J1934,9,FALSE)</f>
        <v>#REF!</v>
      </c>
      <c r="E846" s="3"/>
      <c r="F846" s="3"/>
      <c r="G846" s="7"/>
      <c r="H846" s="7"/>
      <c r="I846" s="7"/>
      <c r="J846" s="60"/>
      <c r="K846" s="60" t="str">
        <f t="shared" si="2"/>
        <v/>
      </c>
    </row>
    <row r="847">
      <c r="A847" s="61" t="str">
        <f t="shared" si="1"/>
        <v/>
      </c>
      <c r="B847" s="73"/>
      <c r="C847" s="76"/>
      <c r="D847" s="76" t="str">
        <f>VLOOKUP(B847,'HEAD OF THE FAMILY'!B1844:J1934,9,FALSE)</f>
        <v>#REF!</v>
      </c>
      <c r="E847" s="3"/>
      <c r="F847" s="3"/>
      <c r="G847" s="7"/>
      <c r="H847" s="7"/>
      <c r="I847" s="7"/>
      <c r="J847" s="60"/>
      <c r="K847" s="60" t="str">
        <f t="shared" si="2"/>
        <v/>
      </c>
    </row>
    <row r="848">
      <c r="A848" s="61" t="str">
        <f t="shared" si="1"/>
        <v/>
      </c>
      <c r="B848" s="73"/>
      <c r="C848" s="76"/>
      <c r="D848" s="76" t="str">
        <f>VLOOKUP(B848,'HEAD OF THE FAMILY'!B1845:J1934,9,FALSE)</f>
        <v>#REF!</v>
      </c>
      <c r="E848" s="3"/>
      <c r="F848" s="3"/>
      <c r="G848" s="7"/>
      <c r="H848" s="7"/>
      <c r="I848" s="7"/>
      <c r="J848" s="60"/>
      <c r="K848" s="60" t="str">
        <f t="shared" si="2"/>
        <v/>
      </c>
    </row>
    <row r="849">
      <c r="A849" s="61" t="str">
        <f t="shared" si="1"/>
        <v/>
      </c>
      <c r="B849" s="73"/>
      <c r="C849" s="76"/>
      <c r="D849" s="76" t="str">
        <f>VLOOKUP(B849,'HEAD OF THE FAMILY'!B1846:J1934,9,FALSE)</f>
        <v>#REF!</v>
      </c>
      <c r="E849" s="3"/>
      <c r="F849" s="3"/>
      <c r="G849" s="7"/>
      <c r="H849" s="7"/>
      <c r="I849" s="7"/>
      <c r="J849" s="60"/>
      <c r="K849" s="60" t="str">
        <f t="shared" si="2"/>
        <v/>
      </c>
    </row>
    <row r="850">
      <c r="A850" s="61" t="str">
        <f t="shared" si="1"/>
        <v/>
      </c>
      <c r="B850" s="73"/>
      <c r="C850" s="76"/>
      <c r="D850" s="76" t="str">
        <f>VLOOKUP(B850,'HEAD OF THE FAMILY'!B1847:J1934,9,FALSE)</f>
        <v>#REF!</v>
      </c>
      <c r="E850" s="3"/>
      <c r="F850" s="3"/>
      <c r="G850" s="7"/>
      <c r="H850" s="7"/>
      <c r="I850" s="7"/>
      <c r="J850" s="60"/>
      <c r="K850" s="60" t="str">
        <f t="shared" si="2"/>
        <v/>
      </c>
    </row>
    <row r="851">
      <c r="A851" s="61" t="str">
        <f t="shared" si="1"/>
        <v/>
      </c>
      <c r="B851" s="73"/>
      <c r="C851" s="76"/>
      <c r="D851" s="76" t="str">
        <f>VLOOKUP(B851,'HEAD OF THE FAMILY'!B1848:J1934,9,FALSE)</f>
        <v>#REF!</v>
      </c>
      <c r="E851" s="3"/>
      <c r="F851" s="3"/>
      <c r="G851" s="7"/>
      <c r="H851" s="7"/>
      <c r="I851" s="7"/>
      <c r="J851" s="60"/>
      <c r="K851" s="60" t="str">
        <f t="shared" si="2"/>
        <v/>
      </c>
    </row>
    <row r="852">
      <c r="A852" s="61" t="str">
        <f t="shared" si="1"/>
        <v/>
      </c>
      <c r="B852" s="73"/>
      <c r="C852" s="76"/>
      <c r="D852" s="76" t="str">
        <f>VLOOKUP(B852,'HEAD OF THE FAMILY'!B1849:J1934,9,FALSE)</f>
        <v>#REF!</v>
      </c>
      <c r="E852" s="3"/>
      <c r="F852" s="3"/>
      <c r="G852" s="7"/>
      <c r="H852" s="7"/>
      <c r="I852" s="7"/>
      <c r="J852" s="60"/>
      <c r="K852" s="60" t="str">
        <f t="shared" si="2"/>
        <v/>
      </c>
    </row>
    <row r="853">
      <c r="A853" s="61" t="str">
        <f t="shared" si="1"/>
        <v/>
      </c>
      <c r="B853" s="73"/>
      <c r="C853" s="76"/>
      <c r="D853" s="76" t="str">
        <f>VLOOKUP(B853,'HEAD OF THE FAMILY'!B1850:J1934,9,FALSE)</f>
        <v>#REF!</v>
      </c>
      <c r="E853" s="3"/>
      <c r="F853" s="3"/>
      <c r="G853" s="7"/>
      <c r="H853" s="7"/>
      <c r="I853" s="7"/>
      <c r="J853" s="60"/>
      <c r="K853" s="60" t="str">
        <f t="shared" si="2"/>
        <v/>
      </c>
    </row>
    <row r="854">
      <c r="A854" s="61" t="str">
        <f t="shared" si="1"/>
        <v/>
      </c>
      <c r="B854" s="73"/>
      <c r="C854" s="76"/>
      <c r="D854" s="76" t="str">
        <f>VLOOKUP(B854,'HEAD OF THE FAMILY'!B1851:J1934,9,FALSE)</f>
        <v>#REF!</v>
      </c>
      <c r="E854" s="3"/>
      <c r="F854" s="3"/>
      <c r="G854" s="7"/>
      <c r="H854" s="7"/>
      <c r="I854" s="7"/>
      <c r="J854" s="60"/>
      <c r="K854" s="60" t="str">
        <f t="shared" si="2"/>
        <v/>
      </c>
    </row>
    <row r="855">
      <c r="A855" s="61" t="str">
        <f t="shared" si="1"/>
        <v/>
      </c>
      <c r="B855" s="73"/>
      <c r="C855" s="76"/>
      <c r="D855" s="76" t="str">
        <f>VLOOKUP(B855,'HEAD OF THE FAMILY'!B1852:J1934,9,FALSE)</f>
        <v>#REF!</v>
      </c>
      <c r="E855" s="3"/>
      <c r="F855" s="3"/>
      <c r="G855" s="7"/>
      <c r="H855" s="7"/>
      <c r="I855" s="7"/>
      <c r="J855" s="60"/>
      <c r="K855" s="60" t="str">
        <f t="shared" si="2"/>
        <v/>
      </c>
    </row>
    <row r="856">
      <c r="A856" s="61" t="str">
        <f t="shared" si="1"/>
        <v/>
      </c>
      <c r="B856" s="73"/>
      <c r="C856" s="76"/>
      <c r="D856" s="76" t="str">
        <f>VLOOKUP(B856,'HEAD OF THE FAMILY'!B1853:J1934,9,FALSE)</f>
        <v>#REF!</v>
      </c>
      <c r="E856" s="3"/>
      <c r="F856" s="3"/>
      <c r="G856" s="7"/>
      <c r="H856" s="7"/>
      <c r="I856" s="7"/>
      <c r="J856" s="60"/>
      <c r="K856" s="60" t="str">
        <f t="shared" si="2"/>
        <v/>
      </c>
    </row>
    <row r="857">
      <c r="A857" s="61" t="str">
        <f t="shared" si="1"/>
        <v/>
      </c>
      <c r="B857" s="73"/>
      <c r="C857" s="76"/>
      <c r="D857" s="76" t="str">
        <f>VLOOKUP(B857,'HEAD OF THE FAMILY'!B1854:J1934,9,FALSE)</f>
        <v>#REF!</v>
      </c>
      <c r="E857" s="3"/>
      <c r="F857" s="3"/>
      <c r="G857" s="7"/>
      <c r="H857" s="7"/>
      <c r="I857" s="7"/>
      <c r="J857" s="60"/>
      <c r="K857" s="60" t="str">
        <f t="shared" si="2"/>
        <v/>
      </c>
    </row>
    <row r="858">
      <c r="A858" s="61" t="str">
        <f t="shared" si="1"/>
        <v/>
      </c>
      <c r="B858" s="73"/>
      <c r="C858" s="76"/>
      <c r="D858" s="76" t="str">
        <f>VLOOKUP(B858,'HEAD OF THE FAMILY'!B1855:J1934,9,FALSE)</f>
        <v>#REF!</v>
      </c>
      <c r="E858" s="3"/>
      <c r="F858" s="3"/>
      <c r="G858" s="7"/>
      <c r="H858" s="7"/>
      <c r="I858" s="7"/>
      <c r="J858" s="60"/>
      <c r="K858" s="60" t="str">
        <f t="shared" si="2"/>
        <v/>
      </c>
    </row>
    <row r="859">
      <c r="A859" s="61" t="str">
        <f t="shared" si="1"/>
        <v/>
      </c>
      <c r="B859" s="73"/>
      <c r="C859" s="76"/>
      <c r="D859" s="76" t="str">
        <f>VLOOKUP(B859,'HEAD OF THE FAMILY'!B1856:J1934,9,FALSE)</f>
        <v>#REF!</v>
      </c>
      <c r="E859" s="3"/>
      <c r="F859" s="3"/>
      <c r="G859" s="7"/>
      <c r="H859" s="7"/>
      <c r="I859" s="7"/>
      <c r="J859" s="60"/>
      <c r="K859" s="60" t="str">
        <f t="shared" si="2"/>
        <v/>
      </c>
    </row>
    <row r="860">
      <c r="A860" s="61" t="str">
        <f t="shared" si="1"/>
        <v/>
      </c>
      <c r="B860" s="73"/>
      <c r="C860" s="76"/>
      <c r="D860" s="76" t="str">
        <f>VLOOKUP(B860,'HEAD OF THE FAMILY'!B1857:J1934,9,FALSE)</f>
        <v>#REF!</v>
      </c>
      <c r="E860" s="3"/>
      <c r="F860" s="3"/>
      <c r="G860" s="7"/>
      <c r="H860" s="7"/>
      <c r="I860" s="7"/>
      <c r="J860" s="60"/>
      <c r="K860" s="60" t="str">
        <f t="shared" si="2"/>
        <v/>
      </c>
    </row>
    <row r="861">
      <c r="A861" s="61" t="str">
        <f t="shared" si="1"/>
        <v/>
      </c>
      <c r="B861" s="73"/>
      <c r="C861" s="76"/>
      <c r="D861" s="76" t="str">
        <f>VLOOKUP(B861,'HEAD OF THE FAMILY'!B1858:J1934,9,FALSE)</f>
        <v>#REF!</v>
      </c>
      <c r="E861" s="3"/>
      <c r="F861" s="3"/>
      <c r="G861" s="7"/>
      <c r="H861" s="7"/>
      <c r="I861" s="7"/>
      <c r="J861" s="60"/>
      <c r="K861" s="60" t="str">
        <f t="shared" si="2"/>
        <v/>
      </c>
    </row>
    <row r="862">
      <c r="A862" s="61" t="str">
        <f t="shared" si="1"/>
        <v/>
      </c>
      <c r="B862" s="73"/>
      <c r="C862" s="76"/>
      <c r="D862" s="76" t="str">
        <f>VLOOKUP(B862,'HEAD OF THE FAMILY'!B1859:J1934,9,FALSE)</f>
        <v>#REF!</v>
      </c>
      <c r="E862" s="3"/>
      <c r="F862" s="3"/>
      <c r="G862" s="7"/>
      <c r="H862" s="7"/>
      <c r="I862" s="7"/>
      <c r="J862" s="60"/>
      <c r="K862" s="60" t="str">
        <f t="shared" si="2"/>
        <v/>
      </c>
    </row>
    <row r="863">
      <c r="A863" s="61" t="str">
        <f t="shared" si="1"/>
        <v/>
      </c>
      <c r="B863" s="73"/>
      <c r="C863" s="76"/>
      <c r="D863" s="76" t="str">
        <f>VLOOKUP(B863,'HEAD OF THE FAMILY'!B1860:J1934,9,FALSE)</f>
        <v>#REF!</v>
      </c>
      <c r="E863" s="3"/>
      <c r="F863" s="3"/>
      <c r="G863" s="7"/>
      <c r="H863" s="7"/>
      <c r="I863" s="7"/>
      <c r="J863" s="60"/>
      <c r="K863" s="60" t="str">
        <f t="shared" si="2"/>
        <v/>
      </c>
    </row>
    <row r="864">
      <c r="A864" s="61" t="str">
        <f t="shared" si="1"/>
        <v/>
      </c>
      <c r="B864" s="73"/>
      <c r="C864" s="76"/>
      <c r="D864" s="76" t="str">
        <f>VLOOKUP(B864,'HEAD OF THE FAMILY'!B1861:J1934,9,FALSE)</f>
        <v>#REF!</v>
      </c>
      <c r="E864" s="3"/>
      <c r="F864" s="3"/>
      <c r="G864" s="7"/>
      <c r="H864" s="7"/>
      <c r="I864" s="7"/>
      <c r="J864" s="60"/>
      <c r="K864" s="60" t="str">
        <f t="shared" si="2"/>
        <v/>
      </c>
    </row>
    <row r="865">
      <c r="A865" s="61" t="str">
        <f t="shared" si="1"/>
        <v/>
      </c>
      <c r="B865" s="73"/>
      <c r="C865" s="76"/>
      <c r="D865" s="76" t="str">
        <f>VLOOKUP(B865,'HEAD OF THE FAMILY'!B1862:J1934,9,FALSE)</f>
        <v>#REF!</v>
      </c>
      <c r="E865" s="3"/>
      <c r="F865" s="3"/>
      <c r="G865" s="7"/>
      <c r="H865" s="7"/>
      <c r="I865" s="7"/>
      <c r="J865" s="60"/>
      <c r="K865" s="60" t="str">
        <f t="shared" si="2"/>
        <v/>
      </c>
    </row>
    <row r="866">
      <c r="A866" s="61" t="str">
        <f t="shared" si="1"/>
        <v/>
      </c>
      <c r="B866" s="73"/>
      <c r="C866" s="76"/>
      <c r="D866" s="76" t="str">
        <f>VLOOKUP(B866,'HEAD OF THE FAMILY'!B1863:J1934,9,FALSE)</f>
        <v>#REF!</v>
      </c>
      <c r="E866" s="3"/>
      <c r="F866" s="3"/>
      <c r="G866" s="7"/>
      <c r="H866" s="7"/>
      <c r="I866" s="7"/>
      <c r="J866" s="60"/>
      <c r="K866" s="60" t="str">
        <f t="shared" si="2"/>
        <v/>
      </c>
    </row>
    <row r="867">
      <c r="A867" s="61" t="str">
        <f t="shared" si="1"/>
        <v/>
      </c>
      <c r="B867" s="73"/>
      <c r="C867" s="76"/>
      <c r="D867" s="76" t="str">
        <f>VLOOKUP(B867,'HEAD OF THE FAMILY'!B1864:J1934,9,FALSE)</f>
        <v>#REF!</v>
      </c>
      <c r="E867" s="3"/>
      <c r="F867" s="3"/>
      <c r="G867" s="7"/>
      <c r="H867" s="7"/>
      <c r="I867" s="7"/>
      <c r="J867" s="60"/>
      <c r="K867" s="60" t="str">
        <f t="shared" si="2"/>
        <v/>
      </c>
    </row>
    <row r="868">
      <c r="A868" s="61" t="str">
        <f t="shared" si="1"/>
        <v/>
      </c>
      <c r="B868" s="73"/>
      <c r="C868" s="76"/>
      <c r="D868" s="76" t="str">
        <f>VLOOKUP(B868,'HEAD OF THE FAMILY'!B1865:J1934,9,FALSE)</f>
        <v>#REF!</v>
      </c>
      <c r="E868" s="3"/>
      <c r="F868" s="3"/>
      <c r="G868" s="7"/>
      <c r="H868" s="7"/>
      <c r="I868" s="7"/>
      <c r="J868" s="60"/>
      <c r="K868" s="60" t="str">
        <f t="shared" si="2"/>
        <v/>
      </c>
    </row>
    <row r="869">
      <c r="A869" s="61" t="str">
        <f t="shared" si="1"/>
        <v/>
      </c>
      <c r="B869" s="73"/>
      <c r="C869" s="76"/>
      <c r="D869" s="76" t="str">
        <f>VLOOKUP(B869,'HEAD OF THE FAMILY'!B1866:J1934,9,FALSE)</f>
        <v>#REF!</v>
      </c>
      <c r="E869" s="3"/>
      <c r="F869" s="3"/>
      <c r="G869" s="7"/>
      <c r="H869" s="7"/>
      <c r="I869" s="7"/>
      <c r="J869" s="60"/>
      <c r="K869" s="60" t="str">
        <f t="shared" si="2"/>
        <v/>
      </c>
    </row>
    <row r="870">
      <c r="A870" s="61" t="str">
        <f t="shared" si="1"/>
        <v/>
      </c>
      <c r="B870" s="73"/>
      <c r="C870" s="76"/>
      <c r="D870" s="76" t="str">
        <f>VLOOKUP(B870,'HEAD OF THE FAMILY'!B1867:J1934,9,FALSE)</f>
        <v>#REF!</v>
      </c>
      <c r="E870" s="3"/>
      <c r="F870" s="3"/>
      <c r="G870" s="7"/>
      <c r="H870" s="7"/>
      <c r="I870" s="7"/>
      <c r="J870" s="60"/>
      <c r="K870" s="60" t="str">
        <f t="shared" si="2"/>
        <v/>
      </c>
    </row>
    <row r="871">
      <c r="A871" s="61" t="str">
        <f t="shared" si="1"/>
        <v/>
      </c>
      <c r="B871" s="73"/>
      <c r="C871" s="76"/>
      <c r="D871" s="76" t="str">
        <f>VLOOKUP(B871,'HEAD OF THE FAMILY'!B1868:J1934,9,FALSE)</f>
        <v>#REF!</v>
      </c>
      <c r="E871" s="3"/>
      <c r="F871" s="3"/>
      <c r="G871" s="7"/>
      <c r="H871" s="7"/>
      <c r="I871" s="7"/>
      <c r="J871" s="60"/>
      <c r="K871" s="60" t="str">
        <f t="shared" si="2"/>
        <v/>
      </c>
    </row>
    <row r="872">
      <c r="A872" s="61" t="str">
        <f t="shared" si="1"/>
        <v/>
      </c>
      <c r="B872" s="73"/>
      <c r="C872" s="76"/>
      <c r="D872" s="76" t="str">
        <f>VLOOKUP(B872,'HEAD OF THE FAMILY'!B1869:J1934,9,FALSE)</f>
        <v>#REF!</v>
      </c>
      <c r="E872" s="3"/>
      <c r="F872" s="3"/>
      <c r="G872" s="7"/>
      <c r="H872" s="7"/>
      <c r="I872" s="7"/>
      <c r="J872" s="60"/>
      <c r="K872" s="60" t="str">
        <f t="shared" si="2"/>
        <v/>
      </c>
    </row>
    <row r="873">
      <c r="A873" s="61" t="str">
        <f t="shared" si="1"/>
        <v/>
      </c>
      <c r="B873" s="73"/>
      <c r="C873" s="76"/>
      <c r="D873" s="76" t="str">
        <f>VLOOKUP(B873,'HEAD OF THE FAMILY'!B1870:J1934,9,FALSE)</f>
        <v>#REF!</v>
      </c>
      <c r="E873" s="3"/>
      <c r="F873" s="3"/>
      <c r="G873" s="7"/>
      <c r="H873" s="7"/>
      <c r="I873" s="7"/>
      <c r="J873" s="60"/>
      <c r="K873" s="60" t="str">
        <f t="shared" si="2"/>
        <v/>
      </c>
    </row>
    <row r="874">
      <c r="A874" s="61" t="str">
        <f t="shared" si="1"/>
        <v/>
      </c>
      <c r="B874" s="73"/>
      <c r="C874" s="76"/>
      <c r="D874" s="76" t="str">
        <f>VLOOKUP(B874,'HEAD OF THE FAMILY'!B1871:J1934,9,FALSE)</f>
        <v>#REF!</v>
      </c>
      <c r="E874" s="3"/>
      <c r="F874" s="3"/>
      <c r="G874" s="7"/>
      <c r="H874" s="7"/>
      <c r="I874" s="7"/>
      <c r="J874" s="60"/>
      <c r="K874" s="60" t="str">
        <f t="shared" si="2"/>
        <v/>
      </c>
    </row>
    <row r="875">
      <c r="A875" s="61" t="str">
        <f t="shared" si="1"/>
        <v/>
      </c>
      <c r="B875" s="73"/>
      <c r="C875" s="76"/>
      <c r="D875" s="76" t="str">
        <f>VLOOKUP(B875,'HEAD OF THE FAMILY'!B1872:J1934,9,FALSE)</f>
        <v>#REF!</v>
      </c>
      <c r="E875" s="3"/>
      <c r="F875" s="3"/>
      <c r="G875" s="7"/>
      <c r="H875" s="7"/>
      <c r="I875" s="7"/>
      <c r="J875" s="60"/>
      <c r="K875" s="60" t="str">
        <f t="shared" si="2"/>
        <v/>
      </c>
    </row>
    <row r="876">
      <c r="A876" s="61" t="str">
        <f t="shared" si="1"/>
        <v/>
      </c>
      <c r="B876" s="73"/>
      <c r="C876" s="76"/>
      <c r="D876" s="76" t="str">
        <f>VLOOKUP(B876,'HEAD OF THE FAMILY'!B1873:J1934,9,FALSE)</f>
        <v>#REF!</v>
      </c>
      <c r="E876" s="3"/>
      <c r="F876" s="3"/>
      <c r="G876" s="7"/>
      <c r="H876" s="7"/>
      <c r="I876" s="7"/>
      <c r="J876" s="60"/>
      <c r="K876" s="60" t="str">
        <f t="shared" si="2"/>
        <v/>
      </c>
    </row>
    <row r="877">
      <c r="A877" s="61" t="str">
        <f t="shared" si="1"/>
        <v/>
      </c>
      <c r="B877" s="73"/>
      <c r="C877" s="76"/>
      <c r="D877" s="76" t="str">
        <f>VLOOKUP(B877,'HEAD OF THE FAMILY'!B1874:J1934,9,FALSE)</f>
        <v>#REF!</v>
      </c>
      <c r="E877" s="3"/>
      <c r="F877" s="3"/>
      <c r="G877" s="7"/>
      <c r="H877" s="7"/>
      <c r="I877" s="7"/>
      <c r="J877" s="60"/>
      <c r="K877" s="60" t="str">
        <f t="shared" si="2"/>
        <v/>
      </c>
    </row>
    <row r="878">
      <c r="A878" s="61" t="str">
        <f t="shared" si="1"/>
        <v/>
      </c>
      <c r="B878" s="73"/>
      <c r="C878" s="76"/>
      <c r="D878" s="76" t="str">
        <f>VLOOKUP(B878,'HEAD OF THE FAMILY'!B1875:J1934,9,FALSE)</f>
        <v>#REF!</v>
      </c>
      <c r="E878" s="3"/>
      <c r="F878" s="3"/>
      <c r="G878" s="7"/>
      <c r="H878" s="7"/>
      <c r="I878" s="7"/>
      <c r="J878" s="60"/>
      <c r="K878" s="60" t="str">
        <f t="shared" si="2"/>
        <v/>
      </c>
    </row>
    <row r="879">
      <c r="A879" s="61" t="str">
        <f t="shared" si="1"/>
        <v/>
      </c>
      <c r="B879" s="73"/>
      <c r="C879" s="76"/>
      <c r="D879" s="76" t="str">
        <f>VLOOKUP(B879,'HEAD OF THE FAMILY'!B1876:J1934,9,FALSE)</f>
        <v>#REF!</v>
      </c>
      <c r="E879" s="3"/>
      <c r="F879" s="3"/>
      <c r="G879" s="7"/>
      <c r="H879" s="7"/>
      <c r="I879" s="7"/>
      <c r="J879" s="60"/>
      <c r="K879" s="60" t="str">
        <f t="shared" si="2"/>
        <v/>
      </c>
    </row>
    <row r="880">
      <c r="A880" s="61" t="str">
        <f t="shared" si="1"/>
        <v/>
      </c>
      <c r="B880" s="73"/>
      <c r="C880" s="76"/>
      <c r="D880" s="76" t="str">
        <f>VLOOKUP(B880,'HEAD OF THE FAMILY'!B1877:J1934,9,FALSE)</f>
        <v>#REF!</v>
      </c>
      <c r="E880" s="3"/>
      <c r="F880" s="3"/>
      <c r="G880" s="7"/>
      <c r="H880" s="7"/>
      <c r="I880" s="7"/>
      <c r="J880" s="60"/>
      <c r="K880" s="60" t="str">
        <f t="shared" si="2"/>
        <v/>
      </c>
    </row>
    <row r="881">
      <c r="A881" s="61" t="str">
        <f t="shared" si="1"/>
        <v/>
      </c>
      <c r="B881" s="73"/>
      <c r="C881" s="76"/>
      <c r="D881" s="76" t="str">
        <f>VLOOKUP(B881,'HEAD OF THE FAMILY'!B1878:J1934,9,FALSE)</f>
        <v>#REF!</v>
      </c>
      <c r="E881" s="3"/>
      <c r="F881" s="3"/>
      <c r="G881" s="7"/>
      <c r="H881" s="7"/>
      <c r="I881" s="7"/>
      <c r="J881" s="60"/>
      <c r="K881" s="60" t="str">
        <f t="shared" si="2"/>
        <v/>
      </c>
    </row>
    <row r="882">
      <c r="A882" s="61" t="str">
        <f t="shared" si="1"/>
        <v/>
      </c>
      <c r="B882" s="73"/>
      <c r="C882" s="76"/>
      <c r="D882" s="76" t="str">
        <f>VLOOKUP(B882,'HEAD OF THE FAMILY'!B1879:J1934,9,FALSE)</f>
        <v>#REF!</v>
      </c>
      <c r="E882" s="3"/>
      <c r="F882" s="3"/>
      <c r="G882" s="7"/>
      <c r="H882" s="7"/>
      <c r="I882" s="7"/>
      <c r="J882" s="60"/>
      <c r="K882" s="60" t="str">
        <f t="shared" si="2"/>
        <v/>
      </c>
    </row>
    <row r="883">
      <c r="A883" s="61" t="str">
        <f t="shared" si="1"/>
        <v/>
      </c>
      <c r="B883" s="73"/>
      <c r="C883" s="76"/>
      <c r="D883" s="76" t="str">
        <f>VLOOKUP(B883,'HEAD OF THE FAMILY'!B1880:J1934,9,FALSE)</f>
        <v>#REF!</v>
      </c>
      <c r="E883" s="3"/>
      <c r="F883" s="3"/>
      <c r="G883" s="7"/>
      <c r="H883" s="7"/>
      <c r="I883" s="7"/>
      <c r="J883" s="60"/>
      <c r="K883" s="60" t="str">
        <f t="shared" si="2"/>
        <v/>
      </c>
    </row>
    <row r="884">
      <c r="A884" s="61" t="str">
        <f t="shared" si="1"/>
        <v/>
      </c>
      <c r="B884" s="73"/>
      <c r="C884" s="76"/>
      <c r="D884" s="76" t="str">
        <f>VLOOKUP(B884,'HEAD OF THE FAMILY'!B1881:J1934,9,FALSE)</f>
        <v>#REF!</v>
      </c>
      <c r="E884" s="3"/>
      <c r="F884" s="3"/>
      <c r="G884" s="7"/>
      <c r="H884" s="7"/>
      <c r="I884" s="7"/>
      <c r="J884" s="60"/>
      <c r="K884" s="60" t="str">
        <f t="shared" si="2"/>
        <v/>
      </c>
    </row>
    <row r="885">
      <c r="A885" s="61" t="str">
        <f t="shared" si="1"/>
        <v/>
      </c>
      <c r="B885" s="73"/>
      <c r="C885" s="76"/>
      <c r="D885" s="76" t="str">
        <f>VLOOKUP(B885,'HEAD OF THE FAMILY'!B1882:J1934,9,FALSE)</f>
        <v>#REF!</v>
      </c>
      <c r="E885" s="3"/>
      <c r="F885" s="3"/>
      <c r="G885" s="7"/>
      <c r="H885" s="7"/>
      <c r="I885" s="7"/>
      <c r="J885" s="60"/>
      <c r="K885" s="60" t="str">
        <f t="shared" si="2"/>
        <v/>
      </c>
    </row>
    <row r="886">
      <c r="A886" s="61" t="str">
        <f t="shared" si="1"/>
        <v/>
      </c>
      <c r="B886" s="73"/>
      <c r="C886" s="76"/>
      <c r="D886" s="76" t="str">
        <f>VLOOKUP(B886,'HEAD OF THE FAMILY'!B1883:J1934,9,FALSE)</f>
        <v>#REF!</v>
      </c>
      <c r="E886" s="3"/>
      <c r="F886" s="3"/>
      <c r="G886" s="7"/>
      <c r="H886" s="7"/>
      <c r="I886" s="7"/>
      <c r="J886" s="60"/>
      <c r="K886" s="60" t="str">
        <f t="shared" si="2"/>
        <v/>
      </c>
    </row>
    <row r="887">
      <c r="A887" s="61" t="str">
        <f t="shared" si="1"/>
        <v/>
      </c>
      <c r="B887" s="73"/>
      <c r="C887" s="76"/>
      <c r="D887" s="76" t="str">
        <f>VLOOKUP(B887,'HEAD OF THE FAMILY'!B1884:J1934,9,FALSE)</f>
        <v>#REF!</v>
      </c>
      <c r="E887" s="3"/>
      <c r="F887" s="3"/>
      <c r="G887" s="7"/>
      <c r="H887" s="7"/>
      <c r="I887" s="7"/>
      <c r="J887" s="60"/>
      <c r="K887" s="60" t="str">
        <f t="shared" si="2"/>
        <v/>
      </c>
    </row>
    <row r="888">
      <c r="A888" s="61" t="str">
        <f t="shared" si="1"/>
        <v/>
      </c>
      <c r="B888" s="73"/>
      <c r="C888" s="76"/>
      <c r="D888" s="76" t="str">
        <f>VLOOKUP(B888,'HEAD OF THE FAMILY'!B1885:J1934,9,FALSE)</f>
        <v>#REF!</v>
      </c>
      <c r="E888" s="3"/>
      <c r="F888" s="3"/>
      <c r="G888" s="7"/>
      <c r="H888" s="7"/>
      <c r="I888" s="7"/>
      <c r="J888" s="60"/>
      <c r="K888" s="60" t="str">
        <f t="shared" si="2"/>
        <v/>
      </c>
    </row>
    <row r="889">
      <c r="A889" s="61" t="str">
        <f t="shared" si="1"/>
        <v/>
      </c>
      <c r="B889" s="73"/>
      <c r="C889" s="76"/>
      <c r="D889" s="76" t="str">
        <f>VLOOKUP(B889,'HEAD OF THE FAMILY'!B1886:J1934,9,FALSE)</f>
        <v>#REF!</v>
      </c>
      <c r="E889" s="3"/>
      <c r="F889" s="3"/>
      <c r="G889" s="7"/>
      <c r="H889" s="7"/>
      <c r="I889" s="7"/>
      <c r="J889" s="60"/>
      <c r="K889" s="60" t="str">
        <f t="shared" si="2"/>
        <v/>
      </c>
    </row>
    <row r="890">
      <c r="A890" s="61" t="str">
        <f t="shared" si="1"/>
        <v/>
      </c>
      <c r="B890" s="73"/>
      <c r="C890" s="76"/>
      <c r="D890" s="76" t="str">
        <f>VLOOKUP(B890,'HEAD OF THE FAMILY'!B1887:J1934,9,FALSE)</f>
        <v>#REF!</v>
      </c>
      <c r="E890" s="3"/>
      <c r="F890" s="3"/>
      <c r="G890" s="7"/>
      <c r="H890" s="7"/>
      <c r="I890" s="7"/>
      <c r="J890" s="60"/>
      <c r="K890" s="60" t="str">
        <f t="shared" si="2"/>
        <v/>
      </c>
    </row>
    <row r="891">
      <c r="A891" s="61" t="str">
        <f t="shared" si="1"/>
        <v/>
      </c>
      <c r="B891" s="73"/>
      <c r="C891" s="76"/>
      <c r="D891" s="76" t="str">
        <f>VLOOKUP(B891,'HEAD OF THE FAMILY'!B1888:J1934,9,FALSE)</f>
        <v>#REF!</v>
      </c>
      <c r="E891" s="3"/>
      <c r="F891" s="3"/>
      <c r="G891" s="7"/>
      <c r="H891" s="7"/>
      <c r="I891" s="7"/>
      <c r="J891" s="60"/>
      <c r="K891" s="60" t="str">
        <f t="shared" si="2"/>
        <v/>
      </c>
    </row>
    <row r="892">
      <c r="A892" s="61" t="str">
        <f t="shared" si="1"/>
        <v/>
      </c>
      <c r="B892" s="73"/>
      <c r="C892" s="76"/>
      <c r="D892" s="76" t="str">
        <f>VLOOKUP(B892,'HEAD OF THE FAMILY'!B1889:J1934,9,FALSE)</f>
        <v>#REF!</v>
      </c>
      <c r="E892" s="3"/>
      <c r="F892" s="3"/>
      <c r="G892" s="7"/>
      <c r="H892" s="7"/>
      <c r="I892" s="7"/>
      <c r="J892" s="60"/>
      <c r="K892" s="60" t="str">
        <f t="shared" si="2"/>
        <v/>
      </c>
    </row>
    <row r="893">
      <c r="A893" s="61" t="str">
        <f t="shared" si="1"/>
        <v/>
      </c>
      <c r="B893" s="73"/>
      <c r="C893" s="76"/>
      <c r="D893" s="76" t="str">
        <f>VLOOKUP(B893,'HEAD OF THE FAMILY'!B1890:J1934,9,FALSE)</f>
        <v>#REF!</v>
      </c>
      <c r="E893" s="3"/>
      <c r="F893" s="3"/>
      <c r="G893" s="7"/>
      <c r="H893" s="7"/>
      <c r="I893" s="7"/>
      <c r="J893" s="60"/>
      <c r="K893" s="60" t="str">
        <f t="shared" si="2"/>
        <v/>
      </c>
    </row>
    <row r="894">
      <c r="A894" s="61" t="str">
        <f t="shared" si="1"/>
        <v/>
      </c>
      <c r="B894" s="73"/>
      <c r="C894" s="76"/>
      <c r="D894" s="76" t="str">
        <f>VLOOKUP(B894,'HEAD OF THE FAMILY'!B1891:J1934,9,FALSE)</f>
        <v>#REF!</v>
      </c>
      <c r="E894" s="3"/>
      <c r="F894" s="3"/>
      <c r="G894" s="7"/>
      <c r="H894" s="7"/>
      <c r="I894" s="7"/>
      <c r="J894" s="60"/>
      <c r="K894" s="60" t="str">
        <f t="shared" si="2"/>
        <v/>
      </c>
    </row>
    <row r="895">
      <c r="A895" s="61" t="str">
        <f t="shared" si="1"/>
        <v/>
      </c>
      <c r="B895" s="73"/>
      <c r="C895" s="76"/>
      <c r="D895" s="76" t="str">
        <f>VLOOKUP(B895,'HEAD OF THE FAMILY'!B1892:J1934,9,FALSE)</f>
        <v>#REF!</v>
      </c>
      <c r="E895" s="3"/>
      <c r="F895" s="3"/>
      <c r="G895" s="7"/>
      <c r="H895" s="7"/>
      <c r="I895" s="7"/>
      <c r="J895" s="60"/>
      <c r="K895" s="60" t="str">
        <f t="shared" si="2"/>
        <v/>
      </c>
    </row>
    <row r="896">
      <c r="A896" s="61" t="str">
        <f t="shared" si="1"/>
        <v/>
      </c>
      <c r="B896" s="73"/>
      <c r="C896" s="76"/>
      <c r="D896" s="76" t="str">
        <f>VLOOKUP(B896,'HEAD OF THE FAMILY'!B1893:J1934,9,FALSE)</f>
        <v>#REF!</v>
      </c>
      <c r="E896" s="3"/>
      <c r="F896" s="3"/>
      <c r="G896" s="7"/>
      <c r="H896" s="7"/>
      <c r="I896" s="7"/>
      <c r="J896" s="60"/>
      <c r="K896" s="60" t="str">
        <f t="shared" si="2"/>
        <v/>
      </c>
    </row>
    <row r="897">
      <c r="A897" s="61" t="str">
        <f t="shared" si="1"/>
        <v/>
      </c>
      <c r="B897" s="73"/>
      <c r="C897" s="76"/>
      <c r="D897" s="76" t="str">
        <f>VLOOKUP(B897,'HEAD OF THE FAMILY'!B1894:J1934,9,FALSE)</f>
        <v>#REF!</v>
      </c>
      <c r="E897" s="3"/>
      <c r="F897" s="3"/>
      <c r="G897" s="7"/>
      <c r="H897" s="7"/>
      <c r="I897" s="7"/>
      <c r="J897" s="60"/>
      <c r="K897" s="60" t="str">
        <f t="shared" si="2"/>
        <v/>
      </c>
    </row>
    <row r="898">
      <c r="A898" s="61" t="str">
        <f t="shared" si="1"/>
        <v/>
      </c>
      <c r="B898" s="73"/>
      <c r="C898" s="76"/>
      <c r="D898" s="76" t="str">
        <f>VLOOKUP(B898,'HEAD OF THE FAMILY'!B1895:J1934,9,FALSE)</f>
        <v>#REF!</v>
      </c>
      <c r="E898" s="3"/>
      <c r="F898" s="3"/>
      <c r="G898" s="7"/>
      <c r="H898" s="7"/>
      <c r="I898" s="7"/>
      <c r="J898" s="60"/>
      <c r="K898" s="60" t="str">
        <f t="shared" si="2"/>
        <v/>
      </c>
    </row>
    <row r="899">
      <c r="A899" s="61" t="str">
        <f t="shared" si="1"/>
        <v/>
      </c>
      <c r="B899" s="73"/>
      <c r="C899" s="76"/>
      <c r="D899" s="76" t="str">
        <f>VLOOKUP(B899,'HEAD OF THE FAMILY'!B1896:J1934,9,FALSE)</f>
        <v>#REF!</v>
      </c>
      <c r="E899" s="3"/>
      <c r="F899" s="3"/>
      <c r="G899" s="7"/>
      <c r="H899" s="7"/>
      <c r="I899" s="7"/>
      <c r="J899" s="60"/>
      <c r="K899" s="60" t="str">
        <f t="shared" si="2"/>
        <v/>
      </c>
    </row>
    <row r="900">
      <c r="A900" s="61" t="str">
        <f t="shared" si="1"/>
        <v/>
      </c>
      <c r="B900" s="73"/>
      <c r="C900" s="76"/>
      <c r="D900" s="76" t="str">
        <f>VLOOKUP(B900,'HEAD OF THE FAMILY'!B1897:J1934,9,FALSE)</f>
        <v>#REF!</v>
      </c>
      <c r="E900" s="3"/>
      <c r="F900" s="3"/>
      <c r="G900" s="7"/>
      <c r="H900" s="7"/>
      <c r="I900" s="7"/>
      <c r="J900" s="60"/>
      <c r="K900" s="60" t="str">
        <f t="shared" si="2"/>
        <v/>
      </c>
    </row>
    <row r="901">
      <c r="A901" s="61" t="str">
        <f t="shared" si="1"/>
        <v/>
      </c>
      <c r="B901" s="73"/>
      <c r="C901" s="76"/>
      <c r="D901" s="76" t="str">
        <f>VLOOKUP(B901,'HEAD OF THE FAMILY'!B1898:J1934,9,FALSE)</f>
        <v>#REF!</v>
      </c>
      <c r="E901" s="3"/>
      <c r="F901" s="3"/>
      <c r="G901" s="7"/>
      <c r="H901" s="7"/>
      <c r="I901" s="7"/>
      <c r="J901" s="60"/>
      <c r="K901" s="60" t="str">
        <f t="shared" si="2"/>
        <v/>
      </c>
    </row>
    <row r="902">
      <c r="A902" s="61" t="str">
        <f t="shared" si="1"/>
        <v/>
      </c>
      <c r="B902" s="73"/>
      <c r="C902" s="76"/>
      <c r="D902" s="76" t="str">
        <f>VLOOKUP(B902,'HEAD OF THE FAMILY'!B1899:J1934,9,FALSE)</f>
        <v>#REF!</v>
      </c>
      <c r="E902" s="3"/>
      <c r="F902" s="3"/>
      <c r="G902" s="7"/>
      <c r="H902" s="7"/>
      <c r="I902" s="7"/>
      <c r="J902" s="60"/>
      <c r="K902" s="60" t="str">
        <f t="shared" si="2"/>
        <v/>
      </c>
    </row>
    <row r="903">
      <c r="A903" s="61" t="str">
        <f t="shared" si="1"/>
        <v/>
      </c>
      <c r="B903" s="73"/>
      <c r="C903" s="76"/>
      <c r="D903" s="76" t="str">
        <f>VLOOKUP(B903,'HEAD OF THE FAMILY'!B1900:J1934,9,FALSE)</f>
        <v>#REF!</v>
      </c>
      <c r="E903" s="3"/>
      <c r="F903" s="3"/>
      <c r="G903" s="7"/>
      <c r="H903" s="7"/>
      <c r="I903" s="7"/>
      <c r="J903" s="60"/>
      <c r="K903" s="60" t="str">
        <f t="shared" si="2"/>
        <v/>
      </c>
    </row>
    <row r="904">
      <c r="A904" s="61" t="str">
        <f t="shared" si="1"/>
        <v/>
      </c>
      <c r="B904" s="73"/>
      <c r="C904" s="76"/>
      <c r="D904" s="76" t="str">
        <f>VLOOKUP(B904,'HEAD OF THE FAMILY'!B1901:J1934,9,FALSE)</f>
        <v>#REF!</v>
      </c>
      <c r="E904" s="3"/>
      <c r="F904" s="3"/>
      <c r="G904" s="7"/>
      <c r="H904" s="7"/>
      <c r="I904" s="7"/>
      <c r="J904" s="60"/>
      <c r="K904" s="60" t="str">
        <f t="shared" si="2"/>
        <v/>
      </c>
    </row>
    <row r="905">
      <c r="A905" s="61" t="str">
        <f t="shared" si="1"/>
        <v/>
      </c>
      <c r="B905" s="73"/>
      <c r="C905" s="76"/>
      <c r="D905" s="76" t="str">
        <f>VLOOKUP(B905,'HEAD OF THE FAMILY'!B1902:J1934,9,FALSE)</f>
        <v>#REF!</v>
      </c>
      <c r="E905" s="3"/>
      <c r="F905" s="3"/>
      <c r="G905" s="7"/>
      <c r="H905" s="7"/>
      <c r="I905" s="7"/>
      <c r="J905" s="60"/>
      <c r="K905" s="60" t="str">
        <f t="shared" si="2"/>
        <v/>
      </c>
    </row>
    <row r="906">
      <c r="A906" s="61" t="str">
        <f t="shared" si="1"/>
        <v/>
      </c>
      <c r="B906" s="73"/>
      <c r="C906" s="76"/>
      <c r="D906" s="76" t="str">
        <f>VLOOKUP(B906,'HEAD OF THE FAMILY'!B1903:J1934,9,FALSE)</f>
        <v>#REF!</v>
      </c>
      <c r="E906" s="3"/>
      <c r="F906" s="3"/>
      <c r="G906" s="7"/>
      <c r="H906" s="7"/>
      <c r="I906" s="7"/>
      <c r="J906" s="60"/>
      <c r="K906" s="60" t="str">
        <f t="shared" si="2"/>
        <v/>
      </c>
    </row>
    <row r="907">
      <c r="A907" s="61" t="str">
        <f t="shared" si="1"/>
        <v/>
      </c>
      <c r="B907" s="73"/>
      <c r="C907" s="76"/>
      <c r="D907" s="76" t="str">
        <f>VLOOKUP(B907,'HEAD OF THE FAMILY'!B1904:J1934,9,FALSE)</f>
        <v>#REF!</v>
      </c>
      <c r="E907" s="3"/>
      <c r="F907" s="3"/>
      <c r="G907" s="7"/>
      <c r="H907" s="7"/>
      <c r="I907" s="7"/>
      <c r="J907" s="60"/>
      <c r="K907" s="60" t="str">
        <f t="shared" si="2"/>
        <v/>
      </c>
    </row>
    <row r="908">
      <c r="A908" s="61" t="str">
        <f t="shared" si="1"/>
        <v/>
      </c>
      <c r="B908" s="73"/>
      <c r="C908" s="76"/>
      <c r="D908" s="76" t="str">
        <f>VLOOKUP(B908,'HEAD OF THE FAMILY'!B1905:J1934,9,FALSE)</f>
        <v>#REF!</v>
      </c>
      <c r="E908" s="3"/>
      <c r="F908" s="3"/>
      <c r="G908" s="7"/>
      <c r="H908" s="7"/>
      <c r="I908" s="7"/>
      <c r="J908" s="60"/>
      <c r="K908" s="60" t="str">
        <f t="shared" si="2"/>
        <v/>
      </c>
    </row>
    <row r="909">
      <c r="A909" s="61" t="str">
        <f t="shared" si="1"/>
        <v/>
      </c>
      <c r="B909" s="73"/>
      <c r="C909" s="76"/>
      <c r="D909" s="76" t="str">
        <f>VLOOKUP(B909,'HEAD OF THE FAMILY'!B1906:J1934,9,FALSE)</f>
        <v>#REF!</v>
      </c>
      <c r="E909" s="3"/>
      <c r="F909" s="3"/>
      <c r="G909" s="7"/>
      <c r="H909" s="7"/>
      <c r="I909" s="7"/>
      <c r="J909" s="60"/>
      <c r="K909" s="60" t="str">
        <f t="shared" si="2"/>
        <v/>
      </c>
    </row>
    <row r="910">
      <c r="A910" s="61" t="str">
        <f t="shared" si="1"/>
        <v/>
      </c>
      <c r="B910" s="73"/>
      <c r="C910" s="76"/>
      <c r="D910" s="76" t="str">
        <f>VLOOKUP(B910,'HEAD OF THE FAMILY'!B1907:J1934,9,FALSE)</f>
        <v>#REF!</v>
      </c>
      <c r="E910" s="3"/>
      <c r="F910" s="3"/>
      <c r="G910" s="7"/>
      <c r="H910" s="7"/>
      <c r="I910" s="7"/>
      <c r="J910" s="60"/>
      <c r="K910" s="60" t="str">
        <f t="shared" si="2"/>
        <v/>
      </c>
    </row>
    <row r="911">
      <c r="A911" s="61" t="str">
        <f t="shared" si="1"/>
        <v/>
      </c>
      <c r="B911" s="73"/>
      <c r="C911" s="76"/>
      <c r="D911" s="76" t="str">
        <f>VLOOKUP(B911,'HEAD OF THE FAMILY'!B1908:J1934,9,FALSE)</f>
        <v>#REF!</v>
      </c>
      <c r="E911" s="3"/>
      <c r="F911" s="3"/>
      <c r="G911" s="7"/>
      <c r="H911" s="7"/>
      <c r="I911" s="7"/>
      <c r="J911" s="60"/>
      <c r="K911" s="60" t="str">
        <f t="shared" si="2"/>
        <v/>
      </c>
    </row>
    <row r="912">
      <c r="A912" s="61" t="str">
        <f t="shared" si="1"/>
        <v/>
      </c>
      <c r="B912" s="73"/>
      <c r="C912" s="76"/>
      <c r="D912" s="76" t="str">
        <f>VLOOKUP(B912,'HEAD OF THE FAMILY'!B1909:J1934,9,FALSE)</f>
        <v>#REF!</v>
      </c>
      <c r="E912" s="3"/>
      <c r="F912" s="3"/>
      <c r="G912" s="7"/>
      <c r="H912" s="7"/>
      <c r="I912" s="7"/>
      <c r="J912" s="60"/>
      <c r="K912" s="60" t="str">
        <f t="shared" si="2"/>
        <v/>
      </c>
    </row>
    <row r="913">
      <c r="A913" s="61" t="str">
        <f t="shared" si="1"/>
        <v/>
      </c>
      <c r="B913" s="73"/>
      <c r="C913" s="76"/>
      <c r="D913" s="76" t="str">
        <f>VLOOKUP(B913,'HEAD OF THE FAMILY'!B1910:J1934,9,FALSE)</f>
        <v>#REF!</v>
      </c>
      <c r="E913" s="3"/>
      <c r="F913" s="3"/>
      <c r="G913" s="7"/>
      <c r="H913" s="7"/>
      <c r="I913" s="7"/>
      <c r="J913" s="60"/>
      <c r="K913" s="60" t="str">
        <f t="shared" si="2"/>
        <v/>
      </c>
    </row>
    <row r="914">
      <c r="A914" s="61" t="str">
        <f t="shared" si="1"/>
        <v/>
      </c>
      <c r="B914" s="73"/>
      <c r="C914" s="76"/>
      <c r="D914" s="76" t="str">
        <f>VLOOKUP(B914,'HEAD OF THE FAMILY'!B1911:J1934,9,FALSE)</f>
        <v>#REF!</v>
      </c>
      <c r="E914" s="3"/>
      <c r="F914" s="3"/>
      <c r="G914" s="7"/>
      <c r="H914" s="7"/>
      <c r="I914" s="7"/>
      <c r="J914" s="60"/>
      <c r="K914" s="60" t="str">
        <f t="shared" si="2"/>
        <v/>
      </c>
    </row>
    <row r="915">
      <c r="A915" s="61" t="str">
        <f t="shared" si="1"/>
        <v/>
      </c>
      <c r="B915" s="73"/>
      <c r="C915" s="76"/>
      <c r="D915" s="76" t="str">
        <f>VLOOKUP(B915,'HEAD OF THE FAMILY'!B1912:J1934,9,FALSE)</f>
        <v>#REF!</v>
      </c>
      <c r="E915" s="3"/>
      <c r="F915" s="3"/>
      <c r="G915" s="7"/>
      <c r="H915" s="7"/>
      <c r="I915" s="7"/>
      <c r="J915" s="60"/>
      <c r="K915" s="60" t="str">
        <f t="shared" si="2"/>
        <v/>
      </c>
    </row>
    <row r="916">
      <c r="A916" s="61" t="str">
        <f t="shared" si="1"/>
        <v/>
      </c>
      <c r="B916" s="73"/>
      <c r="C916" s="76"/>
      <c r="D916" s="76" t="str">
        <f>VLOOKUP(B916,'HEAD OF THE FAMILY'!B1913:J1934,9,FALSE)</f>
        <v>#REF!</v>
      </c>
      <c r="E916" s="3"/>
      <c r="F916" s="3"/>
      <c r="G916" s="7"/>
      <c r="H916" s="7"/>
      <c r="I916" s="7"/>
      <c r="J916" s="60"/>
      <c r="K916" s="60" t="str">
        <f t="shared" si="2"/>
        <v/>
      </c>
    </row>
    <row r="917">
      <c r="A917" s="61" t="str">
        <f t="shared" si="1"/>
        <v/>
      </c>
      <c r="B917" s="73"/>
      <c r="C917" s="76"/>
      <c r="D917" s="76" t="str">
        <f>VLOOKUP(B917,'HEAD OF THE FAMILY'!B1914:J1934,9,FALSE)</f>
        <v>#REF!</v>
      </c>
      <c r="E917" s="3"/>
      <c r="F917" s="3"/>
      <c r="G917" s="7"/>
      <c r="H917" s="7"/>
      <c r="I917" s="7"/>
      <c r="J917" s="60"/>
      <c r="K917" s="60" t="str">
        <f t="shared" si="2"/>
        <v/>
      </c>
    </row>
    <row r="918">
      <c r="A918" s="61" t="str">
        <f t="shared" si="1"/>
        <v/>
      </c>
      <c r="B918" s="73"/>
      <c r="C918" s="76"/>
      <c r="D918" s="76" t="str">
        <f>VLOOKUP(B918,'HEAD OF THE FAMILY'!B1915:J1934,9,FALSE)</f>
        <v>#REF!</v>
      </c>
      <c r="E918" s="3"/>
      <c r="F918" s="3"/>
      <c r="G918" s="7"/>
      <c r="H918" s="7"/>
      <c r="I918" s="7"/>
      <c r="J918" s="60"/>
      <c r="K918" s="60" t="str">
        <f t="shared" si="2"/>
        <v/>
      </c>
    </row>
    <row r="919">
      <c r="A919" s="61" t="str">
        <f t="shared" si="1"/>
        <v/>
      </c>
      <c r="B919" s="73"/>
      <c r="C919" s="76"/>
      <c r="D919" s="76" t="str">
        <f>VLOOKUP(B919,'HEAD OF THE FAMILY'!B1916:J1934,9,FALSE)</f>
        <v>#REF!</v>
      </c>
      <c r="E919" s="3"/>
      <c r="F919" s="3"/>
      <c r="G919" s="7"/>
      <c r="H919" s="7"/>
      <c r="I919" s="7"/>
      <c r="J919" s="60"/>
      <c r="K919" s="60" t="str">
        <f t="shared" si="2"/>
        <v/>
      </c>
    </row>
    <row r="920">
      <c r="A920" s="61" t="str">
        <f t="shared" si="1"/>
        <v/>
      </c>
      <c r="B920" s="73"/>
      <c r="C920" s="76"/>
      <c r="D920" s="76" t="str">
        <f>VLOOKUP(B920,'HEAD OF THE FAMILY'!B1917:J1934,9,FALSE)</f>
        <v>#REF!</v>
      </c>
      <c r="E920" s="3"/>
      <c r="F920" s="3"/>
      <c r="G920" s="7"/>
      <c r="H920" s="7"/>
      <c r="I920" s="7"/>
      <c r="J920" s="60"/>
      <c r="K920" s="60" t="str">
        <f t="shared" si="2"/>
        <v/>
      </c>
    </row>
    <row r="921">
      <c r="A921" s="61" t="str">
        <f t="shared" si="1"/>
        <v/>
      </c>
      <c r="B921" s="73"/>
      <c r="C921" s="76"/>
      <c r="D921" s="76" t="str">
        <f>VLOOKUP(B921,'HEAD OF THE FAMILY'!B1918:J1934,9,FALSE)</f>
        <v>#REF!</v>
      </c>
      <c r="E921" s="3"/>
      <c r="F921" s="3"/>
      <c r="G921" s="7"/>
      <c r="H921" s="7"/>
      <c r="I921" s="7"/>
      <c r="J921" s="60"/>
      <c r="K921" s="60" t="str">
        <f t="shared" si="2"/>
        <v/>
      </c>
    </row>
    <row r="922">
      <c r="A922" s="61" t="str">
        <f t="shared" si="1"/>
        <v/>
      </c>
      <c r="B922" s="73"/>
      <c r="C922" s="76"/>
      <c r="D922" s="76" t="str">
        <f>VLOOKUP(B922,'HEAD OF THE FAMILY'!B1919:J1934,9,FALSE)</f>
        <v>#REF!</v>
      </c>
      <c r="E922" s="3"/>
      <c r="F922" s="3"/>
      <c r="G922" s="7"/>
      <c r="H922" s="7"/>
      <c r="I922" s="7"/>
      <c r="J922" s="60"/>
      <c r="K922" s="60" t="str">
        <f t="shared" si="2"/>
        <v/>
      </c>
    </row>
    <row r="923">
      <c r="A923" s="61" t="str">
        <f t="shared" si="1"/>
        <v/>
      </c>
      <c r="B923" s="73"/>
      <c r="C923" s="76"/>
      <c r="D923" s="76" t="str">
        <f>VLOOKUP(B923,'HEAD OF THE FAMILY'!B1920:J1934,9,FALSE)</f>
        <v>#REF!</v>
      </c>
      <c r="E923" s="3"/>
      <c r="F923" s="3"/>
      <c r="G923" s="7"/>
      <c r="H923" s="7"/>
      <c r="I923" s="7"/>
      <c r="J923" s="60"/>
      <c r="K923" s="60" t="str">
        <f t="shared" si="2"/>
        <v/>
      </c>
    </row>
    <row r="924">
      <c r="A924" s="61" t="str">
        <f t="shared" si="1"/>
        <v/>
      </c>
      <c r="B924" s="73"/>
      <c r="C924" s="76"/>
      <c r="D924" s="76" t="str">
        <f>VLOOKUP(B924,'HEAD OF THE FAMILY'!B1921:J1934,9,FALSE)</f>
        <v>#REF!</v>
      </c>
      <c r="E924" s="3"/>
      <c r="F924" s="3"/>
      <c r="G924" s="7"/>
      <c r="H924" s="7"/>
      <c r="I924" s="7"/>
      <c r="J924" s="60"/>
      <c r="K924" s="60" t="str">
        <f t="shared" si="2"/>
        <v/>
      </c>
    </row>
    <row r="925">
      <c r="A925" s="61" t="str">
        <f t="shared" si="1"/>
        <v/>
      </c>
      <c r="B925" s="73"/>
      <c r="C925" s="76"/>
      <c r="D925" s="76" t="str">
        <f>VLOOKUP(B925,'HEAD OF THE FAMILY'!B1922:J1934,9,FALSE)</f>
        <v>#REF!</v>
      </c>
      <c r="E925" s="3"/>
      <c r="F925" s="3"/>
      <c r="G925" s="7"/>
      <c r="H925" s="7"/>
      <c r="I925" s="7"/>
      <c r="J925" s="60"/>
      <c r="K925" s="60" t="str">
        <f t="shared" si="2"/>
        <v/>
      </c>
    </row>
    <row r="926">
      <c r="A926" s="61" t="str">
        <f t="shared" si="1"/>
        <v/>
      </c>
      <c r="B926" s="73"/>
      <c r="C926" s="76"/>
      <c r="D926" s="76" t="str">
        <f>VLOOKUP(B926,'HEAD OF THE FAMILY'!B1923:J1934,9,FALSE)</f>
        <v>#REF!</v>
      </c>
      <c r="E926" s="3"/>
      <c r="F926" s="3"/>
      <c r="G926" s="7"/>
      <c r="H926" s="7"/>
      <c r="I926" s="7"/>
      <c r="J926" s="60"/>
      <c r="K926" s="60" t="str">
        <f t="shared" si="2"/>
        <v/>
      </c>
    </row>
    <row r="927">
      <c r="A927" s="61" t="str">
        <f t="shared" si="1"/>
        <v/>
      </c>
      <c r="B927" s="73"/>
      <c r="C927" s="76"/>
      <c r="D927" s="76" t="str">
        <f>VLOOKUP(B927,'HEAD OF THE FAMILY'!B1924:J1934,9,FALSE)</f>
        <v>#REF!</v>
      </c>
      <c r="E927" s="3"/>
      <c r="F927" s="3"/>
      <c r="G927" s="7"/>
      <c r="H927" s="7"/>
      <c r="I927" s="7"/>
      <c r="J927" s="60"/>
      <c r="K927" s="60" t="str">
        <f t="shared" si="2"/>
        <v/>
      </c>
    </row>
    <row r="928">
      <c r="A928" s="61" t="str">
        <f t="shared" si="1"/>
        <v/>
      </c>
      <c r="B928" s="73"/>
      <c r="C928" s="76"/>
      <c r="D928" s="76" t="str">
        <f>VLOOKUP(B928,'HEAD OF THE FAMILY'!B1925:J1934,9,FALSE)</f>
        <v>#REF!</v>
      </c>
      <c r="E928" s="3"/>
      <c r="F928" s="3"/>
      <c r="G928" s="7"/>
      <c r="H928" s="7"/>
      <c r="I928" s="7"/>
      <c r="J928" s="60"/>
      <c r="K928" s="60" t="str">
        <f t="shared" si="2"/>
        <v/>
      </c>
    </row>
    <row r="929">
      <c r="A929" s="61" t="str">
        <f t="shared" si="1"/>
        <v/>
      </c>
      <c r="B929" s="73"/>
      <c r="C929" s="76"/>
      <c r="D929" s="76" t="str">
        <f>VLOOKUP(B929,'HEAD OF THE FAMILY'!B1926:J1934,9,FALSE)</f>
        <v>#REF!</v>
      </c>
      <c r="E929" s="3"/>
      <c r="F929" s="3"/>
      <c r="G929" s="7"/>
      <c r="H929" s="7"/>
      <c r="I929" s="7"/>
      <c r="J929" s="60"/>
      <c r="K929" s="60" t="str">
        <f t="shared" si="2"/>
        <v/>
      </c>
    </row>
    <row r="930">
      <c r="A930" s="61" t="str">
        <f t="shared" si="1"/>
        <v/>
      </c>
      <c r="B930" s="73"/>
      <c r="C930" s="76"/>
      <c r="D930" s="76" t="str">
        <f>VLOOKUP(B930,'HEAD OF THE FAMILY'!B1927:J1934,9,FALSE)</f>
        <v>#REF!</v>
      </c>
      <c r="E930" s="3"/>
      <c r="F930" s="3"/>
      <c r="G930" s="7"/>
      <c r="H930" s="7"/>
      <c r="I930" s="7"/>
      <c r="J930" s="60"/>
      <c r="K930" s="60" t="str">
        <f t="shared" si="2"/>
        <v/>
      </c>
    </row>
    <row r="931">
      <c r="A931" s="61" t="str">
        <f t="shared" si="1"/>
        <v/>
      </c>
      <c r="B931" s="73"/>
      <c r="C931" s="76"/>
      <c r="D931" s="76" t="str">
        <f>VLOOKUP(B931,'HEAD OF THE FAMILY'!B1928:J1934,9,FALSE)</f>
        <v>#REF!</v>
      </c>
      <c r="E931" s="3"/>
      <c r="F931" s="3"/>
      <c r="G931" s="7"/>
      <c r="H931" s="7"/>
      <c r="I931" s="7"/>
      <c r="J931" s="60"/>
      <c r="K931" s="60" t="str">
        <f t="shared" si="2"/>
        <v/>
      </c>
    </row>
    <row r="932">
      <c r="A932" s="61" t="str">
        <f t="shared" si="1"/>
        <v/>
      </c>
      <c r="B932" s="73"/>
      <c r="C932" s="76"/>
      <c r="D932" s="76" t="str">
        <f>VLOOKUP(B932,'HEAD OF THE FAMILY'!B1929:J1934,9,FALSE)</f>
        <v>#REF!</v>
      </c>
      <c r="E932" s="3"/>
      <c r="F932" s="3"/>
      <c r="G932" s="7"/>
      <c r="H932" s="7"/>
      <c r="I932" s="7"/>
      <c r="J932" s="60"/>
      <c r="K932" s="60" t="str">
        <f t="shared" si="2"/>
        <v/>
      </c>
    </row>
    <row r="933">
      <c r="A933" s="61" t="str">
        <f t="shared" si="1"/>
        <v/>
      </c>
      <c r="B933" s="73"/>
      <c r="C933" s="76"/>
      <c r="D933" s="76" t="str">
        <f>VLOOKUP(B933,'HEAD OF THE FAMILY'!B1930:J1934,9,FALSE)</f>
        <v>#REF!</v>
      </c>
      <c r="E933" s="3"/>
      <c r="F933" s="3"/>
      <c r="G933" s="7"/>
      <c r="H933" s="7"/>
      <c r="I933" s="7"/>
      <c r="J933" s="60"/>
      <c r="K933" s="60" t="str">
        <f t="shared" si="2"/>
        <v/>
      </c>
    </row>
    <row r="934">
      <c r="A934" s="61" t="str">
        <f t="shared" si="1"/>
        <v/>
      </c>
      <c r="B934" s="73"/>
      <c r="C934" s="76"/>
      <c r="D934" s="76" t="str">
        <f>VLOOKUP(B934,'HEAD OF THE FAMILY'!B1931:J1934,9,FALSE)</f>
        <v>#REF!</v>
      </c>
      <c r="E934" s="3"/>
      <c r="F934" s="3"/>
      <c r="G934" s="7"/>
      <c r="H934" s="7"/>
      <c r="I934" s="7"/>
      <c r="J934" s="60"/>
      <c r="K934" s="60" t="str">
        <f t="shared" si="2"/>
        <v/>
      </c>
    </row>
    <row r="935">
      <c r="A935" s="61" t="str">
        <f t="shared" si="1"/>
        <v/>
      </c>
      <c r="B935" s="73"/>
      <c r="C935" s="76"/>
      <c r="D935" s="76" t="str">
        <f>VLOOKUP(B935,'HEAD OF THE FAMILY'!B1932:J1934,9,FALSE)</f>
        <v>#REF!</v>
      </c>
      <c r="E935" s="3"/>
      <c r="F935" s="3"/>
      <c r="G935" s="7"/>
      <c r="H935" s="7"/>
      <c r="I935" s="7"/>
      <c r="J935" s="60"/>
      <c r="K935" s="60" t="str">
        <f t="shared" si="2"/>
        <v/>
      </c>
    </row>
    <row r="936">
      <c r="A936" s="61" t="str">
        <f t="shared" si="1"/>
        <v/>
      </c>
      <c r="B936" s="73"/>
      <c r="C936" s="76"/>
      <c r="D936" s="76" t="str">
        <f>VLOOKUP(B936,'HEAD OF THE FAMILY'!B1933:J1934,9,FALSE)</f>
        <v>#REF!</v>
      </c>
      <c r="E936" s="3"/>
      <c r="F936" s="3"/>
      <c r="G936" s="7"/>
      <c r="H936" s="7"/>
      <c r="I936" s="7"/>
      <c r="J936" s="60"/>
      <c r="K936" s="60" t="str">
        <f t="shared" si="2"/>
        <v/>
      </c>
    </row>
    <row r="937">
      <c r="A937" s="61" t="str">
        <f t="shared" si="1"/>
        <v/>
      </c>
      <c r="B937" s="73"/>
      <c r="C937" s="76"/>
      <c r="D937" s="76" t="str">
        <f>VLOOKUP(B937,'HEAD OF THE FAMILY'!B1934:J1934,9,FALSE)</f>
        <v>#REF!</v>
      </c>
      <c r="E937" s="3"/>
      <c r="F937" s="3"/>
      <c r="G937" s="7"/>
      <c r="H937" s="7"/>
      <c r="I937" s="7"/>
      <c r="J937" s="60"/>
      <c r="K937" s="60" t="str">
        <f t="shared" si="2"/>
        <v/>
      </c>
    </row>
    <row r="938">
      <c r="A938" s="61" t="str">
        <f t="shared" si="1"/>
        <v/>
      </c>
      <c r="B938" s="73"/>
      <c r="C938" s="76"/>
      <c r="D938" s="76" t="str">
        <f>VLOOKUP(B938,#REF!,9,FALSE)</f>
        <v>#REF!</v>
      </c>
      <c r="E938" s="3"/>
      <c r="F938" s="3"/>
      <c r="G938" s="7"/>
      <c r="H938" s="7"/>
      <c r="I938" s="7"/>
      <c r="J938" s="60"/>
      <c r="K938" s="60" t="str">
        <f t="shared" si="2"/>
        <v/>
      </c>
    </row>
    <row r="939">
      <c r="A939" s="61" t="str">
        <f t="shared" si="1"/>
        <v/>
      </c>
      <c r="B939" s="73"/>
      <c r="C939" s="76"/>
      <c r="D939" s="76" t="str">
        <f>VLOOKUP(B939,'HEAD OF THE FAMILY'!B1934:J1936,9,FALSE)</f>
        <v>#REF!</v>
      </c>
      <c r="E939" s="3"/>
      <c r="F939" s="3"/>
      <c r="G939" s="7"/>
      <c r="H939" s="7"/>
      <c r="I939" s="7"/>
      <c r="J939" s="60"/>
      <c r="K939" s="60" t="str">
        <f t="shared" si="2"/>
        <v/>
      </c>
    </row>
    <row r="940">
      <c r="A940" s="61" t="str">
        <f t="shared" si="1"/>
        <v/>
      </c>
      <c r="B940" s="73"/>
      <c r="C940" s="76"/>
      <c r="D940" s="76" t="str">
        <f>VLOOKUP(B940,'HEAD OF THE FAMILY'!B1934:J1937,9,FALSE)</f>
        <v>#REF!</v>
      </c>
      <c r="E940" s="3"/>
      <c r="F940" s="3"/>
      <c r="G940" s="7"/>
      <c r="H940" s="7"/>
      <c r="I940" s="7"/>
      <c r="J940" s="60"/>
      <c r="K940" s="60" t="str">
        <f t="shared" si="2"/>
        <v/>
      </c>
    </row>
    <row r="941">
      <c r="A941" s="61" t="str">
        <f t="shared" si="1"/>
        <v/>
      </c>
      <c r="B941" s="73"/>
      <c r="C941" s="76"/>
      <c r="D941" s="76" t="str">
        <f>VLOOKUP(B941,'HEAD OF THE FAMILY'!B1934:J1938,9,FALSE)</f>
        <v>#REF!</v>
      </c>
      <c r="E941" s="3"/>
      <c r="F941" s="3"/>
      <c r="G941" s="7"/>
      <c r="H941" s="7"/>
      <c r="I941" s="7"/>
      <c r="J941" s="60"/>
      <c r="K941" s="60" t="str">
        <f t="shared" si="2"/>
        <v/>
      </c>
    </row>
    <row r="942">
      <c r="A942" s="61" t="str">
        <f t="shared" si="1"/>
        <v/>
      </c>
      <c r="B942" s="73"/>
      <c r="C942" s="76"/>
      <c r="D942" s="76" t="str">
        <f>VLOOKUP(B942,'HEAD OF THE FAMILY'!B1934:J1939,9,FALSE)</f>
        <v>#REF!</v>
      </c>
      <c r="E942" s="3"/>
      <c r="F942" s="3"/>
      <c r="G942" s="7"/>
      <c r="H942" s="7"/>
      <c r="I942" s="7"/>
      <c r="J942" s="60"/>
      <c r="K942" s="60" t="str">
        <f t="shared" si="2"/>
        <v/>
      </c>
    </row>
    <row r="943">
      <c r="A943" s="61" t="str">
        <f t="shared" si="1"/>
        <v/>
      </c>
      <c r="B943" s="73"/>
      <c r="C943" s="76"/>
      <c r="D943" s="76" t="str">
        <f>VLOOKUP(B943,'HEAD OF THE FAMILY'!B1934:J1940,9,FALSE)</f>
        <v>#REF!</v>
      </c>
      <c r="E943" s="3"/>
      <c r="F943" s="3"/>
      <c r="G943" s="7"/>
      <c r="H943" s="7"/>
      <c r="I943" s="7"/>
      <c r="J943" s="60"/>
      <c r="K943" s="60" t="str">
        <f t="shared" si="2"/>
        <v/>
      </c>
    </row>
    <row r="944">
      <c r="A944" s="61" t="str">
        <f t="shared" si="1"/>
        <v/>
      </c>
      <c r="B944" s="73"/>
      <c r="C944" s="76"/>
      <c r="D944" s="76" t="str">
        <f>VLOOKUP(B944,'HEAD OF THE FAMILY'!B1934:J1941,9,FALSE)</f>
        <v>#REF!</v>
      </c>
      <c r="E944" s="3"/>
      <c r="F944" s="3"/>
      <c r="G944" s="7"/>
      <c r="H944" s="7"/>
      <c r="I944" s="7"/>
      <c r="J944" s="60"/>
      <c r="K944" s="60" t="str">
        <f t="shared" si="2"/>
        <v/>
      </c>
    </row>
    <row r="945">
      <c r="A945" s="61" t="str">
        <f t="shared" si="1"/>
        <v/>
      </c>
      <c r="B945" s="73"/>
      <c r="C945" s="76"/>
      <c r="D945" s="76" t="str">
        <f>VLOOKUP(B945,'HEAD OF THE FAMILY'!B1934:J1942,9,FALSE)</f>
        <v>#REF!</v>
      </c>
      <c r="E945" s="3"/>
      <c r="F945" s="3"/>
      <c r="G945" s="7"/>
      <c r="H945" s="7"/>
      <c r="I945" s="7"/>
      <c r="J945" s="60"/>
      <c r="K945" s="60" t="str">
        <f t="shared" si="2"/>
        <v/>
      </c>
    </row>
    <row r="946">
      <c r="A946" s="61" t="str">
        <f t="shared" si="1"/>
        <v/>
      </c>
      <c r="B946" s="73"/>
      <c r="C946" s="76"/>
      <c r="D946" s="76" t="str">
        <f>VLOOKUP(B946,'HEAD OF THE FAMILY'!B1934:J1943,9,FALSE)</f>
        <v>#REF!</v>
      </c>
      <c r="E946" s="3"/>
      <c r="F946" s="3"/>
      <c r="G946" s="7"/>
      <c r="H946" s="7"/>
      <c r="I946" s="7"/>
      <c r="J946" s="60"/>
      <c r="K946" s="60" t="str">
        <f t="shared" si="2"/>
        <v/>
      </c>
    </row>
    <row r="947">
      <c r="A947" s="61" t="str">
        <f t="shared" si="1"/>
        <v/>
      </c>
      <c r="B947" s="73"/>
      <c r="C947" s="76"/>
      <c r="D947" s="76" t="str">
        <f>VLOOKUP(B947,'HEAD OF THE FAMILY'!B1934:J1944,9,FALSE)</f>
        <v>#REF!</v>
      </c>
      <c r="E947" s="3"/>
      <c r="F947" s="3"/>
      <c r="G947" s="7"/>
      <c r="H947" s="7"/>
      <c r="I947" s="7"/>
      <c r="J947" s="60"/>
      <c r="K947" s="60" t="str">
        <f t="shared" si="2"/>
        <v/>
      </c>
    </row>
    <row r="948">
      <c r="A948" s="61" t="str">
        <f t="shared" si="1"/>
        <v/>
      </c>
      <c r="B948" s="73"/>
      <c r="C948" s="76"/>
      <c r="D948" s="76" t="str">
        <f>VLOOKUP(B948,'HEAD OF THE FAMILY'!B1934:J1945,9,FALSE)</f>
        <v>#REF!</v>
      </c>
      <c r="E948" s="3"/>
      <c r="F948" s="3"/>
      <c r="G948" s="7"/>
      <c r="H948" s="7"/>
      <c r="I948" s="7"/>
      <c r="J948" s="60"/>
      <c r="K948" s="60" t="str">
        <f t="shared" si="2"/>
        <v/>
      </c>
    </row>
    <row r="949">
      <c r="A949" s="61" t="str">
        <f t="shared" si="1"/>
        <v/>
      </c>
      <c r="B949" s="73"/>
      <c r="C949" s="76"/>
      <c r="D949" s="76" t="str">
        <f>VLOOKUP(B949,'HEAD OF THE FAMILY'!B1934:J1946,9,FALSE)</f>
        <v>#REF!</v>
      </c>
      <c r="E949" s="3"/>
      <c r="F949" s="3"/>
      <c r="G949" s="7"/>
      <c r="H949" s="7"/>
      <c r="I949" s="7"/>
      <c r="J949" s="60"/>
      <c r="K949" s="60" t="str">
        <f t="shared" si="2"/>
        <v/>
      </c>
    </row>
    <row r="950">
      <c r="A950" s="61" t="str">
        <f t="shared" si="1"/>
        <v/>
      </c>
      <c r="B950" s="73"/>
      <c r="C950" s="76"/>
      <c r="D950" s="76" t="str">
        <f>VLOOKUP(B950,'HEAD OF THE FAMILY'!B1934:J1947,9,FALSE)</f>
        <v>#REF!</v>
      </c>
      <c r="E950" s="3"/>
      <c r="F950" s="3"/>
      <c r="G950" s="7"/>
      <c r="H950" s="7"/>
      <c r="I950" s="7"/>
      <c r="J950" s="60"/>
      <c r="K950" s="60" t="str">
        <f t="shared" si="2"/>
        <v/>
      </c>
    </row>
    <row r="951">
      <c r="A951" s="61" t="str">
        <f t="shared" si="1"/>
        <v/>
      </c>
      <c r="B951" s="73"/>
      <c r="C951" s="76"/>
      <c r="D951" s="76" t="str">
        <f>VLOOKUP(B951,'HEAD OF THE FAMILY'!B1934:J1948,9,FALSE)</f>
        <v>#REF!</v>
      </c>
      <c r="E951" s="3"/>
      <c r="F951" s="3"/>
      <c r="G951" s="7"/>
      <c r="H951" s="7"/>
      <c r="I951" s="7"/>
      <c r="J951" s="60"/>
      <c r="K951" s="60" t="str">
        <f t="shared" si="2"/>
        <v/>
      </c>
    </row>
    <row r="952">
      <c r="A952" s="61" t="str">
        <f t="shared" si="1"/>
        <v/>
      </c>
      <c r="B952" s="73"/>
      <c r="C952" s="76"/>
      <c r="D952" s="76" t="str">
        <f>VLOOKUP(B952,'HEAD OF THE FAMILY'!B1934:J1949,9,FALSE)</f>
        <v>#REF!</v>
      </c>
      <c r="E952" s="3"/>
      <c r="F952" s="3"/>
      <c r="G952" s="7"/>
      <c r="H952" s="7"/>
      <c r="I952" s="7"/>
      <c r="J952" s="60"/>
      <c r="K952" s="60" t="str">
        <f t="shared" si="2"/>
        <v/>
      </c>
    </row>
    <row r="953">
      <c r="A953" s="61" t="str">
        <f t="shared" si="1"/>
        <v/>
      </c>
      <c r="B953" s="73"/>
      <c r="C953" s="76"/>
      <c r="D953" s="76" t="str">
        <f>VLOOKUP(B953,'HEAD OF THE FAMILY'!B1934:J1950,9,FALSE)</f>
        <v>#REF!</v>
      </c>
      <c r="E953" s="3"/>
      <c r="F953" s="3"/>
      <c r="G953" s="7"/>
      <c r="H953" s="7"/>
      <c r="I953" s="7"/>
      <c r="J953" s="60"/>
      <c r="K953" s="60" t="str">
        <f t="shared" si="2"/>
        <v/>
      </c>
    </row>
    <row r="954">
      <c r="A954" s="61" t="str">
        <f t="shared" si="1"/>
        <v/>
      </c>
      <c r="B954" s="73"/>
      <c r="C954" s="76"/>
      <c r="D954" s="76" t="str">
        <f>VLOOKUP(B954,'HEAD OF THE FAMILY'!B1934:J1951,9,FALSE)</f>
        <v>#REF!</v>
      </c>
      <c r="E954" s="3"/>
      <c r="F954" s="3"/>
      <c r="G954" s="7"/>
      <c r="H954" s="7"/>
      <c r="I954" s="7"/>
      <c r="J954" s="60"/>
      <c r="K954" s="60" t="str">
        <f t="shared" si="2"/>
        <v/>
      </c>
    </row>
    <row r="955">
      <c r="A955" s="61" t="str">
        <f t="shared" si="1"/>
        <v/>
      </c>
      <c r="B955" s="73"/>
      <c r="C955" s="76"/>
      <c r="D955" s="76" t="str">
        <f>VLOOKUP(B955,'HEAD OF THE FAMILY'!B1934:J1952,9,FALSE)</f>
        <v>#REF!</v>
      </c>
      <c r="E955" s="3"/>
      <c r="F955" s="3"/>
      <c r="G955" s="7"/>
      <c r="H955" s="7"/>
      <c r="I955" s="7"/>
      <c r="J955" s="60"/>
      <c r="K955" s="60" t="str">
        <f t="shared" si="2"/>
        <v/>
      </c>
    </row>
    <row r="956">
      <c r="A956" s="61" t="str">
        <f t="shared" si="1"/>
        <v/>
      </c>
      <c r="B956" s="73"/>
      <c r="C956" s="76"/>
      <c r="D956" s="76" t="str">
        <f>VLOOKUP(B956,'HEAD OF THE FAMILY'!B1934:J1953,9,FALSE)</f>
        <v>#REF!</v>
      </c>
      <c r="E956" s="3"/>
      <c r="F956" s="3"/>
      <c r="G956" s="7"/>
      <c r="H956" s="7"/>
      <c r="I956" s="7"/>
      <c r="J956" s="60"/>
      <c r="K956" s="60" t="str">
        <f t="shared" si="2"/>
        <v/>
      </c>
    </row>
    <row r="957">
      <c r="A957" s="61" t="str">
        <f t="shared" si="1"/>
        <v/>
      </c>
      <c r="B957" s="73"/>
      <c r="C957" s="76"/>
      <c r="D957" s="76" t="str">
        <f>VLOOKUP(B957,'HEAD OF THE FAMILY'!B1934:J1954,9,FALSE)</f>
        <v>#REF!</v>
      </c>
      <c r="E957" s="3"/>
      <c r="F957" s="3"/>
      <c r="G957" s="7"/>
      <c r="H957" s="7"/>
      <c r="I957" s="7"/>
      <c r="J957" s="60"/>
      <c r="K957" s="60" t="str">
        <f t="shared" si="2"/>
        <v/>
      </c>
    </row>
    <row r="958">
      <c r="A958" s="61" t="str">
        <f t="shared" si="1"/>
        <v/>
      </c>
      <c r="B958" s="73"/>
      <c r="C958" s="76"/>
      <c r="D958" s="76" t="str">
        <f>VLOOKUP(B958,'HEAD OF THE FAMILY'!B1934:J1955,9,FALSE)</f>
        <v>#REF!</v>
      </c>
      <c r="E958" s="3"/>
      <c r="F958" s="3"/>
      <c r="G958" s="7"/>
      <c r="H958" s="7"/>
      <c r="I958" s="7"/>
      <c r="J958" s="60"/>
      <c r="K958" s="60" t="str">
        <f t="shared" si="2"/>
        <v/>
      </c>
    </row>
    <row r="959">
      <c r="A959" s="61" t="str">
        <f t="shared" si="1"/>
        <v/>
      </c>
      <c r="B959" s="73"/>
      <c r="C959" s="76"/>
      <c r="D959" s="76" t="str">
        <f>VLOOKUP(B959,'HEAD OF THE FAMILY'!B1934:J1956,9,FALSE)</f>
        <v>#REF!</v>
      </c>
      <c r="E959" s="3"/>
      <c r="F959" s="3"/>
      <c r="G959" s="7"/>
      <c r="H959" s="7"/>
      <c r="I959" s="7"/>
      <c r="J959" s="60"/>
      <c r="K959" s="60" t="str">
        <f t="shared" si="2"/>
        <v/>
      </c>
    </row>
    <row r="960">
      <c r="A960" s="61" t="str">
        <f t="shared" si="1"/>
        <v/>
      </c>
      <c r="B960" s="73"/>
      <c r="C960" s="76"/>
      <c r="D960" s="76" t="str">
        <f>VLOOKUP(B960,'HEAD OF THE FAMILY'!B1934:J1957,9,FALSE)</f>
        <v>#REF!</v>
      </c>
      <c r="E960" s="3"/>
      <c r="F960" s="3"/>
      <c r="G960" s="7"/>
      <c r="H960" s="7"/>
      <c r="I960" s="7"/>
      <c r="J960" s="60"/>
      <c r="K960" s="60" t="str">
        <f t="shared" si="2"/>
        <v/>
      </c>
    </row>
    <row r="961">
      <c r="A961" s="61" t="str">
        <f t="shared" si="1"/>
        <v/>
      </c>
      <c r="B961" s="73"/>
      <c r="C961" s="76"/>
      <c r="D961" s="76" t="str">
        <f>VLOOKUP(B961,'HEAD OF THE FAMILY'!B1934:J1958,9,FALSE)</f>
        <v>#REF!</v>
      </c>
      <c r="E961" s="3"/>
      <c r="F961" s="3"/>
      <c r="G961" s="7"/>
      <c r="H961" s="7"/>
      <c r="I961" s="7"/>
      <c r="J961" s="60"/>
      <c r="K961" s="60" t="str">
        <f t="shared" si="2"/>
        <v/>
      </c>
    </row>
    <row r="962">
      <c r="A962" s="61" t="str">
        <f t="shared" si="1"/>
        <v/>
      </c>
      <c r="B962" s="73"/>
      <c r="C962" s="76"/>
      <c r="D962" s="76" t="str">
        <f>VLOOKUP(B962,'HEAD OF THE FAMILY'!B1934:J1959,9,FALSE)</f>
        <v>#REF!</v>
      </c>
      <c r="E962" s="3"/>
      <c r="F962" s="3"/>
      <c r="G962" s="7"/>
      <c r="H962" s="7"/>
      <c r="I962" s="7"/>
      <c r="J962" s="60"/>
      <c r="K962" s="60" t="str">
        <f t="shared" si="2"/>
        <v/>
      </c>
    </row>
    <row r="963">
      <c r="A963" s="61" t="str">
        <f t="shared" si="1"/>
        <v/>
      </c>
      <c r="B963" s="73"/>
      <c r="C963" s="76"/>
      <c r="D963" s="76" t="str">
        <f>VLOOKUP(B963,'HEAD OF THE FAMILY'!B1934:J1960,9,FALSE)</f>
        <v>#REF!</v>
      </c>
      <c r="E963" s="3"/>
      <c r="F963" s="3"/>
      <c r="G963" s="7"/>
      <c r="H963" s="7"/>
      <c r="I963" s="7"/>
      <c r="J963" s="60"/>
      <c r="K963" s="60" t="str">
        <f t="shared" si="2"/>
        <v/>
      </c>
    </row>
    <row r="964">
      <c r="A964" s="61" t="str">
        <f t="shared" si="1"/>
        <v/>
      </c>
      <c r="B964" s="73"/>
      <c r="C964" s="76"/>
      <c r="D964" s="76" t="str">
        <f>VLOOKUP(B964,'HEAD OF THE FAMILY'!B1934:J1961,9,FALSE)</f>
        <v>#REF!</v>
      </c>
      <c r="E964" s="3"/>
      <c r="F964" s="3"/>
      <c r="G964" s="7"/>
      <c r="H964" s="7"/>
      <c r="I964" s="7"/>
      <c r="J964" s="60"/>
      <c r="K964" s="60" t="str">
        <f t="shared" si="2"/>
        <v/>
      </c>
    </row>
    <row r="965">
      <c r="A965" s="61" t="str">
        <f t="shared" si="1"/>
        <v/>
      </c>
      <c r="B965" s="73"/>
      <c r="C965" s="76"/>
      <c r="D965" s="76" t="str">
        <f>VLOOKUP(B965,'HEAD OF THE FAMILY'!B1934:J1962,9,FALSE)</f>
        <v>#REF!</v>
      </c>
      <c r="E965" s="3"/>
      <c r="F965" s="3"/>
      <c r="G965" s="7"/>
      <c r="H965" s="7"/>
      <c r="I965" s="7"/>
      <c r="J965" s="60"/>
      <c r="K965" s="60" t="str">
        <f t="shared" si="2"/>
        <v/>
      </c>
    </row>
    <row r="966">
      <c r="A966" s="61" t="str">
        <f t="shared" si="1"/>
        <v/>
      </c>
      <c r="B966" s="73"/>
      <c r="C966" s="76"/>
      <c r="D966" s="76" t="str">
        <f>VLOOKUP(B966,'HEAD OF THE FAMILY'!B1934:J1963,9,FALSE)</f>
        <v>#REF!</v>
      </c>
      <c r="E966" s="3"/>
      <c r="F966" s="3"/>
      <c r="G966" s="7"/>
      <c r="H966" s="7"/>
      <c r="I966" s="7"/>
      <c r="J966" s="60"/>
      <c r="K966" s="60" t="str">
        <f t="shared" si="2"/>
        <v/>
      </c>
    </row>
    <row r="967">
      <c r="A967" s="61" t="str">
        <f t="shared" si="1"/>
        <v/>
      </c>
      <c r="B967" s="73"/>
      <c r="C967" s="76"/>
      <c r="D967" s="76" t="str">
        <f>VLOOKUP(B967,'HEAD OF THE FAMILY'!B1934:J1964,9,FALSE)</f>
        <v>#REF!</v>
      </c>
      <c r="E967" s="3"/>
      <c r="F967" s="3"/>
      <c r="G967" s="7"/>
      <c r="H967" s="7"/>
      <c r="I967" s="7"/>
      <c r="J967" s="60"/>
      <c r="K967" s="60" t="str">
        <f t="shared" si="2"/>
        <v/>
      </c>
    </row>
    <row r="968">
      <c r="A968" s="61" t="str">
        <f t="shared" si="1"/>
        <v/>
      </c>
      <c r="B968" s="73"/>
      <c r="C968" s="76"/>
      <c r="D968" s="76" t="str">
        <f>VLOOKUP(B968,'HEAD OF THE FAMILY'!B1934:J1965,9,FALSE)</f>
        <v>#REF!</v>
      </c>
      <c r="E968" s="3"/>
      <c r="F968" s="3"/>
      <c r="G968" s="7"/>
      <c r="H968" s="7"/>
      <c r="I968" s="7"/>
      <c r="J968" s="60"/>
      <c r="K968" s="60" t="str">
        <f t="shared" si="2"/>
        <v/>
      </c>
    </row>
    <row r="969">
      <c r="A969" s="61" t="str">
        <f t="shared" si="1"/>
        <v/>
      </c>
      <c r="B969" s="73"/>
      <c r="C969" s="76"/>
      <c r="D969" s="76" t="str">
        <f>VLOOKUP(B969,'HEAD OF THE FAMILY'!B1934:J1966,9,FALSE)</f>
        <v>#REF!</v>
      </c>
      <c r="E969" s="3"/>
      <c r="F969" s="3"/>
      <c r="G969" s="7"/>
      <c r="H969" s="7"/>
      <c r="I969" s="7"/>
      <c r="J969" s="60"/>
      <c r="K969" s="60" t="str">
        <f t="shared" si="2"/>
        <v/>
      </c>
    </row>
    <row r="970">
      <c r="A970" s="61" t="str">
        <f t="shared" si="1"/>
        <v/>
      </c>
      <c r="B970" s="73"/>
      <c r="C970" s="76"/>
      <c r="D970" s="76" t="str">
        <f>VLOOKUP(B970,'HEAD OF THE FAMILY'!B1934:J1967,9,FALSE)</f>
        <v>#REF!</v>
      </c>
      <c r="E970" s="3"/>
      <c r="F970" s="3"/>
      <c r="G970" s="7"/>
      <c r="H970" s="7"/>
      <c r="I970" s="7"/>
      <c r="J970" s="60"/>
      <c r="K970" s="60" t="str">
        <f t="shared" si="2"/>
        <v/>
      </c>
    </row>
    <row r="971">
      <c r="A971" s="61" t="str">
        <f t="shared" si="1"/>
        <v/>
      </c>
      <c r="B971" s="73"/>
      <c r="C971" s="76"/>
      <c r="D971" s="76" t="str">
        <f>VLOOKUP(B971,'HEAD OF THE FAMILY'!B1934:J1968,9,FALSE)</f>
        <v>#REF!</v>
      </c>
      <c r="E971" s="3"/>
      <c r="F971" s="3"/>
      <c r="G971" s="7"/>
      <c r="H971" s="7"/>
      <c r="I971" s="7"/>
      <c r="J971" s="60"/>
      <c r="K971" s="60" t="str">
        <f t="shared" si="2"/>
        <v/>
      </c>
    </row>
    <row r="972">
      <c r="A972" s="61" t="str">
        <f t="shared" si="1"/>
        <v/>
      </c>
      <c r="B972" s="73"/>
      <c r="C972" s="76"/>
      <c r="D972" s="76" t="str">
        <f>VLOOKUP(B972,'HEAD OF THE FAMILY'!B1934:J1969,9,FALSE)</f>
        <v>#REF!</v>
      </c>
      <c r="E972" s="3"/>
      <c r="F972" s="3"/>
      <c r="G972" s="7"/>
      <c r="H972" s="7"/>
      <c r="I972" s="7"/>
      <c r="J972" s="60"/>
      <c r="K972" s="60" t="str">
        <f t="shared" si="2"/>
        <v/>
      </c>
    </row>
    <row r="973">
      <c r="A973" s="61" t="str">
        <f t="shared" si="1"/>
        <v/>
      </c>
      <c r="B973" s="73"/>
      <c r="C973" s="76"/>
      <c r="D973" s="76" t="str">
        <f>VLOOKUP(B973,'HEAD OF THE FAMILY'!B1934:J1970,9,FALSE)</f>
        <v>#REF!</v>
      </c>
      <c r="E973" s="3"/>
      <c r="F973" s="3"/>
      <c r="G973" s="7"/>
      <c r="H973" s="7"/>
      <c r="I973" s="7"/>
      <c r="J973" s="60"/>
      <c r="K973" s="60" t="str">
        <f t="shared" si="2"/>
        <v/>
      </c>
    </row>
    <row r="974">
      <c r="A974" s="61" t="str">
        <f t="shared" si="1"/>
        <v/>
      </c>
      <c r="B974" s="73"/>
      <c r="C974" s="76"/>
      <c r="D974" s="76" t="str">
        <f>VLOOKUP(B974,'HEAD OF THE FAMILY'!B1934:J1971,9,FALSE)</f>
        <v>#REF!</v>
      </c>
      <c r="E974" s="3"/>
      <c r="F974" s="3"/>
      <c r="G974" s="7"/>
      <c r="H974" s="7"/>
      <c r="I974" s="7"/>
      <c r="J974" s="60"/>
      <c r="K974" s="60" t="str">
        <f t="shared" si="2"/>
        <v/>
      </c>
    </row>
    <row r="975">
      <c r="A975" s="61" t="str">
        <f t="shared" si="1"/>
        <v/>
      </c>
      <c r="B975" s="73"/>
      <c r="C975" s="76"/>
      <c r="D975" s="76" t="str">
        <f>VLOOKUP(B975,'HEAD OF THE FAMILY'!B1934:J1972,9,FALSE)</f>
        <v>#REF!</v>
      </c>
      <c r="E975" s="3"/>
      <c r="F975" s="3"/>
      <c r="G975" s="7"/>
      <c r="H975" s="7"/>
      <c r="I975" s="7"/>
      <c r="J975" s="60"/>
      <c r="K975" s="60" t="str">
        <f t="shared" si="2"/>
        <v/>
      </c>
    </row>
    <row r="976">
      <c r="A976" s="61" t="str">
        <f t="shared" si="1"/>
        <v/>
      </c>
      <c r="B976" s="73"/>
      <c r="C976" s="76"/>
      <c r="D976" s="76" t="str">
        <f>VLOOKUP(B976,'HEAD OF THE FAMILY'!B1934:J1973,9,FALSE)</f>
        <v>#REF!</v>
      </c>
      <c r="E976" s="3"/>
      <c r="F976" s="3"/>
      <c r="G976" s="7"/>
      <c r="H976" s="7"/>
      <c r="I976" s="7"/>
      <c r="J976" s="60"/>
      <c r="K976" s="60" t="str">
        <f t="shared" si="2"/>
        <v/>
      </c>
    </row>
    <row r="977">
      <c r="A977" s="61" t="str">
        <f t="shared" si="1"/>
        <v/>
      </c>
      <c r="B977" s="73"/>
      <c r="C977" s="76"/>
      <c r="D977" s="76" t="str">
        <f>VLOOKUP(B977,'HEAD OF THE FAMILY'!B1934:J1974,9,FALSE)</f>
        <v>#REF!</v>
      </c>
      <c r="E977" s="3"/>
      <c r="F977" s="3"/>
      <c r="G977" s="7"/>
      <c r="H977" s="7"/>
      <c r="I977" s="7"/>
      <c r="J977" s="60"/>
      <c r="K977" s="60" t="str">
        <f t="shared" si="2"/>
        <v/>
      </c>
    </row>
    <row r="978">
      <c r="A978" s="61" t="str">
        <f t="shared" si="1"/>
        <v/>
      </c>
      <c r="B978" s="73"/>
      <c r="C978" s="76"/>
      <c r="D978" s="76" t="str">
        <f>VLOOKUP(B978,'HEAD OF THE FAMILY'!B1934:J1975,9,FALSE)</f>
        <v>#REF!</v>
      </c>
      <c r="E978" s="3"/>
      <c r="F978" s="3"/>
      <c r="G978" s="7"/>
      <c r="H978" s="7"/>
      <c r="I978" s="7"/>
      <c r="J978" s="60"/>
      <c r="K978" s="60" t="str">
        <f t="shared" si="2"/>
        <v/>
      </c>
    </row>
    <row r="979">
      <c r="A979" s="61" t="str">
        <f t="shared" si="1"/>
        <v/>
      </c>
      <c r="B979" s="73"/>
      <c r="C979" s="76"/>
      <c r="D979" s="76" t="str">
        <f>VLOOKUP(B979,'HEAD OF THE FAMILY'!B1934:J1976,9,FALSE)</f>
        <v>#REF!</v>
      </c>
      <c r="E979" s="3"/>
      <c r="F979" s="3"/>
      <c r="G979" s="7"/>
      <c r="H979" s="7"/>
      <c r="I979" s="7"/>
      <c r="J979" s="60"/>
      <c r="K979" s="60" t="str">
        <f t="shared" si="2"/>
        <v/>
      </c>
    </row>
    <row r="980">
      <c r="A980" s="61" t="str">
        <f t="shared" si="1"/>
        <v/>
      </c>
      <c r="B980" s="73"/>
      <c r="C980" s="76"/>
      <c r="D980" s="76" t="str">
        <f>VLOOKUP(B980,'HEAD OF THE FAMILY'!B1934:J1977,9,FALSE)</f>
        <v>#REF!</v>
      </c>
      <c r="E980" s="3"/>
      <c r="F980" s="3"/>
      <c r="G980" s="7"/>
      <c r="H980" s="7"/>
      <c r="I980" s="7"/>
      <c r="J980" s="60"/>
      <c r="K980" s="60" t="str">
        <f t="shared" si="2"/>
        <v/>
      </c>
    </row>
    <row r="981">
      <c r="A981" s="61" t="str">
        <f t="shared" si="1"/>
        <v/>
      </c>
      <c r="B981" s="73"/>
      <c r="C981" s="76"/>
      <c r="D981" s="76" t="str">
        <f>VLOOKUP(B981,'HEAD OF THE FAMILY'!B1934:J1978,9,FALSE)</f>
        <v>#REF!</v>
      </c>
      <c r="E981" s="3"/>
      <c r="F981" s="3"/>
      <c r="G981" s="7"/>
      <c r="H981" s="7"/>
      <c r="I981" s="7"/>
      <c r="J981" s="60"/>
      <c r="K981" s="60" t="str">
        <f t="shared" si="2"/>
        <v/>
      </c>
    </row>
    <row r="982">
      <c r="A982" s="61" t="str">
        <f t="shared" si="1"/>
        <v/>
      </c>
      <c r="B982" s="73"/>
      <c r="C982" s="76"/>
      <c r="D982" s="76" t="str">
        <f>VLOOKUP(B982,'HEAD OF THE FAMILY'!B1934:J1979,9,FALSE)</f>
        <v>#REF!</v>
      </c>
      <c r="E982" s="3"/>
      <c r="F982" s="3"/>
      <c r="G982" s="7"/>
      <c r="H982" s="7"/>
      <c r="I982" s="7"/>
      <c r="J982" s="60"/>
      <c r="K982" s="60" t="str">
        <f t="shared" si="2"/>
        <v/>
      </c>
    </row>
    <row r="983">
      <c r="A983" s="61" t="str">
        <f t="shared" si="1"/>
        <v/>
      </c>
      <c r="B983" s="73"/>
      <c r="C983" s="76"/>
      <c r="D983" s="76" t="str">
        <f>VLOOKUP(B983,'HEAD OF THE FAMILY'!B1934:J1980,9,FALSE)</f>
        <v>#REF!</v>
      </c>
      <c r="E983" s="3"/>
      <c r="F983" s="3"/>
      <c r="G983" s="7"/>
      <c r="H983" s="7"/>
      <c r="I983" s="7"/>
      <c r="J983" s="60"/>
      <c r="K983" s="60" t="str">
        <f t="shared" si="2"/>
        <v/>
      </c>
    </row>
    <row r="984">
      <c r="A984" s="61" t="str">
        <f t="shared" si="1"/>
        <v/>
      </c>
      <c r="B984" s="73"/>
      <c r="C984" s="76"/>
      <c r="D984" s="76" t="str">
        <f>VLOOKUP(B984,'HEAD OF THE FAMILY'!B1934:J1981,9,FALSE)</f>
        <v>#REF!</v>
      </c>
      <c r="E984" s="3"/>
      <c r="F984" s="3"/>
      <c r="G984" s="7"/>
      <c r="H984" s="7"/>
      <c r="I984" s="7"/>
      <c r="J984" s="60"/>
      <c r="K984" s="60" t="str">
        <f t="shared" si="2"/>
        <v/>
      </c>
    </row>
    <row r="985">
      <c r="A985" s="61" t="str">
        <f t="shared" si="1"/>
        <v/>
      </c>
      <c r="B985" s="73"/>
      <c r="C985" s="76"/>
      <c r="D985" s="76" t="str">
        <f>VLOOKUP(B985,'HEAD OF THE FAMILY'!B1934:J1982,9,FALSE)</f>
        <v>#REF!</v>
      </c>
      <c r="E985" s="3"/>
      <c r="F985" s="3"/>
      <c r="G985" s="7"/>
      <c r="H985" s="7"/>
      <c r="I985" s="7"/>
      <c r="J985" s="60"/>
      <c r="K985" s="60" t="str">
        <f t="shared" si="2"/>
        <v/>
      </c>
    </row>
    <row r="986">
      <c r="A986" s="61" t="str">
        <f t="shared" si="1"/>
        <v/>
      </c>
      <c r="B986" s="73"/>
      <c r="C986" s="76"/>
      <c r="D986" s="76" t="str">
        <f>VLOOKUP(B986,'HEAD OF THE FAMILY'!B1934:J1983,9,FALSE)</f>
        <v>#REF!</v>
      </c>
      <c r="E986" s="3"/>
      <c r="F986" s="3"/>
      <c r="G986" s="7"/>
      <c r="H986" s="7"/>
      <c r="I986" s="7"/>
      <c r="J986" s="60"/>
      <c r="K986" s="60" t="str">
        <f t="shared" si="2"/>
        <v/>
      </c>
    </row>
    <row r="987">
      <c r="A987" s="61" t="str">
        <f t="shared" si="1"/>
        <v/>
      </c>
      <c r="B987" s="73"/>
      <c r="C987" s="76"/>
      <c r="D987" s="76" t="str">
        <f>VLOOKUP(B987,'HEAD OF THE FAMILY'!B1934:J1984,9,FALSE)</f>
        <v>#REF!</v>
      </c>
      <c r="E987" s="3"/>
      <c r="F987" s="3"/>
      <c r="G987" s="7"/>
      <c r="H987" s="7"/>
      <c r="I987" s="7"/>
      <c r="J987" s="60"/>
      <c r="K987" s="60" t="str">
        <f t="shared" si="2"/>
        <v/>
      </c>
    </row>
    <row r="988">
      <c r="A988" s="61" t="str">
        <f t="shared" si="1"/>
        <v/>
      </c>
      <c r="B988" s="73"/>
      <c r="C988" s="76"/>
      <c r="D988" s="76" t="str">
        <f>VLOOKUP(B988,'HEAD OF THE FAMILY'!B1934:J1985,9,FALSE)</f>
        <v>#REF!</v>
      </c>
      <c r="E988" s="3"/>
      <c r="F988" s="3"/>
      <c r="G988" s="7"/>
      <c r="H988" s="7"/>
      <c r="I988" s="7"/>
      <c r="J988" s="60"/>
      <c r="K988" s="60" t="str">
        <f t="shared" si="2"/>
        <v/>
      </c>
    </row>
    <row r="989">
      <c r="A989" s="61" t="str">
        <f t="shared" si="1"/>
        <v/>
      </c>
      <c r="B989" s="73"/>
      <c r="C989" s="76"/>
      <c r="D989" s="76" t="str">
        <f>VLOOKUP(B989,'HEAD OF THE FAMILY'!B1934:J1986,9,FALSE)</f>
        <v>#REF!</v>
      </c>
      <c r="E989" s="3"/>
      <c r="F989" s="3"/>
      <c r="G989" s="7"/>
      <c r="H989" s="7"/>
      <c r="I989" s="7"/>
      <c r="J989" s="60"/>
      <c r="K989" s="60" t="str">
        <f t="shared" si="2"/>
        <v/>
      </c>
    </row>
    <row r="990">
      <c r="A990" s="61" t="str">
        <f t="shared" si="1"/>
        <v/>
      </c>
      <c r="B990" s="73"/>
      <c r="C990" s="76"/>
      <c r="D990" s="76" t="str">
        <f>VLOOKUP(B990,'HEAD OF THE FAMILY'!B1934:J1987,9,FALSE)</f>
        <v>#REF!</v>
      </c>
      <c r="E990" s="3"/>
      <c r="F990" s="3"/>
      <c r="G990" s="7"/>
      <c r="H990" s="7"/>
      <c r="I990" s="7"/>
      <c r="J990" s="60"/>
      <c r="K990" s="60" t="str">
        <f t="shared" si="2"/>
        <v/>
      </c>
    </row>
    <row r="991">
      <c r="A991" s="61" t="str">
        <f t="shared" si="1"/>
        <v/>
      </c>
      <c r="B991" s="73"/>
      <c r="C991" s="76"/>
      <c r="D991" s="76" t="str">
        <f>VLOOKUP(B991,'HEAD OF THE FAMILY'!B1934:J1988,9,FALSE)</f>
        <v>#REF!</v>
      </c>
      <c r="E991" s="3"/>
      <c r="F991" s="3"/>
      <c r="G991" s="7"/>
      <c r="H991" s="7"/>
      <c r="I991" s="7"/>
      <c r="J991" s="60"/>
      <c r="K991" s="60" t="str">
        <f t="shared" si="2"/>
        <v/>
      </c>
    </row>
    <row r="992">
      <c r="A992" s="61" t="str">
        <f t="shared" si="1"/>
        <v/>
      </c>
      <c r="B992" s="73"/>
      <c r="C992" s="76"/>
      <c r="D992" s="76" t="str">
        <f>VLOOKUP(B992,'HEAD OF THE FAMILY'!B1934:J1989,9,FALSE)</f>
        <v>#REF!</v>
      </c>
      <c r="E992" s="3"/>
      <c r="F992" s="3"/>
      <c r="G992" s="7"/>
      <c r="H992" s="7"/>
      <c r="I992" s="7"/>
      <c r="J992" s="60"/>
      <c r="K992" s="60" t="str">
        <f t="shared" si="2"/>
        <v/>
      </c>
    </row>
    <row r="993">
      <c r="A993" s="61" t="str">
        <f t="shared" si="1"/>
        <v/>
      </c>
      <c r="B993" s="73"/>
      <c r="C993" s="76"/>
      <c r="D993" s="76" t="str">
        <f>VLOOKUP(B993,'HEAD OF THE FAMILY'!B1934:J1990,9,FALSE)</f>
        <v>#REF!</v>
      </c>
      <c r="E993" s="3"/>
      <c r="F993" s="3"/>
      <c r="G993" s="7"/>
      <c r="H993" s="7"/>
      <c r="I993" s="7"/>
      <c r="J993" s="60"/>
      <c r="K993" s="60" t="str">
        <f t="shared" si="2"/>
        <v/>
      </c>
    </row>
    <row r="994">
      <c r="A994" s="61" t="str">
        <f t="shared" si="1"/>
        <v/>
      </c>
      <c r="B994" s="73"/>
      <c r="C994" s="76"/>
      <c r="D994" s="76" t="str">
        <f>VLOOKUP(B994,'HEAD OF THE FAMILY'!B1934:J1991,9,FALSE)</f>
        <v>#REF!</v>
      </c>
      <c r="E994" s="3"/>
      <c r="F994" s="3"/>
      <c r="G994" s="7"/>
      <c r="H994" s="7"/>
      <c r="I994" s="7"/>
      <c r="J994" s="60"/>
      <c r="K994" s="60" t="str">
        <f t="shared" si="2"/>
        <v/>
      </c>
    </row>
    <row r="995">
      <c r="A995" s="61" t="str">
        <f t="shared" si="1"/>
        <v/>
      </c>
      <c r="B995" s="73"/>
      <c r="C995" s="76"/>
      <c r="D995" s="76" t="str">
        <f>VLOOKUP(B995,'HEAD OF THE FAMILY'!B1934:J1992,9,FALSE)</f>
        <v>#REF!</v>
      </c>
      <c r="E995" s="3"/>
      <c r="F995" s="3"/>
      <c r="G995" s="7"/>
      <c r="H995" s="7"/>
      <c r="I995" s="7"/>
      <c r="J995" s="60"/>
      <c r="K995" s="60" t="str">
        <f t="shared" si="2"/>
        <v/>
      </c>
    </row>
    <row r="996">
      <c r="A996" s="61" t="str">
        <f t="shared" si="1"/>
        <v/>
      </c>
      <c r="B996" s="73"/>
      <c r="C996" s="76"/>
      <c r="D996" s="76" t="str">
        <f>VLOOKUP(B996,'HEAD OF THE FAMILY'!B1934:J1993,9,FALSE)</f>
        <v>#REF!</v>
      </c>
      <c r="E996" s="3"/>
      <c r="F996" s="3"/>
      <c r="G996" s="7"/>
      <c r="H996" s="7"/>
      <c r="I996" s="7"/>
      <c r="J996" s="60"/>
      <c r="K996" s="60" t="str">
        <f t="shared" si="2"/>
        <v/>
      </c>
    </row>
    <row r="997">
      <c r="A997" s="61" t="str">
        <f t="shared" si="1"/>
        <v/>
      </c>
      <c r="B997" s="73"/>
      <c r="C997" s="76"/>
      <c r="D997" s="76" t="str">
        <f>VLOOKUP(B997,'HEAD OF THE FAMILY'!B1934:J1994,9,FALSE)</f>
        <v>#REF!</v>
      </c>
      <c r="E997" s="3"/>
      <c r="F997" s="3"/>
      <c r="G997" s="7"/>
      <c r="H997" s="7"/>
      <c r="I997" s="7"/>
      <c r="J997" s="60"/>
      <c r="K997" s="60" t="str">
        <f t="shared" si="2"/>
        <v/>
      </c>
    </row>
    <row r="998">
      <c r="A998" s="61" t="str">
        <f t="shared" si="1"/>
        <v/>
      </c>
      <c r="B998" s="73"/>
      <c r="C998" s="76"/>
      <c r="D998" s="76" t="str">
        <f>VLOOKUP(B998,'HEAD OF THE FAMILY'!B1934:J1995,9,FALSE)</f>
        <v>#REF!</v>
      </c>
      <c r="E998" s="3"/>
      <c r="F998" s="3"/>
      <c r="G998" s="7"/>
      <c r="H998" s="7"/>
      <c r="I998" s="7"/>
      <c r="J998" s="60"/>
      <c r="K998" s="60" t="str">
        <f t="shared" si="2"/>
        <v/>
      </c>
    </row>
    <row r="999">
      <c r="A999" s="61" t="str">
        <f t="shared" si="1"/>
        <v/>
      </c>
      <c r="B999" s="73"/>
      <c r="C999" s="76"/>
      <c r="D999" s="76" t="str">
        <f>VLOOKUP(B999,'HEAD OF THE FAMILY'!B1934:J1996,9,FALSE)</f>
        <v>#REF!</v>
      </c>
      <c r="E999" s="3"/>
      <c r="F999" s="3"/>
      <c r="G999" s="7"/>
      <c r="H999" s="7"/>
      <c r="I999" s="7"/>
      <c r="J999" s="60"/>
      <c r="K999" s="60" t="str">
        <f t="shared" si="2"/>
        <v/>
      </c>
    </row>
    <row r="1000">
      <c r="A1000" s="61" t="str">
        <f t="shared" si="1"/>
        <v/>
      </c>
      <c r="B1000" s="73"/>
      <c r="C1000" s="76"/>
      <c r="D1000" s="76" t="str">
        <f>VLOOKUP(B1000,'HEAD OF THE FAMILY'!B1934:J1997,9,FALSE)</f>
        <v>#REF!</v>
      </c>
      <c r="E1000" s="3"/>
      <c r="F1000" s="3"/>
      <c r="G1000" s="7"/>
      <c r="H1000" s="7"/>
      <c r="I1000" s="7"/>
      <c r="J1000" s="60"/>
      <c r="K1000" s="60" t="str">
        <f t="shared" si="2"/>
        <v/>
      </c>
    </row>
    <row r="1001">
      <c r="A1001" s="61" t="str">
        <f t="shared" si="1"/>
        <v/>
      </c>
      <c r="B1001" s="73"/>
      <c r="C1001" s="76"/>
      <c r="D1001" s="76" t="str">
        <f>VLOOKUP(B1001,'HEAD OF THE FAMILY'!B1934:J1998,9,FALSE)</f>
        <v>#REF!</v>
      </c>
      <c r="E1001" s="3"/>
      <c r="F1001" s="3"/>
      <c r="G1001" s="7"/>
      <c r="H1001" s="7"/>
      <c r="I1001" s="7"/>
      <c r="J1001" s="60"/>
      <c r="K1001" s="60" t="str">
        <f t="shared" si="2"/>
        <v/>
      </c>
    </row>
    <row r="1002">
      <c r="A1002" s="61" t="str">
        <f t="shared" si="1"/>
        <v/>
      </c>
      <c r="B1002" s="73"/>
      <c r="C1002" s="76"/>
      <c r="D1002" s="76" t="str">
        <f>VLOOKUP(B1002,'HEAD OF THE FAMILY'!B1934:J1999,9,FALSE)</f>
        <v>#REF!</v>
      </c>
      <c r="E1002" s="3"/>
      <c r="F1002" s="3"/>
      <c r="G1002" s="7"/>
      <c r="H1002" s="7"/>
      <c r="I1002" s="7"/>
      <c r="J1002" s="60"/>
      <c r="K1002" s="60" t="str">
        <f t="shared" si="2"/>
        <v/>
      </c>
    </row>
    <row r="1003">
      <c r="A1003" s="61" t="str">
        <f t="shared" si="1"/>
        <v/>
      </c>
      <c r="B1003" s="73"/>
      <c r="C1003" s="76"/>
      <c r="D1003" s="76" t="str">
        <f>VLOOKUP(B1003,'HEAD OF THE FAMILY'!B1934:J2000,9,FALSE)</f>
        <v>#REF!</v>
      </c>
      <c r="E1003" s="3"/>
      <c r="F1003" s="3"/>
      <c r="G1003" s="7"/>
      <c r="H1003" s="7"/>
      <c r="I1003" s="7"/>
      <c r="J1003" s="60"/>
      <c r="K1003" s="60" t="str">
        <f t="shared" si="2"/>
        <v/>
      </c>
    </row>
    <row r="1004">
      <c r="A1004" s="61" t="str">
        <f t="shared" si="1"/>
        <v/>
      </c>
      <c r="B1004" s="73"/>
      <c r="C1004" s="76"/>
      <c r="D1004" s="76" t="str">
        <f>VLOOKUP(B1004,'HEAD OF THE FAMILY'!B1934:J2001,9,FALSE)</f>
        <v>#REF!</v>
      </c>
      <c r="E1004" s="3"/>
      <c r="F1004" s="3"/>
      <c r="G1004" s="7"/>
      <c r="H1004" s="7"/>
      <c r="I1004" s="7"/>
      <c r="J1004" s="60"/>
      <c r="K1004" s="60" t="str">
        <f t="shared" si="2"/>
        <v/>
      </c>
    </row>
    <row r="1005">
      <c r="A1005" s="61" t="str">
        <f t="shared" si="1"/>
        <v/>
      </c>
      <c r="B1005" s="73"/>
      <c r="C1005" s="76"/>
      <c r="D1005" s="76" t="str">
        <f>VLOOKUP(B1005,'HEAD OF THE FAMILY'!B1934:J2002,9,FALSE)</f>
        <v>#REF!</v>
      </c>
      <c r="E1005" s="3"/>
      <c r="F1005" s="3"/>
      <c r="G1005" s="7"/>
      <c r="H1005" s="7"/>
      <c r="I1005" s="7"/>
      <c r="J1005" s="60"/>
      <c r="K1005" s="60" t="str">
        <f t="shared" si="2"/>
        <v/>
      </c>
    </row>
    <row r="1006">
      <c r="A1006" s="61" t="str">
        <f t="shared" si="1"/>
        <v/>
      </c>
      <c r="B1006" s="73"/>
      <c r="C1006" s="76"/>
      <c r="D1006" s="76" t="str">
        <f>VLOOKUP(B1006,'HEAD OF THE FAMILY'!B1934:J2003,9,FALSE)</f>
        <v>#REF!</v>
      </c>
      <c r="E1006" s="3"/>
      <c r="F1006" s="3"/>
      <c r="G1006" s="7"/>
      <c r="H1006" s="7"/>
      <c r="I1006" s="7"/>
      <c r="J1006" s="60"/>
      <c r="K1006" s="60" t="str">
        <f t="shared" si="2"/>
        <v/>
      </c>
    </row>
    <row r="1007">
      <c r="A1007" s="61" t="str">
        <f t="shared" si="1"/>
        <v/>
      </c>
      <c r="B1007" s="73"/>
      <c r="C1007" s="76"/>
      <c r="D1007" s="76" t="str">
        <f>VLOOKUP(B1007,'HEAD OF THE FAMILY'!B1934:J2004,9,FALSE)</f>
        <v>#REF!</v>
      </c>
      <c r="E1007" s="3"/>
      <c r="F1007" s="3"/>
      <c r="G1007" s="7"/>
      <c r="H1007" s="7"/>
      <c r="I1007" s="7"/>
      <c r="J1007" s="60"/>
      <c r="K1007" s="60" t="str">
        <f t="shared" si="2"/>
        <v/>
      </c>
    </row>
    <row r="1008">
      <c r="A1008" s="61" t="str">
        <f t="shared" si="1"/>
        <v/>
      </c>
      <c r="B1008" s="73"/>
      <c r="C1008" s="76"/>
      <c r="D1008" s="76" t="str">
        <f>VLOOKUP(B1008,'HEAD OF THE FAMILY'!B1934:J2005,9,FALSE)</f>
        <v>#REF!</v>
      </c>
      <c r="E1008" s="3"/>
      <c r="F1008" s="3"/>
      <c r="G1008" s="7"/>
      <c r="H1008" s="7"/>
      <c r="I1008" s="7"/>
      <c r="J1008" s="60"/>
      <c r="K1008" s="60" t="str">
        <f t="shared" si="2"/>
        <v/>
      </c>
    </row>
    <row r="1009">
      <c r="A1009" s="61" t="str">
        <f t="shared" si="1"/>
        <v/>
      </c>
      <c r="B1009" s="73"/>
      <c r="C1009" s="76"/>
      <c r="D1009" s="76" t="str">
        <f>VLOOKUP(B1009,'HEAD OF THE FAMILY'!B1934:J2006,9,FALSE)</f>
        <v>#REF!</v>
      </c>
      <c r="E1009" s="3"/>
      <c r="F1009" s="3"/>
      <c r="G1009" s="7"/>
      <c r="H1009" s="7"/>
      <c r="I1009" s="7"/>
      <c r="J1009" s="60"/>
      <c r="K1009" s="60" t="str">
        <f t="shared" si="2"/>
        <v/>
      </c>
    </row>
    <row r="1010">
      <c r="A1010" s="61" t="str">
        <f t="shared" si="1"/>
        <v/>
      </c>
      <c r="B1010" s="73"/>
      <c r="C1010" s="76"/>
      <c r="D1010" s="76" t="str">
        <f>VLOOKUP(B1010,'HEAD OF THE FAMILY'!B1934:J2007,9,FALSE)</f>
        <v>#REF!</v>
      </c>
      <c r="E1010" s="3"/>
      <c r="F1010" s="3"/>
      <c r="G1010" s="7"/>
      <c r="H1010" s="7"/>
      <c r="I1010" s="7"/>
      <c r="J1010" s="60"/>
      <c r="K1010" s="60" t="str">
        <f t="shared" si="2"/>
        <v/>
      </c>
    </row>
    <row r="1011">
      <c r="A1011" s="61" t="str">
        <f t="shared" si="1"/>
        <v/>
      </c>
      <c r="B1011" s="73"/>
      <c r="C1011" s="76"/>
      <c r="D1011" s="76" t="str">
        <f>VLOOKUP(B1011,'HEAD OF THE FAMILY'!B1934:J2008,9,FALSE)</f>
        <v>#REF!</v>
      </c>
      <c r="E1011" s="3"/>
      <c r="F1011" s="3"/>
      <c r="G1011" s="7"/>
      <c r="H1011" s="7"/>
      <c r="I1011" s="7"/>
      <c r="J1011" s="60"/>
      <c r="K1011" s="60" t="str">
        <f t="shared" si="2"/>
        <v/>
      </c>
    </row>
    <row r="1012">
      <c r="A1012" s="61" t="str">
        <f t="shared" si="1"/>
        <v/>
      </c>
      <c r="B1012" s="73"/>
      <c r="C1012" s="76"/>
      <c r="D1012" s="76" t="str">
        <f>VLOOKUP(B1012,'HEAD OF THE FAMILY'!B1934:J2009,9,FALSE)</f>
        <v>#REF!</v>
      </c>
      <c r="E1012" s="3"/>
      <c r="F1012" s="3"/>
      <c r="G1012" s="7"/>
      <c r="H1012" s="7"/>
      <c r="I1012" s="7"/>
      <c r="J1012" s="60"/>
      <c r="K1012" s="60" t="str">
        <f t="shared" si="2"/>
        <v/>
      </c>
    </row>
    <row r="1013">
      <c r="A1013" s="61" t="str">
        <f t="shared" si="1"/>
        <v/>
      </c>
      <c r="B1013" s="73"/>
      <c r="C1013" s="76"/>
      <c r="D1013" s="76" t="str">
        <f>VLOOKUP(B1013,'HEAD OF THE FAMILY'!B1934:J2010,9,FALSE)</f>
        <v>#REF!</v>
      </c>
      <c r="E1013" s="3"/>
      <c r="F1013" s="3"/>
      <c r="G1013" s="7"/>
      <c r="H1013" s="7"/>
      <c r="I1013" s="7"/>
      <c r="J1013" s="60"/>
      <c r="K1013" s="60" t="str">
        <f t="shared" si="2"/>
        <v/>
      </c>
    </row>
    <row r="1014">
      <c r="A1014" s="61" t="str">
        <f t="shared" si="1"/>
        <v/>
      </c>
      <c r="B1014" s="73"/>
      <c r="C1014" s="76"/>
      <c r="D1014" s="76" t="str">
        <f>VLOOKUP(B1014,'HEAD OF THE FAMILY'!B1934:J2011,9,FALSE)</f>
        <v>#REF!</v>
      </c>
      <c r="E1014" s="3"/>
      <c r="F1014" s="3"/>
      <c r="G1014" s="7"/>
      <c r="H1014" s="7"/>
      <c r="I1014" s="7"/>
      <c r="J1014" s="60"/>
      <c r="K1014" s="60" t="str">
        <f t="shared" si="2"/>
        <v/>
      </c>
    </row>
    <row r="1015">
      <c r="A1015" s="61" t="str">
        <f t="shared" si="1"/>
        <v/>
      </c>
      <c r="B1015" s="73"/>
      <c r="C1015" s="76"/>
      <c r="D1015" s="76" t="str">
        <f>VLOOKUP(B1015,'HEAD OF THE FAMILY'!B1934:J2012,9,FALSE)</f>
        <v>#REF!</v>
      </c>
      <c r="E1015" s="3"/>
      <c r="F1015" s="3"/>
      <c r="G1015" s="7"/>
      <c r="H1015" s="7"/>
      <c r="I1015" s="7"/>
      <c r="J1015" s="60"/>
      <c r="K1015" s="60" t="str">
        <f t="shared" si="2"/>
        <v/>
      </c>
    </row>
    <row r="1016">
      <c r="A1016" s="61" t="str">
        <f t="shared" si="1"/>
        <v/>
      </c>
      <c r="B1016" s="73"/>
      <c r="C1016" s="76"/>
      <c r="D1016" s="76" t="str">
        <f>VLOOKUP(B1016,'HEAD OF THE FAMILY'!B1934:J2013,9,FALSE)</f>
        <v>#REF!</v>
      </c>
      <c r="E1016" s="3"/>
      <c r="F1016" s="3"/>
      <c r="G1016" s="7"/>
      <c r="H1016" s="7"/>
      <c r="I1016" s="7"/>
      <c r="J1016" s="60"/>
      <c r="K1016" s="60" t="str">
        <f t="shared" si="2"/>
        <v/>
      </c>
    </row>
    <row r="1017">
      <c r="A1017" s="61" t="str">
        <f t="shared" si="1"/>
        <v/>
      </c>
      <c r="B1017" s="73"/>
      <c r="C1017" s="76"/>
      <c r="D1017" s="76" t="str">
        <f>VLOOKUP(B1017,'HEAD OF THE FAMILY'!B1934:J2014,9,FALSE)</f>
        <v>#REF!</v>
      </c>
      <c r="E1017" s="3"/>
      <c r="F1017" s="3"/>
      <c r="G1017" s="7"/>
      <c r="H1017" s="7"/>
      <c r="I1017" s="7"/>
      <c r="J1017" s="60"/>
      <c r="K1017" s="60" t="str">
        <f t="shared" si="2"/>
        <v/>
      </c>
    </row>
    <row r="1018">
      <c r="A1018" s="61" t="str">
        <f t="shared" si="1"/>
        <v/>
      </c>
      <c r="B1018" s="73"/>
      <c r="C1018" s="76"/>
      <c r="D1018" s="76" t="str">
        <f>VLOOKUP(B1018,'HEAD OF THE FAMILY'!B1934:J2015,9,FALSE)</f>
        <v>#REF!</v>
      </c>
      <c r="E1018" s="3"/>
      <c r="F1018" s="3"/>
      <c r="G1018" s="7"/>
      <c r="H1018" s="7"/>
      <c r="I1018" s="7"/>
      <c r="J1018" s="60"/>
      <c r="K1018" s="60" t="str">
        <f t="shared" si="2"/>
        <v/>
      </c>
    </row>
    <row r="1019">
      <c r="A1019" s="61" t="str">
        <f t="shared" si="1"/>
        <v/>
      </c>
      <c r="B1019" s="73"/>
      <c r="C1019" s="76"/>
      <c r="D1019" s="76" t="str">
        <f>VLOOKUP(B1019,'HEAD OF THE FAMILY'!B1934:J2016,9,FALSE)</f>
        <v>#REF!</v>
      </c>
      <c r="E1019" s="3"/>
      <c r="F1019" s="3"/>
      <c r="G1019" s="7"/>
      <c r="H1019" s="7"/>
      <c r="I1019" s="7"/>
      <c r="J1019" s="60"/>
      <c r="K1019" s="60" t="str">
        <f t="shared" si="2"/>
        <v/>
      </c>
    </row>
    <row r="1020">
      <c r="A1020" s="61" t="str">
        <f t="shared" si="1"/>
        <v/>
      </c>
      <c r="B1020" s="73"/>
      <c r="C1020" s="76"/>
      <c r="D1020" s="76" t="str">
        <f>VLOOKUP(B1020,'HEAD OF THE FAMILY'!B1934:J2017,9,FALSE)</f>
        <v>#REF!</v>
      </c>
      <c r="E1020" s="3"/>
      <c r="F1020" s="3"/>
      <c r="G1020" s="7"/>
      <c r="H1020" s="7"/>
      <c r="I1020" s="7"/>
      <c r="J1020" s="60"/>
      <c r="K1020" s="60" t="str">
        <f t="shared" si="2"/>
        <v/>
      </c>
    </row>
    <row r="1021">
      <c r="A1021" s="61" t="str">
        <f t="shared" si="1"/>
        <v/>
      </c>
      <c r="B1021" s="73"/>
      <c r="C1021" s="76"/>
      <c r="D1021" s="76" t="str">
        <f>VLOOKUP(B1021,'HEAD OF THE FAMILY'!B1934:J2018,9,FALSE)</f>
        <v>#REF!</v>
      </c>
      <c r="E1021" s="3"/>
      <c r="F1021" s="3"/>
      <c r="G1021" s="7"/>
      <c r="H1021" s="7"/>
      <c r="I1021" s="7"/>
      <c r="J1021" s="60"/>
      <c r="K1021" s="60" t="str">
        <f t="shared" si="2"/>
        <v/>
      </c>
    </row>
    <row r="1022">
      <c r="A1022" s="61" t="str">
        <f t="shared" si="1"/>
        <v/>
      </c>
      <c r="B1022" s="73"/>
      <c r="C1022" s="76"/>
      <c r="D1022" s="76" t="str">
        <f>VLOOKUP(B1022,'HEAD OF THE FAMILY'!B1934:J2019,9,FALSE)</f>
        <v>#REF!</v>
      </c>
      <c r="E1022" s="3"/>
      <c r="F1022" s="3"/>
      <c r="G1022" s="7"/>
      <c r="H1022" s="7"/>
      <c r="I1022" s="7"/>
      <c r="J1022" s="60"/>
      <c r="K1022" s="60" t="str">
        <f t="shared" si="2"/>
        <v/>
      </c>
    </row>
    <row r="1023">
      <c r="A1023" s="61" t="str">
        <f t="shared" si="1"/>
        <v/>
      </c>
      <c r="B1023" s="73"/>
      <c r="C1023" s="76"/>
      <c r="D1023" s="76" t="str">
        <f>VLOOKUP(B1023,'HEAD OF THE FAMILY'!B1934:J2020,9,FALSE)</f>
        <v>#REF!</v>
      </c>
      <c r="E1023" s="3"/>
      <c r="F1023" s="3"/>
      <c r="G1023" s="7"/>
      <c r="H1023" s="7"/>
      <c r="I1023" s="7"/>
      <c r="J1023" s="60"/>
      <c r="K1023" s="60" t="str">
        <f t="shared" si="2"/>
        <v/>
      </c>
    </row>
    <row r="1024">
      <c r="A1024" s="61" t="str">
        <f t="shared" si="1"/>
        <v/>
      </c>
      <c r="B1024" s="73"/>
      <c r="C1024" s="76"/>
      <c r="D1024" s="76" t="str">
        <f>VLOOKUP(B1024,'HEAD OF THE FAMILY'!B1934:J2021,9,FALSE)</f>
        <v>#REF!</v>
      </c>
      <c r="E1024" s="3"/>
      <c r="F1024" s="3"/>
      <c r="G1024" s="7"/>
      <c r="H1024" s="7"/>
      <c r="I1024" s="7"/>
      <c r="J1024" s="60"/>
      <c r="K1024" s="60" t="str">
        <f t="shared" si="2"/>
        <v/>
      </c>
    </row>
    <row r="1025">
      <c r="A1025" s="61" t="str">
        <f t="shared" si="1"/>
        <v/>
      </c>
      <c r="B1025" s="73"/>
      <c r="C1025" s="76"/>
      <c r="D1025" s="76" t="str">
        <f>VLOOKUP(B1025,'HEAD OF THE FAMILY'!B1934:J2022,9,FALSE)</f>
        <v>#REF!</v>
      </c>
      <c r="E1025" s="3"/>
      <c r="F1025" s="3"/>
      <c r="G1025" s="7"/>
      <c r="H1025" s="7"/>
      <c r="I1025" s="7"/>
      <c r="J1025" s="60"/>
      <c r="K1025" s="60" t="str">
        <f t="shared" si="2"/>
        <v/>
      </c>
    </row>
    <row r="1026">
      <c r="A1026" s="61" t="str">
        <f t="shared" si="1"/>
        <v/>
      </c>
      <c r="B1026" s="73"/>
      <c r="C1026" s="76"/>
      <c r="D1026" s="76" t="str">
        <f>VLOOKUP(B1026,'HEAD OF THE FAMILY'!B1934:J2023,9,FALSE)</f>
        <v>#REF!</v>
      </c>
      <c r="E1026" s="3"/>
      <c r="F1026" s="3"/>
      <c r="G1026" s="7"/>
      <c r="H1026" s="7"/>
      <c r="I1026" s="7"/>
      <c r="J1026" s="60"/>
      <c r="K1026" s="60" t="str">
        <f t="shared" si="2"/>
        <v/>
      </c>
    </row>
    <row r="1027">
      <c r="A1027" s="61" t="str">
        <f t="shared" si="1"/>
        <v/>
      </c>
      <c r="B1027" s="73"/>
      <c r="C1027" s="76"/>
      <c r="D1027" s="76" t="str">
        <f>VLOOKUP(B1027,'HEAD OF THE FAMILY'!B1934:J2024,9,FALSE)</f>
        <v>#REF!</v>
      </c>
      <c r="E1027" s="3"/>
      <c r="F1027" s="3"/>
      <c r="G1027" s="7"/>
      <c r="H1027" s="7"/>
      <c r="I1027" s="7"/>
      <c r="J1027" s="60"/>
      <c r="K1027" s="60" t="str">
        <f t="shared" si="2"/>
        <v/>
      </c>
    </row>
    <row r="1028">
      <c r="A1028" s="61" t="str">
        <f t="shared" si="1"/>
        <v/>
      </c>
      <c r="B1028" s="73"/>
      <c r="C1028" s="76"/>
      <c r="D1028" s="76" t="str">
        <f>VLOOKUP(B1028,'HEAD OF THE FAMILY'!B1934:J2025,9,FALSE)</f>
        <v>#REF!</v>
      </c>
      <c r="E1028" s="3"/>
      <c r="F1028" s="3"/>
      <c r="G1028" s="7"/>
      <c r="H1028" s="7"/>
      <c r="I1028" s="7"/>
      <c r="J1028" s="60"/>
      <c r="K1028" s="60" t="str">
        <f t="shared" si="2"/>
        <v/>
      </c>
    </row>
    <row r="1029">
      <c r="A1029" s="61" t="str">
        <f t="shared" si="1"/>
        <v/>
      </c>
      <c r="B1029" s="73"/>
      <c r="C1029" s="76"/>
      <c r="D1029" s="76" t="str">
        <f>VLOOKUP(B1029,'HEAD OF THE FAMILY'!B1934:J2026,9,FALSE)</f>
        <v>#REF!</v>
      </c>
      <c r="E1029" s="3"/>
      <c r="F1029" s="3"/>
      <c r="G1029" s="7"/>
      <c r="H1029" s="7"/>
      <c r="I1029" s="7"/>
      <c r="J1029" s="60"/>
      <c r="K1029" s="60" t="str">
        <f t="shared" si="2"/>
        <v/>
      </c>
    </row>
    <row r="1030">
      <c r="A1030" s="61" t="str">
        <f t="shared" si="1"/>
        <v/>
      </c>
      <c r="B1030" s="73"/>
      <c r="C1030" s="76"/>
      <c r="D1030" s="76" t="str">
        <f>VLOOKUP(B1030,'HEAD OF THE FAMILY'!B1934:J2027,9,FALSE)</f>
        <v>#REF!</v>
      </c>
      <c r="E1030" s="3"/>
      <c r="F1030" s="3"/>
      <c r="G1030" s="7"/>
      <c r="H1030" s="7"/>
      <c r="I1030" s="7"/>
      <c r="J1030" s="60"/>
      <c r="K1030" s="60" t="str">
        <f t="shared" si="2"/>
        <v/>
      </c>
    </row>
    <row r="1031">
      <c r="A1031" s="61" t="str">
        <f t="shared" si="1"/>
        <v/>
      </c>
      <c r="B1031" s="73"/>
      <c r="C1031" s="76"/>
      <c r="D1031" s="76" t="str">
        <f>VLOOKUP(B1031,'HEAD OF THE FAMILY'!B1934:J2028,9,FALSE)</f>
        <v>#REF!</v>
      </c>
      <c r="E1031" s="3"/>
      <c r="F1031" s="3"/>
      <c r="G1031" s="7"/>
      <c r="H1031" s="7"/>
      <c r="I1031" s="7"/>
      <c r="J1031" s="60"/>
      <c r="K1031" s="60" t="str">
        <f t="shared" si="2"/>
        <v/>
      </c>
    </row>
    <row r="1032">
      <c r="A1032" s="61" t="str">
        <f t="shared" si="1"/>
        <v/>
      </c>
      <c r="B1032" s="73"/>
      <c r="C1032" s="76"/>
      <c r="D1032" s="76" t="str">
        <f>VLOOKUP(B1032,'HEAD OF THE FAMILY'!B1934:J2029,9,FALSE)</f>
        <v>#REF!</v>
      </c>
      <c r="E1032" s="3"/>
      <c r="F1032" s="3"/>
      <c r="G1032" s="7"/>
      <c r="H1032" s="7"/>
      <c r="I1032" s="7"/>
      <c r="J1032" s="60"/>
      <c r="K1032" s="60" t="str">
        <f t="shared" si="2"/>
        <v/>
      </c>
    </row>
    <row r="1033">
      <c r="A1033" s="61" t="str">
        <f t="shared" si="1"/>
        <v/>
      </c>
      <c r="B1033" s="73"/>
      <c r="C1033" s="76"/>
      <c r="D1033" s="76" t="str">
        <f>VLOOKUP(B1033,'HEAD OF THE FAMILY'!B1934:J2030,9,FALSE)</f>
        <v>#REF!</v>
      </c>
      <c r="E1033" s="3"/>
      <c r="F1033" s="3"/>
      <c r="G1033" s="7"/>
      <c r="H1033" s="7"/>
      <c r="I1033" s="7"/>
      <c r="J1033" s="60"/>
      <c r="K1033" s="60" t="str">
        <f t="shared" si="2"/>
        <v/>
      </c>
    </row>
    <row r="1034">
      <c r="A1034" s="61" t="str">
        <f t="shared" si="1"/>
        <v/>
      </c>
      <c r="B1034" s="73"/>
      <c r="C1034" s="76"/>
      <c r="D1034" s="76" t="str">
        <f>VLOOKUP(B1034,'HEAD OF THE FAMILY'!B1934:J2031,9,FALSE)</f>
        <v>#REF!</v>
      </c>
      <c r="E1034" s="3"/>
      <c r="F1034" s="3"/>
      <c r="G1034" s="7"/>
      <c r="H1034" s="7"/>
      <c r="I1034" s="7"/>
      <c r="J1034" s="60"/>
      <c r="K1034" s="60" t="str">
        <f t="shared" si="2"/>
        <v/>
      </c>
    </row>
    <row r="1035">
      <c r="A1035" s="61" t="str">
        <f t="shared" si="1"/>
        <v/>
      </c>
      <c r="B1035" s="73"/>
      <c r="C1035" s="76"/>
      <c r="D1035" s="76" t="str">
        <f>VLOOKUP(B1035,'HEAD OF THE FAMILY'!B1934:J2032,9,FALSE)</f>
        <v>#REF!</v>
      </c>
      <c r="E1035" s="3"/>
      <c r="F1035" s="3"/>
      <c r="G1035" s="7"/>
      <c r="H1035" s="7"/>
      <c r="I1035" s="7"/>
      <c r="J1035" s="60"/>
      <c r="K1035" s="60" t="str">
        <f t="shared" si="2"/>
        <v/>
      </c>
    </row>
    <row r="1036">
      <c r="A1036" s="61" t="str">
        <f t="shared" si="1"/>
        <v/>
      </c>
      <c r="B1036" s="73"/>
      <c r="C1036" s="76"/>
      <c r="D1036" s="76" t="str">
        <f>VLOOKUP(B1036,'HEAD OF THE FAMILY'!B1934:J2033,9,FALSE)</f>
        <v>#REF!</v>
      </c>
      <c r="E1036" s="3"/>
      <c r="F1036" s="3"/>
      <c r="G1036" s="7"/>
      <c r="H1036" s="7"/>
      <c r="I1036" s="7"/>
      <c r="J1036" s="60"/>
      <c r="K1036" s="60" t="str">
        <f t="shared" si="2"/>
        <v/>
      </c>
    </row>
    <row r="1037">
      <c r="A1037" s="61" t="str">
        <f t="shared" si="1"/>
        <v/>
      </c>
      <c r="B1037" s="73"/>
      <c r="C1037" s="76"/>
      <c r="D1037" s="76" t="str">
        <f>VLOOKUP(B1037,'HEAD OF THE FAMILY'!B1934:J2034,9,FALSE)</f>
        <v>#REF!</v>
      </c>
      <c r="E1037" s="3"/>
      <c r="F1037" s="3"/>
      <c r="G1037" s="7"/>
      <c r="H1037" s="7"/>
      <c r="I1037" s="7"/>
      <c r="J1037" s="60"/>
      <c r="K1037" s="60" t="str">
        <f t="shared" si="2"/>
        <v/>
      </c>
    </row>
    <row r="1038">
      <c r="A1038" s="61" t="str">
        <f t="shared" si="1"/>
        <v/>
      </c>
      <c r="B1038" s="73"/>
      <c r="C1038" s="76"/>
      <c r="D1038" s="76" t="str">
        <f>VLOOKUP(B1038,'HEAD OF THE FAMILY'!B1934:J2035,9,FALSE)</f>
        <v>#REF!</v>
      </c>
      <c r="E1038" s="3"/>
      <c r="F1038" s="3"/>
      <c r="G1038" s="7"/>
      <c r="H1038" s="7"/>
      <c r="I1038" s="7"/>
      <c r="J1038" s="60"/>
      <c r="K1038" s="60" t="str">
        <f t="shared" si="2"/>
        <v/>
      </c>
    </row>
    <row r="1039">
      <c r="A1039" s="61" t="str">
        <f t="shared" si="1"/>
        <v/>
      </c>
      <c r="B1039" s="73"/>
      <c r="C1039" s="76"/>
      <c r="D1039" s="76" t="str">
        <f>VLOOKUP(B1039,'HEAD OF THE FAMILY'!B1934:J2036,9,FALSE)</f>
        <v>#REF!</v>
      </c>
      <c r="E1039" s="3"/>
      <c r="F1039" s="3"/>
      <c r="G1039" s="7"/>
      <c r="H1039" s="7"/>
      <c r="I1039" s="7"/>
      <c r="J1039" s="60"/>
      <c r="K1039" s="60" t="str">
        <f t="shared" si="2"/>
        <v/>
      </c>
    </row>
    <row r="1040">
      <c r="A1040" s="61" t="str">
        <f t="shared" si="1"/>
        <v/>
      </c>
      <c r="B1040" s="73"/>
      <c r="C1040" s="76"/>
      <c r="D1040" s="76" t="str">
        <f>VLOOKUP(B1040,'HEAD OF THE FAMILY'!B1934:J2037,9,FALSE)</f>
        <v>#REF!</v>
      </c>
      <c r="E1040" s="3"/>
      <c r="F1040" s="3"/>
      <c r="G1040" s="7"/>
      <c r="H1040" s="7"/>
      <c r="I1040" s="7"/>
      <c r="J1040" s="60"/>
      <c r="K1040" s="60" t="str">
        <f t="shared" si="2"/>
        <v/>
      </c>
    </row>
    <row r="1041">
      <c r="A1041" s="61" t="str">
        <f t="shared" si="1"/>
        <v/>
      </c>
      <c r="B1041" s="73"/>
      <c r="C1041" s="76"/>
      <c r="D1041" s="76" t="str">
        <f>VLOOKUP(B1041,'HEAD OF THE FAMILY'!B1934:J2038,9,FALSE)</f>
        <v>#REF!</v>
      </c>
      <c r="E1041" s="3"/>
      <c r="F1041" s="3"/>
      <c r="G1041" s="7"/>
      <c r="H1041" s="7"/>
      <c r="I1041" s="7"/>
      <c r="J1041" s="60"/>
      <c r="K1041" s="60" t="str">
        <f t="shared" si="2"/>
        <v/>
      </c>
    </row>
    <row r="1042">
      <c r="A1042" s="61" t="str">
        <f t="shared" si="1"/>
        <v/>
      </c>
      <c r="B1042" s="73"/>
      <c r="C1042" s="76"/>
      <c r="D1042" s="76" t="str">
        <f>VLOOKUP(B1042,'HEAD OF THE FAMILY'!B1934:J2039,9,FALSE)</f>
        <v>#REF!</v>
      </c>
      <c r="E1042" s="3"/>
      <c r="F1042" s="3"/>
      <c r="G1042" s="7"/>
      <c r="H1042" s="7"/>
      <c r="I1042" s="7"/>
      <c r="J1042" s="60"/>
      <c r="K1042" s="60" t="str">
        <f t="shared" si="2"/>
        <v/>
      </c>
    </row>
    <row r="1043">
      <c r="A1043" s="61" t="str">
        <f t="shared" si="1"/>
        <v/>
      </c>
      <c r="B1043" s="73"/>
      <c r="C1043" s="76"/>
      <c r="D1043" s="76" t="str">
        <f>VLOOKUP(B1043,'HEAD OF THE FAMILY'!B1934:J2040,9,FALSE)</f>
        <v>#REF!</v>
      </c>
      <c r="E1043" s="3"/>
      <c r="F1043" s="3"/>
      <c r="G1043" s="7"/>
      <c r="H1043" s="7"/>
      <c r="I1043" s="7"/>
      <c r="J1043" s="60"/>
      <c r="K1043" s="60" t="str">
        <f t="shared" si="2"/>
        <v/>
      </c>
    </row>
    <row r="1044">
      <c r="A1044" s="61" t="str">
        <f t="shared" si="1"/>
        <v/>
      </c>
      <c r="B1044" s="73"/>
      <c r="C1044" s="76"/>
      <c r="D1044" s="76" t="str">
        <f>VLOOKUP(B1044,'HEAD OF THE FAMILY'!B1934:J2041,9,FALSE)</f>
        <v>#REF!</v>
      </c>
      <c r="E1044" s="3"/>
      <c r="F1044" s="3"/>
      <c r="G1044" s="7"/>
      <c r="H1044" s="7"/>
      <c r="I1044" s="7"/>
      <c r="J1044" s="60"/>
      <c r="K1044" s="60" t="str">
        <f t="shared" si="2"/>
        <v/>
      </c>
    </row>
    <row r="1045">
      <c r="A1045" s="61" t="str">
        <f t="shared" si="1"/>
        <v/>
      </c>
      <c r="B1045" s="73"/>
      <c r="C1045" s="76"/>
      <c r="D1045" s="76" t="str">
        <f>VLOOKUP(B1045,'HEAD OF THE FAMILY'!B1934:J2042,9,FALSE)</f>
        <v>#REF!</v>
      </c>
      <c r="E1045" s="3"/>
      <c r="F1045" s="3"/>
      <c r="G1045" s="7"/>
      <c r="H1045" s="7"/>
      <c r="I1045" s="7"/>
      <c r="J1045" s="60"/>
      <c r="K1045" s="60" t="str">
        <f t="shared" si="2"/>
        <v/>
      </c>
    </row>
    <row r="1046">
      <c r="A1046" s="61" t="str">
        <f t="shared" si="1"/>
        <v/>
      </c>
      <c r="B1046" s="73"/>
      <c r="C1046" s="76"/>
      <c r="D1046" s="76" t="str">
        <f>VLOOKUP(B1046,'HEAD OF THE FAMILY'!B1934:J2043,9,FALSE)</f>
        <v>#REF!</v>
      </c>
      <c r="E1046" s="3"/>
      <c r="F1046" s="3"/>
      <c r="G1046" s="7"/>
      <c r="H1046" s="7"/>
      <c r="I1046" s="7"/>
      <c r="J1046" s="60"/>
      <c r="K1046" s="60" t="str">
        <f t="shared" si="2"/>
        <v/>
      </c>
    </row>
    <row r="1047">
      <c r="A1047" s="61" t="str">
        <f t="shared" si="1"/>
        <v/>
      </c>
      <c r="B1047" s="73"/>
      <c r="C1047" s="76"/>
      <c r="D1047" s="76" t="str">
        <f>VLOOKUP(B1047,'HEAD OF THE FAMILY'!B1934:J2044,9,FALSE)</f>
        <v>#REF!</v>
      </c>
      <c r="E1047" s="3"/>
      <c r="F1047" s="3"/>
      <c r="G1047" s="7"/>
      <c r="H1047" s="7"/>
      <c r="I1047" s="7"/>
      <c r="J1047" s="60"/>
      <c r="K1047" s="60" t="str">
        <f t="shared" si="2"/>
        <v/>
      </c>
    </row>
    <row r="1048">
      <c r="A1048" s="61" t="str">
        <f t="shared" si="1"/>
        <v/>
      </c>
      <c r="B1048" s="73"/>
      <c r="C1048" s="76"/>
      <c r="D1048" s="76" t="str">
        <f>VLOOKUP(B1048,'HEAD OF THE FAMILY'!B1934:J2045,9,FALSE)</f>
        <v>#REF!</v>
      </c>
      <c r="E1048" s="3"/>
      <c r="F1048" s="3"/>
      <c r="G1048" s="7"/>
      <c r="H1048" s="7"/>
      <c r="I1048" s="7"/>
      <c r="J1048" s="60"/>
      <c r="K1048" s="60" t="str">
        <f t="shared" si="2"/>
        <v/>
      </c>
    </row>
    <row r="1049">
      <c r="A1049" s="61" t="str">
        <f t="shared" si="1"/>
        <v/>
      </c>
      <c r="B1049" s="73"/>
      <c r="C1049" s="76"/>
      <c r="D1049" s="76" t="str">
        <f>VLOOKUP(B1049,'HEAD OF THE FAMILY'!B1934:J2046,9,FALSE)</f>
        <v>#REF!</v>
      </c>
      <c r="E1049" s="3"/>
      <c r="F1049" s="3"/>
      <c r="G1049" s="7"/>
      <c r="H1049" s="7"/>
      <c r="I1049" s="7"/>
      <c r="J1049" s="60"/>
      <c r="K1049" s="60" t="str">
        <f t="shared" si="2"/>
        <v/>
      </c>
    </row>
    <row r="1050">
      <c r="A1050" s="61" t="str">
        <f t="shared" si="1"/>
        <v/>
      </c>
      <c r="B1050" s="73"/>
      <c r="C1050" s="76"/>
      <c r="D1050" s="76" t="str">
        <f>VLOOKUP(B1050,'HEAD OF THE FAMILY'!B1934:J2047,9,FALSE)</f>
        <v>#REF!</v>
      </c>
      <c r="E1050" s="3"/>
      <c r="F1050" s="3"/>
      <c r="G1050" s="7"/>
      <c r="H1050" s="7"/>
      <c r="I1050" s="7"/>
      <c r="J1050" s="60"/>
      <c r="K1050" s="60" t="str">
        <f t="shared" si="2"/>
        <v/>
      </c>
    </row>
    <row r="1051">
      <c r="A1051" s="61" t="str">
        <f t="shared" si="1"/>
        <v/>
      </c>
      <c r="B1051" s="73"/>
      <c r="C1051" s="76"/>
      <c r="D1051" s="76" t="str">
        <f>VLOOKUP(B1051,'HEAD OF THE FAMILY'!B1934:J2048,9,FALSE)</f>
        <v>#REF!</v>
      </c>
      <c r="E1051" s="3"/>
      <c r="F1051" s="3"/>
      <c r="G1051" s="7"/>
      <c r="H1051" s="7"/>
      <c r="I1051" s="7"/>
      <c r="J1051" s="60"/>
      <c r="K1051" s="60" t="str">
        <f t="shared" si="2"/>
        <v/>
      </c>
    </row>
    <row r="1052">
      <c r="A1052" s="61" t="str">
        <f t="shared" si="1"/>
        <v/>
      </c>
      <c r="B1052" s="73"/>
      <c r="C1052" s="76"/>
      <c r="D1052" s="76" t="str">
        <f>VLOOKUP(B1052,'HEAD OF THE FAMILY'!B1934:J2049,9,FALSE)</f>
        <v>#REF!</v>
      </c>
      <c r="E1052" s="3"/>
      <c r="F1052" s="3"/>
      <c r="G1052" s="7"/>
      <c r="H1052" s="7"/>
      <c r="I1052" s="7"/>
      <c r="J1052" s="60"/>
      <c r="K1052" s="60" t="str">
        <f t="shared" si="2"/>
        <v/>
      </c>
    </row>
    <row r="1053">
      <c r="A1053" s="61" t="str">
        <f t="shared" si="1"/>
        <v/>
      </c>
      <c r="B1053" s="73"/>
      <c r="C1053" s="76"/>
      <c r="D1053" s="76" t="str">
        <f>VLOOKUP(B1053,'HEAD OF THE FAMILY'!B1934:J2050,9,FALSE)</f>
        <v>#REF!</v>
      </c>
      <c r="E1053" s="3"/>
      <c r="F1053" s="3"/>
      <c r="G1053" s="7"/>
      <c r="H1053" s="7"/>
      <c r="I1053" s="7"/>
      <c r="J1053" s="60"/>
      <c r="K1053" s="60" t="str">
        <f t="shared" si="2"/>
        <v/>
      </c>
    </row>
    <row r="1054">
      <c r="A1054" s="61" t="str">
        <f t="shared" si="1"/>
        <v/>
      </c>
      <c r="B1054" s="73"/>
      <c r="C1054" s="76"/>
      <c r="D1054" s="76" t="str">
        <f>VLOOKUP(B1054,'HEAD OF THE FAMILY'!B1934:J2051,9,FALSE)</f>
        <v>#REF!</v>
      </c>
      <c r="E1054" s="3"/>
      <c r="F1054" s="3"/>
      <c r="G1054" s="7"/>
      <c r="H1054" s="7"/>
      <c r="I1054" s="7"/>
      <c r="J1054" s="60"/>
      <c r="K1054" s="60" t="str">
        <f t="shared" si="2"/>
        <v/>
      </c>
    </row>
    <row r="1055">
      <c r="A1055" s="61" t="str">
        <f t="shared" si="1"/>
        <v/>
      </c>
      <c r="B1055" s="73"/>
      <c r="C1055" s="76"/>
      <c r="D1055" s="76" t="str">
        <f>VLOOKUP(B1055,'HEAD OF THE FAMILY'!B1934:J2052,9,FALSE)</f>
        <v>#REF!</v>
      </c>
      <c r="E1055" s="3"/>
      <c r="F1055" s="3"/>
      <c r="G1055" s="7"/>
      <c r="H1055" s="7"/>
      <c r="I1055" s="7"/>
      <c r="J1055" s="60"/>
      <c r="K1055" s="60" t="str">
        <f t="shared" si="2"/>
        <v/>
      </c>
    </row>
    <row r="1056">
      <c r="A1056" s="61" t="str">
        <f t="shared" si="1"/>
        <v/>
      </c>
      <c r="B1056" s="73"/>
      <c r="C1056" s="76"/>
      <c r="D1056" s="76" t="str">
        <f>VLOOKUP(B1056,'HEAD OF THE FAMILY'!B1934:J2053,9,FALSE)</f>
        <v>#REF!</v>
      </c>
      <c r="E1056" s="3"/>
      <c r="F1056" s="3"/>
      <c r="G1056" s="7"/>
      <c r="H1056" s="7"/>
      <c r="I1056" s="7"/>
      <c r="J1056" s="60"/>
      <c r="K1056" s="60" t="str">
        <f t="shared" si="2"/>
        <v/>
      </c>
    </row>
    <row r="1057">
      <c r="A1057" s="61" t="str">
        <f t="shared" si="1"/>
        <v/>
      </c>
      <c r="B1057" s="73"/>
      <c r="C1057" s="76"/>
      <c r="D1057" s="76" t="str">
        <f>VLOOKUP(B1057,'HEAD OF THE FAMILY'!B1934:J2054,9,FALSE)</f>
        <v>#REF!</v>
      </c>
      <c r="E1057" s="3"/>
      <c r="F1057" s="3"/>
      <c r="G1057" s="7"/>
      <c r="H1057" s="7"/>
      <c r="I1057" s="7"/>
      <c r="J1057" s="60"/>
      <c r="K1057" s="60" t="str">
        <f t="shared" si="2"/>
        <v/>
      </c>
    </row>
    <row r="1058">
      <c r="A1058" s="61" t="str">
        <f t="shared" si="1"/>
        <v/>
      </c>
      <c r="B1058" s="73"/>
      <c r="C1058" s="76"/>
      <c r="D1058" s="76" t="str">
        <f>VLOOKUP(B1058,'HEAD OF THE FAMILY'!B1934:J2055,9,FALSE)</f>
        <v>#REF!</v>
      </c>
      <c r="E1058" s="3"/>
      <c r="F1058" s="3"/>
      <c r="G1058" s="7"/>
      <c r="H1058" s="7"/>
      <c r="I1058" s="7"/>
      <c r="J1058" s="60"/>
      <c r="K1058" s="60" t="str">
        <f t="shared" si="2"/>
        <v/>
      </c>
    </row>
    <row r="1059">
      <c r="A1059" s="61" t="str">
        <f t="shared" si="1"/>
        <v/>
      </c>
      <c r="B1059" s="73"/>
      <c r="C1059" s="76"/>
      <c r="D1059" s="76" t="str">
        <f>VLOOKUP(B1059,'HEAD OF THE FAMILY'!B1934:J2056,9,FALSE)</f>
        <v>#REF!</v>
      </c>
      <c r="E1059" s="3"/>
      <c r="F1059" s="3"/>
      <c r="G1059" s="7"/>
      <c r="H1059" s="7"/>
      <c r="I1059" s="7"/>
      <c r="J1059" s="60"/>
      <c r="K1059" s="60" t="str">
        <f t="shared" si="2"/>
        <v/>
      </c>
    </row>
    <row r="1060">
      <c r="A1060" s="61" t="str">
        <f t="shared" si="1"/>
        <v/>
      </c>
      <c r="B1060" s="73"/>
      <c r="C1060" s="76"/>
      <c r="D1060" s="76" t="str">
        <f>VLOOKUP(B1060,'HEAD OF THE FAMILY'!B1934:J2057,9,FALSE)</f>
        <v>#REF!</v>
      </c>
      <c r="E1060" s="3"/>
      <c r="F1060" s="3"/>
      <c r="G1060" s="7"/>
      <c r="H1060" s="7"/>
      <c r="I1060" s="7"/>
      <c r="J1060" s="60"/>
      <c r="K1060" s="60" t="str">
        <f t="shared" si="2"/>
        <v/>
      </c>
    </row>
    <row r="1061">
      <c r="A1061" s="61" t="str">
        <f t="shared" si="1"/>
        <v/>
      </c>
      <c r="B1061" s="73"/>
      <c r="C1061" s="76"/>
      <c r="D1061" s="76" t="str">
        <f>VLOOKUP(B1061,'HEAD OF THE FAMILY'!B1934:J2058,9,FALSE)</f>
        <v>#REF!</v>
      </c>
      <c r="E1061" s="3"/>
      <c r="F1061" s="3"/>
      <c r="G1061" s="7"/>
      <c r="H1061" s="7"/>
      <c r="I1061" s="7"/>
      <c r="J1061" s="60"/>
      <c r="K1061" s="60" t="str">
        <f t="shared" si="2"/>
        <v/>
      </c>
    </row>
    <row r="1062">
      <c r="A1062" s="61" t="str">
        <f t="shared" si="1"/>
        <v/>
      </c>
      <c r="B1062" s="73"/>
      <c r="C1062" s="76"/>
      <c r="D1062" s="76" t="str">
        <f>VLOOKUP(B1062,'HEAD OF THE FAMILY'!B1934:J2059,9,FALSE)</f>
        <v>#REF!</v>
      </c>
      <c r="E1062" s="3"/>
      <c r="F1062" s="3"/>
      <c r="G1062" s="7"/>
      <c r="H1062" s="7"/>
      <c r="I1062" s="7"/>
      <c r="J1062" s="60"/>
      <c r="K1062" s="60" t="str">
        <f t="shared" si="2"/>
        <v/>
      </c>
    </row>
    <row r="1063">
      <c r="A1063" s="61" t="str">
        <f t="shared" si="1"/>
        <v/>
      </c>
      <c r="B1063" s="73"/>
      <c r="C1063" s="76"/>
      <c r="D1063" s="76" t="str">
        <f>VLOOKUP(B1063,'HEAD OF THE FAMILY'!B1934:J2060,9,FALSE)</f>
        <v>#REF!</v>
      </c>
      <c r="E1063" s="3"/>
      <c r="F1063" s="3"/>
      <c r="G1063" s="7"/>
      <c r="H1063" s="7"/>
      <c r="I1063" s="7"/>
      <c r="J1063" s="60"/>
      <c r="K1063" s="60" t="str">
        <f t="shared" si="2"/>
        <v/>
      </c>
    </row>
    <row r="1064">
      <c r="A1064" s="61" t="str">
        <f t="shared" si="1"/>
        <v/>
      </c>
      <c r="B1064" s="73"/>
      <c r="C1064" s="76"/>
      <c r="D1064" s="76" t="str">
        <f>VLOOKUP(B1064,'HEAD OF THE FAMILY'!B1934:J2061,9,FALSE)</f>
        <v>#REF!</v>
      </c>
      <c r="E1064" s="3"/>
      <c r="F1064" s="3"/>
      <c r="G1064" s="7"/>
      <c r="H1064" s="7"/>
      <c r="I1064" s="7"/>
      <c r="J1064" s="60"/>
      <c r="K1064" s="60" t="str">
        <f t="shared" si="2"/>
        <v/>
      </c>
    </row>
    <row r="1065">
      <c r="A1065" s="61" t="str">
        <f t="shared" si="1"/>
        <v/>
      </c>
      <c r="B1065" s="73"/>
      <c r="C1065" s="76"/>
      <c r="D1065" s="76" t="str">
        <f>VLOOKUP(B1065,'HEAD OF THE FAMILY'!B1934:J2062,9,FALSE)</f>
        <v>#REF!</v>
      </c>
      <c r="E1065" s="3"/>
      <c r="F1065" s="3"/>
      <c r="G1065" s="7"/>
      <c r="H1065" s="7"/>
      <c r="I1065" s="7"/>
      <c r="J1065" s="60"/>
      <c r="K1065" s="60" t="str">
        <f t="shared" si="2"/>
        <v/>
      </c>
    </row>
    <row r="1066">
      <c r="A1066" s="61" t="str">
        <f t="shared" si="1"/>
        <v/>
      </c>
      <c r="B1066" s="73"/>
      <c r="C1066" s="76"/>
      <c r="D1066" s="76" t="str">
        <f>VLOOKUP(B1066,'HEAD OF THE FAMILY'!B1934:J2063,9,FALSE)</f>
        <v>#REF!</v>
      </c>
      <c r="E1066" s="3"/>
      <c r="F1066" s="3"/>
      <c r="G1066" s="7"/>
      <c r="H1066" s="7"/>
      <c r="I1066" s="7"/>
      <c r="J1066" s="60"/>
      <c r="K1066" s="60" t="str">
        <f t="shared" si="2"/>
        <v/>
      </c>
    </row>
    <row r="1067">
      <c r="A1067" s="61" t="str">
        <f t="shared" si="1"/>
        <v/>
      </c>
      <c r="B1067" s="73"/>
      <c r="C1067" s="76"/>
      <c r="D1067" s="76" t="str">
        <f>VLOOKUP(B1067,'HEAD OF THE FAMILY'!B1934:J2064,9,FALSE)</f>
        <v>#REF!</v>
      </c>
      <c r="E1067" s="3"/>
      <c r="F1067" s="3"/>
      <c r="G1067" s="7"/>
      <c r="H1067" s="7"/>
      <c r="I1067" s="7"/>
      <c r="J1067" s="60"/>
      <c r="K1067" s="60" t="str">
        <f t="shared" si="2"/>
        <v/>
      </c>
    </row>
    <row r="1068">
      <c r="A1068" s="61" t="str">
        <f t="shared" si="1"/>
        <v/>
      </c>
      <c r="B1068" s="73"/>
      <c r="C1068" s="76"/>
      <c r="D1068" s="76" t="str">
        <f>VLOOKUP(B1068,'HEAD OF THE FAMILY'!B1934:J2065,9,FALSE)</f>
        <v>#REF!</v>
      </c>
      <c r="E1068" s="3"/>
      <c r="F1068" s="3"/>
      <c r="G1068" s="7"/>
      <c r="H1068" s="7"/>
      <c r="I1068" s="7"/>
      <c r="J1068" s="60"/>
      <c r="K1068" s="60" t="str">
        <f t="shared" si="2"/>
        <v/>
      </c>
    </row>
    <row r="1069">
      <c r="A1069" s="61" t="str">
        <f t="shared" si="1"/>
        <v/>
      </c>
      <c r="B1069" s="73"/>
      <c r="C1069" s="76"/>
      <c r="D1069" s="76" t="str">
        <f>VLOOKUP(B1069,'HEAD OF THE FAMILY'!B1934:J2066,9,FALSE)</f>
        <v>#REF!</v>
      </c>
      <c r="E1069" s="3"/>
      <c r="F1069" s="3"/>
      <c r="G1069" s="7"/>
      <c r="H1069" s="7"/>
      <c r="I1069" s="7"/>
      <c r="J1069" s="60"/>
      <c r="K1069" s="60" t="str">
        <f t="shared" si="2"/>
        <v/>
      </c>
    </row>
    <row r="1070">
      <c r="A1070" s="61" t="str">
        <f t="shared" si="1"/>
        <v/>
      </c>
      <c r="B1070" s="73"/>
      <c r="C1070" s="76"/>
      <c r="D1070" s="76" t="str">
        <f>VLOOKUP(B1070,'HEAD OF THE FAMILY'!B1934:J2067,9,FALSE)</f>
        <v>#REF!</v>
      </c>
      <c r="E1070" s="3"/>
      <c r="F1070" s="3"/>
      <c r="G1070" s="7"/>
      <c r="H1070" s="7"/>
      <c r="I1070" s="7"/>
      <c r="J1070" s="60"/>
      <c r="K1070" s="60" t="str">
        <f t="shared" si="2"/>
        <v/>
      </c>
    </row>
    <row r="1071">
      <c r="A1071" s="61" t="str">
        <f t="shared" si="1"/>
        <v/>
      </c>
      <c r="B1071" s="73"/>
      <c r="C1071" s="76"/>
      <c r="D1071" s="76" t="str">
        <f>VLOOKUP(B1071,'HEAD OF THE FAMILY'!B1934:J2068,9,FALSE)</f>
        <v>#REF!</v>
      </c>
      <c r="E1071" s="3"/>
      <c r="F1071" s="3"/>
      <c r="G1071" s="7"/>
      <c r="H1071" s="7"/>
      <c r="I1071" s="7"/>
      <c r="J1071" s="60"/>
      <c r="K1071" s="60" t="str">
        <f t="shared" si="2"/>
        <v/>
      </c>
    </row>
    <row r="1072">
      <c r="A1072" s="61" t="str">
        <f t="shared" si="1"/>
        <v/>
      </c>
      <c r="B1072" s="73"/>
      <c r="C1072" s="76"/>
      <c r="D1072" s="76" t="str">
        <f>VLOOKUP(B1072,'HEAD OF THE FAMILY'!B1934:J2069,9,FALSE)</f>
        <v>#REF!</v>
      </c>
      <c r="E1072" s="3"/>
      <c r="F1072" s="3"/>
      <c r="G1072" s="7"/>
      <c r="H1072" s="7"/>
      <c r="I1072" s="7"/>
      <c r="J1072" s="60"/>
      <c r="K1072" s="60" t="str">
        <f t="shared" si="2"/>
        <v/>
      </c>
    </row>
    <row r="1073">
      <c r="A1073" s="61" t="str">
        <f t="shared" si="1"/>
        <v/>
      </c>
      <c r="B1073" s="73"/>
      <c r="C1073" s="76"/>
      <c r="D1073" s="76" t="str">
        <f>VLOOKUP(B1073,'HEAD OF THE FAMILY'!B1934:J2070,9,FALSE)</f>
        <v>#REF!</v>
      </c>
      <c r="E1073" s="3"/>
      <c r="F1073" s="3"/>
      <c r="G1073" s="7"/>
      <c r="H1073" s="7"/>
      <c r="I1073" s="7"/>
      <c r="J1073" s="60"/>
      <c r="K1073" s="60" t="str">
        <f t="shared" si="2"/>
        <v/>
      </c>
    </row>
    <row r="1074">
      <c r="A1074" s="61" t="str">
        <f t="shared" si="1"/>
        <v/>
      </c>
      <c r="B1074" s="73"/>
      <c r="C1074" s="76"/>
      <c r="D1074" s="76" t="str">
        <f>VLOOKUP(B1074,'HEAD OF THE FAMILY'!B1934:J2071,9,FALSE)</f>
        <v>#REF!</v>
      </c>
      <c r="E1074" s="3"/>
      <c r="F1074" s="3"/>
      <c r="G1074" s="7"/>
      <c r="H1074" s="7"/>
      <c r="I1074" s="7"/>
      <c r="J1074" s="60"/>
      <c r="K1074" s="60" t="str">
        <f t="shared" si="2"/>
        <v/>
      </c>
    </row>
    <row r="1075">
      <c r="A1075" s="61" t="str">
        <f t="shared" si="1"/>
        <v/>
      </c>
      <c r="B1075" s="73"/>
      <c r="C1075" s="76"/>
      <c r="D1075" s="76" t="str">
        <f>VLOOKUP(B1075,'HEAD OF THE FAMILY'!B1934:J2072,9,FALSE)</f>
        <v>#REF!</v>
      </c>
      <c r="E1075" s="3"/>
      <c r="F1075" s="3"/>
      <c r="G1075" s="7"/>
      <c r="H1075" s="7"/>
      <c r="I1075" s="7"/>
      <c r="J1075" s="60"/>
      <c r="K1075" s="60" t="str">
        <f t="shared" si="2"/>
        <v/>
      </c>
    </row>
    <row r="1076">
      <c r="A1076" s="61" t="str">
        <f t="shared" si="1"/>
        <v/>
      </c>
      <c r="B1076" s="73"/>
      <c r="C1076" s="76"/>
      <c r="D1076" s="76" t="str">
        <f>VLOOKUP(B1076,'HEAD OF THE FAMILY'!B1934:J2073,9,FALSE)</f>
        <v>#REF!</v>
      </c>
      <c r="E1076" s="3"/>
      <c r="F1076" s="3"/>
      <c r="G1076" s="7"/>
      <c r="H1076" s="7"/>
      <c r="I1076" s="7"/>
      <c r="J1076" s="60"/>
      <c r="K1076" s="60" t="str">
        <f t="shared" si="2"/>
        <v/>
      </c>
    </row>
    <row r="1077">
      <c r="A1077" s="61" t="str">
        <f t="shared" si="1"/>
        <v/>
      </c>
      <c r="B1077" s="73"/>
      <c r="C1077" s="76"/>
      <c r="D1077" s="76" t="str">
        <f>VLOOKUP(B1077,'HEAD OF THE FAMILY'!B1934:J2074,9,FALSE)</f>
        <v>#REF!</v>
      </c>
      <c r="E1077" s="3"/>
      <c r="F1077" s="3"/>
      <c r="G1077" s="7"/>
      <c r="H1077" s="7"/>
      <c r="I1077" s="7"/>
      <c r="J1077" s="60"/>
      <c r="K1077" s="60" t="str">
        <f t="shared" si="2"/>
        <v/>
      </c>
    </row>
    <row r="1078">
      <c r="A1078" s="61" t="str">
        <f t="shared" si="1"/>
        <v/>
      </c>
      <c r="B1078" s="73"/>
      <c r="C1078" s="76"/>
      <c r="D1078" s="76" t="str">
        <f>VLOOKUP(B1078,'HEAD OF THE FAMILY'!B1934:J2075,9,FALSE)</f>
        <v>#REF!</v>
      </c>
      <c r="E1078" s="3"/>
      <c r="F1078" s="3"/>
      <c r="G1078" s="7"/>
      <c r="H1078" s="7"/>
      <c r="I1078" s="7"/>
      <c r="J1078" s="60"/>
      <c r="K1078" s="60" t="str">
        <f t="shared" si="2"/>
        <v/>
      </c>
    </row>
    <row r="1079">
      <c r="A1079" s="61" t="str">
        <f t="shared" si="1"/>
        <v/>
      </c>
      <c r="B1079" s="73"/>
      <c r="C1079" s="76"/>
      <c r="D1079" s="76" t="str">
        <f>VLOOKUP(B1079,'HEAD OF THE FAMILY'!B1934:J2076,9,FALSE)</f>
        <v>#REF!</v>
      </c>
      <c r="E1079" s="3"/>
      <c r="F1079" s="3"/>
      <c r="G1079" s="7"/>
      <c r="H1079" s="7"/>
      <c r="I1079" s="7"/>
      <c r="J1079" s="60"/>
      <c r="K1079" s="60" t="str">
        <f t="shared" si="2"/>
        <v/>
      </c>
    </row>
    <row r="1080">
      <c r="A1080" s="61" t="str">
        <f t="shared" si="1"/>
        <v/>
      </c>
      <c r="B1080" s="73"/>
      <c r="C1080" s="76"/>
      <c r="D1080" s="76" t="str">
        <f>VLOOKUP(B1080,'HEAD OF THE FAMILY'!B1934:J2077,9,FALSE)</f>
        <v>#REF!</v>
      </c>
      <c r="E1080" s="3"/>
      <c r="F1080" s="3"/>
      <c r="G1080" s="7"/>
      <c r="H1080" s="7"/>
      <c r="I1080" s="7"/>
      <c r="J1080" s="60"/>
      <c r="K1080" s="60" t="str">
        <f t="shared" si="2"/>
        <v/>
      </c>
    </row>
    <row r="1081">
      <c r="A1081" s="61" t="str">
        <f t="shared" si="1"/>
        <v/>
      </c>
      <c r="B1081" s="73"/>
      <c r="C1081" s="76"/>
      <c r="D1081" s="76" t="str">
        <f>VLOOKUP(B1081,'HEAD OF THE FAMILY'!B1934:J2078,9,FALSE)</f>
        <v>#REF!</v>
      </c>
      <c r="E1081" s="3"/>
      <c r="F1081" s="3"/>
      <c r="G1081" s="7"/>
      <c r="H1081" s="7"/>
      <c r="I1081" s="7"/>
      <c r="J1081" s="60"/>
      <c r="K1081" s="60" t="str">
        <f t="shared" si="2"/>
        <v/>
      </c>
    </row>
    <row r="1082">
      <c r="A1082" s="61" t="str">
        <f t="shared" si="1"/>
        <v/>
      </c>
      <c r="B1082" s="73"/>
      <c r="C1082" s="76"/>
      <c r="D1082" s="76" t="str">
        <f>VLOOKUP(B1082,'HEAD OF THE FAMILY'!B1934:J2079,9,FALSE)</f>
        <v>#REF!</v>
      </c>
      <c r="E1082" s="3"/>
      <c r="F1082" s="3"/>
      <c r="G1082" s="7"/>
      <c r="H1082" s="7"/>
      <c r="I1082" s="7"/>
      <c r="J1082" s="60"/>
      <c r="K1082" s="60" t="str">
        <f t="shared" si="2"/>
        <v/>
      </c>
    </row>
    <row r="1083">
      <c r="A1083" s="61" t="str">
        <f t="shared" si="1"/>
        <v/>
      </c>
      <c r="B1083" s="73"/>
      <c r="C1083" s="76"/>
      <c r="D1083" s="76" t="str">
        <f>VLOOKUP(B1083,'HEAD OF THE FAMILY'!B1934:J2080,9,FALSE)</f>
        <v>#REF!</v>
      </c>
      <c r="E1083" s="3"/>
      <c r="F1083" s="3"/>
      <c r="G1083" s="7"/>
      <c r="H1083" s="7"/>
      <c r="I1083" s="7"/>
      <c r="J1083" s="60"/>
      <c r="K1083" s="60" t="str">
        <f t="shared" si="2"/>
        <v/>
      </c>
    </row>
    <row r="1084">
      <c r="A1084" s="61" t="str">
        <f t="shared" si="1"/>
        <v/>
      </c>
      <c r="B1084" s="73"/>
      <c r="C1084" s="76"/>
      <c r="D1084" s="76" t="str">
        <f>VLOOKUP(B1084,'HEAD OF THE FAMILY'!B1934:J2081,9,FALSE)</f>
        <v>#REF!</v>
      </c>
      <c r="E1084" s="3"/>
      <c r="F1084" s="3"/>
      <c r="G1084" s="7"/>
      <c r="H1084" s="7"/>
      <c r="I1084" s="7"/>
      <c r="J1084" s="60"/>
      <c r="K1084" s="60" t="str">
        <f t="shared" si="2"/>
        <v/>
      </c>
    </row>
    <row r="1085">
      <c r="A1085" s="61" t="str">
        <f t="shared" si="1"/>
        <v/>
      </c>
      <c r="B1085" s="73"/>
      <c r="C1085" s="76"/>
      <c r="D1085" s="76" t="str">
        <f>VLOOKUP(B1085,'HEAD OF THE FAMILY'!B1934:J2082,9,FALSE)</f>
        <v>#REF!</v>
      </c>
      <c r="E1085" s="3"/>
      <c r="F1085" s="3"/>
      <c r="G1085" s="7"/>
      <c r="H1085" s="7"/>
      <c r="I1085" s="7"/>
      <c r="J1085" s="60"/>
      <c r="K1085" s="60" t="str">
        <f t="shared" si="2"/>
        <v/>
      </c>
    </row>
    <row r="1086">
      <c r="A1086" s="61" t="str">
        <f t="shared" si="1"/>
        <v/>
      </c>
      <c r="B1086" s="73"/>
      <c r="C1086" s="76"/>
      <c r="D1086" s="76" t="str">
        <f>VLOOKUP(B1086,'HEAD OF THE FAMILY'!B1934:J2083,9,FALSE)</f>
        <v>#REF!</v>
      </c>
      <c r="E1086" s="3"/>
      <c r="F1086" s="3"/>
      <c r="G1086" s="7"/>
      <c r="H1086" s="7"/>
      <c r="I1086" s="7"/>
      <c r="J1086" s="60"/>
      <c r="K1086" s="60" t="str">
        <f t="shared" si="2"/>
        <v/>
      </c>
    </row>
    <row r="1087">
      <c r="A1087" s="61" t="str">
        <f t="shared" si="1"/>
        <v/>
      </c>
      <c r="B1087" s="73"/>
      <c r="C1087" s="76"/>
      <c r="D1087" s="76" t="str">
        <f>VLOOKUP(B1087,'HEAD OF THE FAMILY'!B1934:J2084,9,FALSE)</f>
        <v>#REF!</v>
      </c>
      <c r="E1087" s="3"/>
      <c r="F1087" s="3"/>
      <c r="G1087" s="7"/>
      <c r="H1087" s="7"/>
      <c r="I1087" s="7"/>
      <c r="J1087" s="60"/>
      <c r="K1087" s="60" t="str">
        <f t="shared" si="2"/>
        <v/>
      </c>
    </row>
    <row r="1088">
      <c r="A1088" s="61" t="str">
        <f t="shared" si="1"/>
        <v/>
      </c>
      <c r="B1088" s="73"/>
      <c r="C1088" s="76"/>
      <c r="D1088" s="76" t="str">
        <f>VLOOKUP(B1088,'HEAD OF THE FAMILY'!B1934:J2085,9,FALSE)</f>
        <v>#REF!</v>
      </c>
      <c r="E1088" s="3"/>
      <c r="F1088" s="3"/>
      <c r="G1088" s="7"/>
      <c r="H1088" s="7"/>
      <c r="I1088" s="7"/>
      <c r="J1088" s="60"/>
      <c r="K1088" s="60" t="str">
        <f t="shared" si="2"/>
        <v/>
      </c>
    </row>
    <row r="1089">
      <c r="A1089" s="61" t="str">
        <f t="shared" si="1"/>
        <v/>
      </c>
      <c r="B1089" s="73"/>
      <c r="C1089" s="76"/>
      <c r="D1089" s="76" t="str">
        <f>VLOOKUP(B1089,'HEAD OF THE FAMILY'!B1934:J2086,9,FALSE)</f>
        <v>#REF!</v>
      </c>
      <c r="E1089" s="3"/>
      <c r="F1089" s="3"/>
      <c r="G1089" s="7"/>
      <c r="H1089" s="7"/>
      <c r="I1089" s="7"/>
      <c r="J1089" s="60"/>
      <c r="K1089" s="60" t="str">
        <f t="shared" si="2"/>
        <v/>
      </c>
    </row>
    <row r="1090">
      <c r="A1090" s="61" t="str">
        <f t="shared" si="1"/>
        <v/>
      </c>
      <c r="B1090" s="73"/>
      <c r="C1090" s="76"/>
      <c r="D1090" s="76" t="str">
        <f>VLOOKUP(B1090,'HEAD OF THE FAMILY'!B1934:J2087,9,FALSE)</f>
        <v>#REF!</v>
      </c>
      <c r="E1090" s="3"/>
      <c r="F1090" s="3"/>
      <c r="G1090" s="7"/>
      <c r="H1090" s="7"/>
      <c r="I1090" s="7"/>
      <c r="J1090" s="60"/>
      <c r="K1090" s="60" t="str">
        <f t="shared" si="2"/>
        <v/>
      </c>
    </row>
    <row r="1091">
      <c r="A1091" s="61" t="str">
        <f t="shared" si="1"/>
        <v/>
      </c>
      <c r="B1091" s="73"/>
      <c r="C1091" s="76"/>
      <c r="D1091" s="76" t="str">
        <f>VLOOKUP(B1091,'HEAD OF THE FAMILY'!B1934:J2088,9,FALSE)</f>
        <v>#REF!</v>
      </c>
      <c r="E1091" s="3"/>
      <c r="F1091" s="3"/>
      <c r="G1091" s="7"/>
      <c r="H1091" s="7"/>
      <c r="I1091" s="7"/>
      <c r="J1091" s="60"/>
      <c r="K1091" s="60" t="str">
        <f t="shared" si="2"/>
        <v/>
      </c>
    </row>
    <row r="1092">
      <c r="A1092" s="61" t="str">
        <f t="shared" si="1"/>
        <v/>
      </c>
      <c r="B1092" s="73"/>
      <c r="C1092" s="76"/>
      <c r="D1092" s="76" t="str">
        <f>VLOOKUP(B1092,'HEAD OF THE FAMILY'!B1934:J2089,9,FALSE)</f>
        <v>#REF!</v>
      </c>
      <c r="E1092" s="3"/>
      <c r="F1092" s="3"/>
      <c r="G1092" s="7"/>
      <c r="H1092" s="7"/>
      <c r="I1092" s="7"/>
      <c r="J1092" s="60"/>
      <c r="K1092" s="60" t="str">
        <f t="shared" si="2"/>
        <v/>
      </c>
    </row>
    <row r="1093">
      <c r="A1093" s="61" t="str">
        <f t="shared" si="1"/>
        <v/>
      </c>
      <c r="B1093" s="73"/>
      <c r="C1093" s="76"/>
      <c r="D1093" s="76" t="str">
        <f>VLOOKUP(B1093,'HEAD OF THE FAMILY'!B1934:J2090,9,FALSE)</f>
        <v>#REF!</v>
      </c>
      <c r="E1093" s="3"/>
      <c r="F1093" s="3"/>
      <c r="G1093" s="7"/>
      <c r="H1093" s="7"/>
      <c r="I1093" s="7"/>
      <c r="J1093" s="60"/>
      <c r="K1093" s="60" t="str">
        <f t="shared" si="2"/>
        <v/>
      </c>
    </row>
    <row r="1094">
      <c r="A1094" s="61" t="str">
        <f t="shared" si="1"/>
        <v/>
      </c>
      <c r="B1094" s="73"/>
      <c r="C1094" s="76"/>
      <c r="D1094" s="76" t="str">
        <f>VLOOKUP(B1094,'HEAD OF THE FAMILY'!B1934:J2091,9,FALSE)</f>
        <v>#REF!</v>
      </c>
      <c r="E1094" s="3"/>
      <c r="F1094" s="3"/>
      <c r="G1094" s="7"/>
      <c r="H1094" s="7"/>
      <c r="I1094" s="7"/>
      <c r="J1094" s="60"/>
      <c r="K1094" s="60" t="str">
        <f t="shared" si="2"/>
        <v/>
      </c>
    </row>
    <row r="1095">
      <c r="A1095" s="61" t="str">
        <f t="shared" si="1"/>
        <v/>
      </c>
      <c r="B1095" s="73"/>
      <c r="C1095" s="76"/>
      <c r="D1095" s="76" t="str">
        <f>VLOOKUP(B1095,'HEAD OF THE FAMILY'!B1934:J2092,9,FALSE)</f>
        <v>#REF!</v>
      </c>
      <c r="E1095" s="3"/>
      <c r="F1095" s="3"/>
      <c r="G1095" s="7"/>
      <c r="H1095" s="7"/>
      <c r="I1095" s="7"/>
      <c r="J1095" s="60"/>
      <c r="K1095" s="60" t="str">
        <f t="shared" si="2"/>
        <v/>
      </c>
    </row>
    <row r="1096">
      <c r="A1096" s="61" t="str">
        <f t="shared" si="1"/>
        <v/>
      </c>
      <c r="B1096" s="73"/>
      <c r="C1096" s="76"/>
      <c r="D1096" s="76" t="str">
        <f>VLOOKUP(B1096,'HEAD OF THE FAMILY'!B1934:J2093,9,FALSE)</f>
        <v>#REF!</v>
      </c>
      <c r="E1096" s="3"/>
      <c r="F1096" s="3"/>
      <c r="G1096" s="7"/>
      <c r="H1096" s="7"/>
      <c r="I1096" s="7"/>
      <c r="J1096" s="60"/>
      <c r="K1096" s="60" t="str">
        <f t="shared" si="2"/>
        <v/>
      </c>
    </row>
    <row r="1097">
      <c r="A1097" s="61" t="str">
        <f t="shared" si="1"/>
        <v/>
      </c>
      <c r="B1097" s="73"/>
      <c r="C1097" s="76"/>
      <c r="D1097" s="76" t="str">
        <f>VLOOKUP(B1097,'HEAD OF THE FAMILY'!B1934:J2094,9,FALSE)</f>
        <v>#REF!</v>
      </c>
      <c r="E1097" s="3"/>
      <c r="F1097" s="3"/>
      <c r="G1097" s="7"/>
      <c r="H1097" s="7"/>
      <c r="I1097" s="7"/>
      <c r="J1097" s="60"/>
      <c r="K1097" s="60" t="str">
        <f t="shared" si="2"/>
        <v/>
      </c>
    </row>
    <row r="1098">
      <c r="A1098" s="61" t="str">
        <f t="shared" si="1"/>
        <v/>
      </c>
      <c r="B1098" s="73"/>
      <c r="C1098" s="76"/>
      <c r="D1098" s="76" t="str">
        <f>VLOOKUP(B1098,'HEAD OF THE FAMILY'!B1934:J2095,9,FALSE)</f>
        <v>#REF!</v>
      </c>
      <c r="E1098" s="3"/>
      <c r="F1098" s="3"/>
      <c r="G1098" s="7"/>
      <c r="H1098" s="7"/>
      <c r="I1098" s="7"/>
      <c r="J1098" s="60"/>
      <c r="K1098" s="60" t="str">
        <f t="shared" si="2"/>
        <v/>
      </c>
    </row>
    <row r="1099">
      <c r="A1099" s="61" t="str">
        <f t="shared" si="1"/>
        <v/>
      </c>
      <c r="B1099" s="73"/>
      <c r="C1099" s="76"/>
      <c r="D1099" s="76" t="str">
        <f>VLOOKUP(B1099,'HEAD OF THE FAMILY'!B1934:J2096,9,FALSE)</f>
        <v>#REF!</v>
      </c>
      <c r="E1099" s="3"/>
      <c r="F1099" s="3"/>
      <c r="G1099" s="7"/>
      <c r="H1099" s="7"/>
      <c r="I1099" s="7"/>
      <c r="J1099" s="60"/>
      <c r="K1099" s="60" t="str">
        <f t="shared" si="2"/>
        <v/>
      </c>
    </row>
    <row r="1100">
      <c r="A1100" s="61" t="str">
        <f t="shared" si="1"/>
        <v/>
      </c>
      <c r="B1100" s="73"/>
      <c r="C1100" s="76"/>
      <c r="D1100" s="76" t="str">
        <f>VLOOKUP(B1100,'HEAD OF THE FAMILY'!B1934:J2097,9,FALSE)</f>
        <v>#REF!</v>
      </c>
      <c r="E1100" s="3"/>
      <c r="F1100" s="3"/>
      <c r="G1100" s="7"/>
      <c r="H1100" s="7"/>
      <c r="I1100" s="7"/>
      <c r="J1100" s="60"/>
      <c r="K1100" s="60" t="str">
        <f t="shared" si="2"/>
        <v/>
      </c>
    </row>
    <row r="1101">
      <c r="A1101" s="61" t="str">
        <f t="shared" si="1"/>
        <v/>
      </c>
      <c r="B1101" s="73"/>
      <c r="C1101" s="76"/>
      <c r="D1101" s="76" t="str">
        <f>VLOOKUP(B1101,'HEAD OF THE FAMILY'!B1934:J2098,9,FALSE)</f>
        <v>#REF!</v>
      </c>
      <c r="E1101" s="3"/>
      <c r="F1101" s="3"/>
      <c r="G1101" s="7"/>
      <c r="H1101" s="7"/>
      <c r="I1101" s="7"/>
      <c r="J1101" s="60"/>
      <c r="K1101" s="60" t="str">
        <f t="shared" si="2"/>
        <v/>
      </c>
    </row>
    <row r="1102">
      <c r="A1102" s="61" t="str">
        <f t="shared" si="1"/>
        <v/>
      </c>
      <c r="B1102" s="73"/>
      <c r="C1102" s="76"/>
      <c r="D1102" s="76" t="str">
        <f>VLOOKUP(B1102,'HEAD OF THE FAMILY'!B1934:J2099,9,FALSE)</f>
        <v>#REF!</v>
      </c>
      <c r="E1102" s="3"/>
      <c r="F1102" s="3"/>
      <c r="G1102" s="7"/>
      <c r="H1102" s="7"/>
      <c r="I1102" s="7"/>
      <c r="J1102" s="60"/>
      <c r="K1102" s="60" t="str">
        <f t="shared" si="2"/>
        <v/>
      </c>
    </row>
    <row r="1103">
      <c r="A1103" s="61" t="str">
        <f t="shared" si="1"/>
        <v/>
      </c>
      <c r="B1103" s="73"/>
      <c r="C1103" s="76"/>
      <c r="D1103" s="76" t="str">
        <f>VLOOKUP(B1103,'HEAD OF THE FAMILY'!B1934:J2100,9,FALSE)</f>
        <v>#REF!</v>
      </c>
      <c r="E1103" s="3"/>
      <c r="F1103" s="3"/>
      <c r="G1103" s="7"/>
      <c r="H1103" s="7"/>
      <c r="I1103" s="7"/>
      <c r="J1103" s="60"/>
      <c r="K1103" s="60" t="str">
        <f t="shared" si="2"/>
        <v/>
      </c>
    </row>
    <row r="1104">
      <c r="A1104" s="61" t="str">
        <f t="shared" si="1"/>
        <v/>
      </c>
      <c r="B1104" s="73"/>
      <c r="C1104" s="76"/>
      <c r="D1104" s="76" t="str">
        <f>VLOOKUP(B1104,'HEAD OF THE FAMILY'!B1934:J2101,9,FALSE)</f>
        <v>#REF!</v>
      </c>
      <c r="E1104" s="3"/>
      <c r="F1104" s="3"/>
      <c r="G1104" s="7"/>
      <c r="H1104" s="7"/>
      <c r="I1104" s="7"/>
      <c r="J1104" s="60"/>
      <c r="K1104" s="60" t="str">
        <f t="shared" si="2"/>
        <v/>
      </c>
    </row>
    <row r="1105">
      <c r="A1105" s="61" t="str">
        <f t="shared" si="1"/>
        <v/>
      </c>
      <c r="B1105" s="73"/>
      <c r="C1105" s="76"/>
      <c r="D1105" s="76" t="str">
        <f>VLOOKUP(B1105,'HEAD OF THE FAMILY'!B1934:J2102,9,FALSE)</f>
        <v>#REF!</v>
      </c>
      <c r="E1105" s="3"/>
      <c r="F1105" s="3"/>
      <c r="G1105" s="7"/>
      <c r="H1105" s="7"/>
      <c r="I1105" s="7"/>
      <c r="J1105" s="60"/>
      <c r="K1105" s="60" t="str">
        <f t="shared" si="2"/>
        <v/>
      </c>
    </row>
    <row r="1106">
      <c r="A1106" s="61" t="str">
        <f t="shared" si="1"/>
        <v/>
      </c>
      <c r="B1106" s="73"/>
      <c r="C1106" s="76"/>
      <c r="D1106" s="76" t="str">
        <f>VLOOKUP(B1106,'HEAD OF THE FAMILY'!B1934:J2103,9,FALSE)</f>
        <v>#REF!</v>
      </c>
      <c r="E1106" s="3"/>
      <c r="F1106" s="3"/>
      <c r="G1106" s="7"/>
      <c r="H1106" s="7"/>
      <c r="I1106" s="7"/>
      <c r="J1106" s="60"/>
      <c r="K1106" s="60" t="str">
        <f t="shared" si="2"/>
        <v/>
      </c>
    </row>
    <row r="1107">
      <c r="A1107" s="61" t="str">
        <f t="shared" si="1"/>
        <v/>
      </c>
      <c r="B1107" s="73"/>
      <c r="C1107" s="76"/>
      <c r="D1107" s="76" t="str">
        <f>VLOOKUP(B1107,'HEAD OF THE FAMILY'!B1934:J2104,9,FALSE)</f>
        <v>#REF!</v>
      </c>
      <c r="E1107" s="3"/>
      <c r="F1107" s="3"/>
      <c r="G1107" s="7"/>
      <c r="H1107" s="7"/>
      <c r="I1107" s="7"/>
      <c r="J1107" s="60"/>
      <c r="K1107" s="60" t="str">
        <f t="shared" si="2"/>
        <v/>
      </c>
    </row>
    <row r="1108">
      <c r="A1108" s="61" t="str">
        <f t="shared" si="1"/>
        <v/>
      </c>
      <c r="B1108" s="73"/>
      <c r="C1108" s="76"/>
      <c r="D1108" s="76" t="str">
        <f>VLOOKUP(B1108,'HEAD OF THE FAMILY'!B1934:J2105,9,FALSE)</f>
        <v>#REF!</v>
      </c>
      <c r="E1108" s="3"/>
      <c r="F1108" s="3"/>
      <c r="G1108" s="7"/>
      <c r="H1108" s="7"/>
      <c r="I1108" s="7"/>
      <c r="J1108" s="60"/>
      <c r="K1108" s="60" t="str">
        <f t="shared" si="2"/>
        <v/>
      </c>
    </row>
    <row r="1109">
      <c r="A1109" s="61" t="str">
        <f t="shared" si="1"/>
        <v/>
      </c>
      <c r="B1109" s="73"/>
      <c r="C1109" s="76"/>
      <c r="D1109" s="76" t="str">
        <f>VLOOKUP(B1109,'HEAD OF THE FAMILY'!B1934:J2106,9,FALSE)</f>
        <v>#REF!</v>
      </c>
      <c r="E1109" s="3"/>
      <c r="F1109" s="3"/>
      <c r="G1109" s="7"/>
      <c r="H1109" s="7"/>
      <c r="I1109" s="7"/>
      <c r="J1109" s="60"/>
      <c r="K1109" s="60" t="str">
        <f t="shared" si="2"/>
        <v/>
      </c>
    </row>
    <row r="1110">
      <c r="A1110" s="61" t="str">
        <f t="shared" si="1"/>
        <v/>
      </c>
      <c r="B1110" s="73"/>
      <c r="C1110" s="76"/>
      <c r="D1110" s="76" t="str">
        <f>VLOOKUP(B1110,'HEAD OF THE FAMILY'!B1934:J2107,9,FALSE)</f>
        <v>#REF!</v>
      </c>
      <c r="E1110" s="3"/>
      <c r="F1110" s="3"/>
      <c r="G1110" s="7"/>
      <c r="H1110" s="7"/>
      <c r="I1110" s="7"/>
      <c r="J1110" s="60"/>
      <c r="K1110" s="60" t="str">
        <f t="shared" si="2"/>
        <v/>
      </c>
    </row>
    <row r="1111">
      <c r="A1111" s="61" t="str">
        <f t="shared" si="1"/>
        <v/>
      </c>
      <c r="B1111" s="73"/>
      <c r="C1111" s="76"/>
      <c r="D1111" s="76" t="str">
        <f>VLOOKUP(B1111,'HEAD OF THE FAMILY'!B1934:J2108,9,FALSE)</f>
        <v>#REF!</v>
      </c>
      <c r="E1111" s="3"/>
      <c r="F1111" s="3"/>
      <c r="G1111" s="7"/>
      <c r="H1111" s="7"/>
      <c r="I1111" s="7"/>
      <c r="J1111" s="60"/>
      <c r="K1111" s="60" t="str">
        <f t="shared" si="2"/>
        <v/>
      </c>
    </row>
    <row r="1112">
      <c r="A1112" s="61" t="str">
        <f t="shared" si="1"/>
        <v/>
      </c>
      <c r="B1112" s="73"/>
      <c r="C1112" s="76"/>
      <c r="D1112" s="76" t="str">
        <f>VLOOKUP(B1112,'HEAD OF THE FAMILY'!B1934:J2109,9,FALSE)</f>
        <v>#REF!</v>
      </c>
      <c r="E1112" s="3"/>
      <c r="F1112" s="3"/>
      <c r="G1112" s="7"/>
      <c r="H1112" s="7"/>
      <c r="I1112" s="7"/>
      <c r="J1112" s="60"/>
      <c r="K1112" s="60" t="str">
        <f t="shared" si="2"/>
        <v/>
      </c>
    </row>
    <row r="1113">
      <c r="A1113" s="61" t="str">
        <f t="shared" si="1"/>
        <v/>
      </c>
      <c r="B1113" s="73"/>
      <c r="C1113" s="76"/>
      <c r="D1113" s="76" t="str">
        <f>VLOOKUP(B1113,'HEAD OF THE FAMILY'!B1934:J2110,9,FALSE)</f>
        <v>#REF!</v>
      </c>
      <c r="E1113" s="3"/>
      <c r="F1113" s="3"/>
      <c r="G1113" s="7"/>
      <c r="H1113" s="7"/>
      <c r="I1113" s="7"/>
      <c r="J1113" s="60"/>
      <c r="K1113" s="60" t="str">
        <f t="shared" si="2"/>
        <v/>
      </c>
    </row>
    <row r="1114">
      <c r="A1114" s="61" t="str">
        <f t="shared" si="1"/>
        <v/>
      </c>
      <c r="B1114" s="73"/>
      <c r="C1114" s="76"/>
      <c r="D1114" s="76" t="str">
        <f>VLOOKUP(B1114,'HEAD OF THE FAMILY'!B1934:J2111,9,FALSE)</f>
        <v>#REF!</v>
      </c>
      <c r="E1114" s="3"/>
      <c r="F1114" s="3"/>
      <c r="G1114" s="7"/>
      <c r="H1114" s="7"/>
      <c r="I1114" s="7"/>
      <c r="J1114" s="60"/>
      <c r="K1114" s="60" t="str">
        <f t="shared" si="2"/>
        <v/>
      </c>
    </row>
    <row r="1115">
      <c r="A1115" s="61" t="str">
        <f t="shared" si="1"/>
        <v/>
      </c>
      <c r="B1115" s="73"/>
      <c r="C1115" s="76"/>
      <c r="D1115" s="76" t="str">
        <f>VLOOKUP(B1115,'HEAD OF THE FAMILY'!B1934:J2112,9,FALSE)</f>
        <v>#REF!</v>
      </c>
      <c r="E1115" s="3"/>
      <c r="F1115" s="3"/>
      <c r="G1115" s="7"/>
      <c r="H1115" s="7"/>
      <c r="I1115" s="7"/>
      <c r="J1115" s="60"/>
      <c r="K1115" s="60" t="str">
        <f t="shared" si="2"/>
        <v/>
      </c>
    </row>
    <row r="1116">
      <c r="A1116" s="61" t="str">
        <f t="shared" si="1"/>
        <v/>
      </c>
      <c r="B1116" s="73"/>
      <c r="C1116" s="76"/>
      <c r="D1116" s="76" t="str">
        <f>VLOOKUP(B1116,'HEAD OF THE FAMILY'!B1934:J2113,9,FALSE)</f>
        <v>#REF!</v>
      </c>
      <c r="E1116" s="3"/>
      <c r="F1116" s="3"/>
      <c r="G1116" s="7"/>
      <c r="H1116" s="7"/>
      <c r="I1116" s="7"/>
      <c r="J1116" s="60"/>
      <c r="K1116" s="60" t="str">
        <f t="shared" si="2"/>
        <v/>
      </c>
    </row>
    <row r="1117">
      <c r="A1117" s="61" t="str">
        <f t="shared" si="1"/>
        <v/>
      </c>
      <c r="B1117" s="73"/>
      <c r="C1117" s="76"/>
      <c r="D1117" s="76" t="str">
        <f>VLOOKUP(B1117,'HEAD OF THE FAMILY'!B1934:J2114,9,FALSE)</f>
        <v>#REF!</v>
      </c>
      <c r="E1117" s="3"/>
      <c r="F1117" s="3"/>
      <c r="G1117" s="7"/>
      <c r="H1117" s="7"/>
      <c r="I1117" s="7"/>
      <c r="J1117" s="60"/>
      <c r="K1117" s="60" t="str">
        <f t="shared" si="2"/>
        <v/>
      </c>
    </row>
    <row r="1118">
      <c r="A1118" s="61" t="str">
        <f t="shared" si="1"/>
        <v/>
      </c>
      <c r="B1118" s="73"/>
      <c r="C1118" s="76"/>
      <c r="D1118" s="76" t="str">
        <f>VLOOKUP(B1118,'HEAD OF THE FAMILY'!B1934:J2115,9,FALSE)</f>
        <v>#REF!</v>
      </c>
      <c r="E1118" s="3"/>
      <c r="F1118" s="3"/>
      <c r="G1118" s="7"/>
      <c r="H1118" s="7"/>
      <c r="I1118" s="7"/>
      <c r="J1118" s="60"/>
      <c r="K1118" s="60" t="str">
        <f t="shared" si="2"/>
        <v/>
      </c>
    </row>
    <row r="1119">
      <c r="A1119" s="61" t="str">
        <f t="shared" si="1"/>
        <v/>
      </c>
      <c r="B1119" s="73"/>
      <c r="C1119" s="76"/>
      <c r="D1119" s="76" t="str">
        <f>VLOOKUP(B1119,'HEAD OF THE FAMILY'!B1934:J2116,9,FALSE)</f>
        <v>#REF!</v>
      </c>
      <c r="E1119" s="3"/>
      <c r="F1119" s="3"/>
      <c r="G1119" s="7"/>
      <c r="H1119" s="7"/>
      <c r="I1119" s="7"/>
      <c r="J1119" s="60"/>
      <c r="K1119" s="60" t="str">
        <f t="shared" si="2"/>
        <v/>
      </c>
    </row>
    <row r="1120">
      <c r="A1120" s="61" t="str">
        <f t="shared" si="1"/>
        <v/>
      </c>
      <c r="B1120" s="73"/>
      <c r="C1120" s="76"/>
      <c r="D1120" s="76" t="str">
        <f>VLOOKUP(B1120,'HEAD OF THE FAMILY'!B1934:J2117,9,FALSE)</f>
        <v>#REF!</v>
      </c>
      <c r="E1120" s="3"/>
      <c r="F1120" s="3"/>
      <c r="G1120" s="7"/>
      <c r="H1120" s="7"/>
      <c r="I1120" s="7"/>
      <c r="J1120" s="60"/>
      <c r="K1120" s="60" t="str">
        <f t="shared" si="2"/>
        <v/>
      </c>
    </row>
    <row r="1121">
      <c r="A1121" s="61" t="str">
        <f t="shared" si="1"/>
        <v/>
      </c>
      <c r="B1121" s="73"/>
      <c r="C1121" s="76"/>
      <c r="D1121" s="76" t="str">
        <f>VLOOKUP(B1121,'HEAD OF THE FAMILY'!B1934:J2118,9,FALSE)</f>
        <v>#REF!</v>
      </c>
      <c r="E1121" s="3"/>
      <c r="F1121" s="3"/>
      <c r="G1121" s="7"/>
      <c r="H1121" s="7"/>
      <c r="I1121" s="7"/>
      <c r="J1121" s="60"/>
      <c r="K1121" s="60" t="str">
        <f t="shared" si="2"/>
        <v/>
      </c>
    </row>
    <row r="1122">
      <c r="A1122" s="61" t="str">
        <f t="shared" si="1"/>
        <v/>
      </c>
      <c r="B1122" s="73"/>
      <c r="C1122" s="76"/>
      <c r="D1122" s="76" t="str">
        <f>VLOOKUP(B1122,'HEAD OF THE FAMILY'!B1934:J2119,9,FALSE)</f>
        <v>#REF!</v>
      </c>
      <c r="E1122" s="3"/>
      <c r="F1122" s="3"/>
      <c r="G1122" s="7"/>
      <c r="H1122" s="7"/>
      <c r="I1122" s="7"/>
      <c r="J1122" s="60"/>
      <c r="K1122" s="60" t="str">
        <f t="shared" si="2"/>
        <v/>
      </c>
    </row>
    <row r="1123">
      <c r="A1123" s="61" t="str">
        <f t="shared" si="1"/>
        <v/>
      </c>
      <c r="B1123" s="73"/>
      <c r="C1123" s="76"/>
      <c r="D1123" s="76" t="str">
        <f>VLOOKUP(B1123,'HEAD OF THE FAMILY'!B1934:J2120,9,FALSE)</f>
        <v>#REF!</v>
      </c>
      <c r="E1123" s="3"/>
      <c r="F1123" s="3"/>
      <c r="G1123" s="7"/>
      <c r="H1123" s="7"/>
      <c r="I1123" s="7"/>
      <c r="J1123" s="60"/>
      <c r="K1123" s="60" t="str">
        <f t="shared" si="2"/>
        <v/>
      </c>
    </row>
    <row r="1124">
      <c r="A1124" s="61" t="str">
        <f t="shared" si="1"/>
        <v/>
      </c>
      <c r="B1124" s="73"/>
      <c r="C1124" s="76"/>
      <c r="D1124" s="76" t="str">
        <f>VLOOKUP(B1124,'HEAD OF THE FAMILY'!B1934:J2121,9,FALSE)</f>
        <v>#REF!</v>
      </c>
      <c r="E1124" s="3"/>
      <c r="F1124" s="3"/>
      <c r="G1124" s="7"/>
      <c r="H1124" s="7"/>
      <c r="I1124" s="7"/>
      <c r="J1124" s="60"/>
      <c r="K1124" s="60" t="str">
        <f t="shared" si="2"/>
        <v/>
      </c>
    </row>
    <row r="1125">
      <c r="A1125" s="61" t="str">
        <f t="shared" si="1"/>
        <v/>
      </c>
      <c r="B1125" s="73"/>
      <c r="C1125" s="76"/>
      <c r="D1125" s="76" t="str">
        <f>VLOOKUP(B1125,'HEAD OF THE FAMILY'!B1934:J2122,9,FALSE)</f>
        <v>#REF!</v>
      </c>
      <c r="E1125" s="3"/>
      <c r="F1125" s="3"/>
      <c r="G1125" s="7"/>
      <c r="H1125" s="7"/>
      <c r="I1125" s="7"/>
      <c r="J1125" s="60"/>
      <c r="K1125" s="60" t="str">
        <f t="shared" si="2"/>
        <v/>
      </c>
    </row>
    <row r="1126">
      <c r="A1126" s="61" t="str">
        <f t="shared" si="1"/>
        <v/>
      </c>
      <c r="B1126" s="73"/>
      <c r="C1126" s="76"/>
      <c r="D1126" s="76" t="str">
        <f>VLOOKUP(B1126,'HEAD OF THE FAMILY'!B1934:J2123,9,FALSE)</f>
        <v>#REF!</v>
      </c>
      <c r="E1126" s="3"/>
      <c r="F1126" s="3"/>
      <c r="G1126" s="7"/>
      <c r="H1126" s="7"/>
      <c r="I1126" s="7"/>
      <c r="J1126" s="60"/>
      <c r="K1126" s="60" t="str">
        <f t="shared" si="2"/>
        <v/>
      </c>
    </row>
    <row r="1127">
      <c r="A1127" s="61" t="str">
        <f t="shared" si="1"/>
        <v/>
      </c>
      <c r="B1127" s="73"/>
      <c r="C1127" s="76"/>
      <c r="D1127" s="76" t="str">
        <f>VLOOKUP(B1127,'HEAD OF THE FAMILY'!B1934:J2124,9,FALSE)</f>
        <v>#REF!</v>
      </c>
      <c r="E1127" s="3"/>
      <c r="F1127" s="3"/>
      <c r="G1127" s="7"/>
      <c r="H1127" s="7"/>
      <c r="I1127" s="7"/>
      <c r="J1127" s="60"/>
      <c r="K1127" s="60" t="str">
        <f t="shared" si="2"/>
        <v/>
      </c>
    </row>
    <row r="1128">
      <c r="A1128" s="61" t="str">
        <f t="shared" si="1"/>
        <v/>
      </c>
      <c r="B1128" s="73"/>
      <c r="C1128" s="76"/>
      <c r="D1128" s="76" t="str">
        <f>VLOOKUP(B1128,'HEAD OF THE FAMILY'!B1934:J2125,9,FALSE)</f>
        <v>#REF!</v>
      </c>
      <c r="E1128" s="3"/>
      <c r="F1128" s="3"/>
      <c r="G1128" s="7"/>
      <c r="H1128" s="7"/>
      <c r="I1128" s="7"/>
      <c r="J1128" s="60"/>
      <c r="K1128" s="60" t="str">
        <f t="shared" si="2"/>
        <v/>
      </c>
    </row>
    <row r="1129">
      <c r="A1129" s="61" t="str">
        <f t="shared" si="1"/>
        <v/>
      </c>
      <c r="B1129" s="73"/>
      <c r="C1129" s="76"/>
      <c r="D1129" s="76" t="str">
        <f>VLOOKUP(B1129,'HEAD OF THE FAMILY'!B1934:J2126,9,FALSE)</f>
        <v>#REF!</v>
      </c>
      <c r="E1129" s="3"/>
      <c r="F1129" s="3"/>
      <c r="G1129" s="7"/>
      <c r="H1129" s="7"/>
      <c r="I1129" s="7"/>
      <c r="J1129" s="60"/>
      <c r="K1129" s="60" t="str">
        <f t="shared" si="2"/>
        <v/>
      </c>
    </row>
    <row r="1130">
      <c r="A1130" s="61" t="str">
        <f t="shared" si="1"/>
        <v/>
      </c>
      <c r="B1130" s="73"/>
      <c r="C1130" s="76"/>
      <c r="D1130" s="76" t="str">
        <f>VLOOKUP(B1130,'HEAD OF THE FAMILY'!B1934:J2127,9,FALSE)</f>
        <v>#REF!</v>
      </c>
      <c r="E1130" s="3"/>
      <c r="F1130" s="3"/>
      <c r="G1130" s="7"/>
      <c r="H1130" s="7"/>
      <c r="I1130" s="7"/>
      <c r="J1130" s="60"/>
      <c r="K1130" s="60" t="str">
        <f t="shared" si="2"/>
        <v/>
      </c>
    </row>
    <row r="1131">
      <c r="A1131" s="61" t="str">
        <f t="shared" si="1"/>
        <v/>
      </c>
      <c r="B1131" s="73"/>
      <c r="C1131" s="76"/>
      <c r="D1131" s="76" t="str">
        <f>VLOOKUP(B1131,'HEAD OF THE FAMILY'!B1934:J2128,9,FALSE)</f>
        <v>#REF!</v>
      </c>
      <c r="E1131" s="3"/>
      <c r="F1131" s="3"/>
      <c r="G1131" s="7"/>
      <c r="H1131" s="7"/>
      <c r="I1131" s="7"/>
      <c r="J1131" s="60"/>
      <c r="K1131" s="60" t="str">
        <f t="shared" si="2"/>
        <v/>
      </c>
    </row>
    <row r="1132">
      <c r="A1132" s="61" t="str">
        <f t="shared" si="1"/>
        <v/>
      </c>
      <c r="B1132" s="73"/>
      <c r="C1132" s="76"/>
      <c r="D1132" s="76" t="str">
        <f>VLOOKUP(B1132,'HEAD OF THE FAMILY'!B1934:J2129,9,FALSE)</f>
        <v>#REF!</v>
      </c>
      <c r="E1132" s="3"/>
      <c r="F1132" s="3"/>
      <c r="G1132" s="7"/>
      <c r="H1132" s="7"/>
      <c r="I1132" s="7"/>
      <c r="J1132" s="60"/>
      <c r="K1132" s="60" t="str">
        <f t="shared" si="2"/>
        <v/>
      </c>
    </row>
    <row r="1133">
      <c r="A1133" s="61" t="str">
        <f t="shared" si="1"/>
        <v/>
      </c>
      <c r="B1133" s="73"/>
      <c r="C1133" s="76"/>
      <c r="D1133" s="76" t="str">
        <f>VLOOKUP(B1133,'HEAD OF THE FAMILY'!B1934:J2130,9,FALSE)</f>
        <v>#REF!</v>
      </c>
      <c r="E1133" s="3"/>
      <c r="F1133" s="3"/>
      <c r="G1133" s="7"/>
      <c r="H1133" s="7"/>
      <c r="I1133" s="7"/>
      <c r="J1133" s="60"/>
      <c r="K1133" s="60" t="str">
        <f t="shared" si="2"/>
        <v/>
      </c>
    </row>
    <row r="1134">
      <c r="A1134" s="61" t="str">
        <f t="shared" si="1"/>
        <v/>
      </c>
      <c r="B1134" s="73"/>
      <c r="C1134" s="76"/>
      <c r="D1134" s="76" t="str">
        <f>VLOOKUP(B1134,'HEAD OF THE FAMILY'!B1934:J2131,9,FALSE)</f>
        <v>#REF!</v>
      </c>
      <c r="E1134" s="3"/>
      <c r="F1134" s="3"/>
      <c r="G1134" s="7"/>
      <c r="H1134" s="7"/>
      <c r="I1134" s="7"/>
      <c r="J1134" s="60"/>
      <c r="K1134" s="60" t="str">
        <f t="shared" si="2"/>
        <v/>
      </c>
    </row>
    <row r="1135">
      <c r="A1135" s="61" t="str">
        <f t="shared" si="1"/>
        <v/>
      </c>
      <c r="B1135" s="73"/>
      <c r="C1135" s="76"/>
      <c r="D1135" s="76" t="str">
        <f>VLOOKUP(B1135,'HEAD OF THE FAMILY'!B1934:J2132,9,FALSE)</f>
        <v>#REF!</v>
      </c>
      <c r="E1135" s="3"/>
      <c r="F1135" s="3"/>
      <c r="G1135" s="7"/>
      <c r="H1135" s="7"/>
      <c r="I1135" s="7"/>
      <c r="J1135" s="60"/>
      <c r="K1135" s="60" t="str">
        <f t="shared" si="2"/>
        <v/>
      </c>
    </row>
    <row r="1136">
      <c r="A1136" s="61" t="str">
        <f t="shared" si="1"/>
        <v/>
      </c>
      <c r="B1136" s="73"/>
      <c r="C1136" s="76"/>
      <c r="D1136" s="76" t="str">
        <f>VLOOKUP(B1136,'HEAD OF THE FAMILY'!B1934:J2133,9,FALSE)</f>
        <v>#REF!</v>
      </c>
      <c r="E1136" s="3"/>
      <c r="F1136" s="3"/>
      <c r="G1136" s="7"/>
      <c r="H1136" s="7"/>
      <c r="I1136" s="7"/>
      <c r="J1136" s="60"/>
      <c r="K1136" s="60" t="str">
        <f t="shared" si="2"/>
        <v/>
      </c>
    </row>
    <row r="1137">
      <c r="A1137" s="61" t="str">
        <f t="shared" si="1"/>
        <v/>
      </c>
      <c r="B1137" s="73"/>
      <c r="C1137" s="76"/>
      <c r="D1137" s="76" t="str">
        <f>VLOOKUP(B1137,'HEAD OF THE FAMILY'!B1934:J2134,9,FALSE)</f>
        <v>#REF!</v>
      </c>
      <c r="E1137" s="3"/>
      <c r="F1137" s="3"/>
      <c r="G1137" s="7"/>
      <c r="H1137" s="7"/>
      <c r="I1137" s="7"/>
      <c r="J1137" s="60"/>
      <c r="K1137" s="60" t="str">
        <f t="shared" si="2"/>
        <v/>
      </c>
    </row>
    <row r="1138">
      <c r="A1138" s="61" t="str">
        <f t="shared" si="1"/>
        <v/>
      </c>
      <c r="B1138" s="73"/>
      <c r="C1138" s="76"/>
      <c r="D1138" s="76" t="str">
        <f>VLOOKUP(B1138,'HEAD OF THE FAMILY'!B1934:J2135,9,FALSE)</f>
        <v>#REF!</v>
      </c>
      <c r="E1138" s="3"/>
      <c r="F1138" s="3"/>
      <c r="G1138" s="7"/>
      <c r="H1138" s="7"/>
      <c r="I1138" s="7"/>
      <c r="J1138" s="60"/>
      <c r="K1138" s="60" t="str">
        <f t="shared" si="2"/>
        <v/>
      </c>
    </row>
    <row r="1139">
      <c r="A1139" s="61" t="str">
        <f t="shared" si="1"/>
        <v/>
      </c>
      <c r="B1139" s="73"/>
      <c r="C1139" s="76"/>
      <c r="D1139" s="76" t="str">
        <f>VLOOKUP(B1139,'HEAD OF THE FAMILY'!B1934:J2136,9,FALSE)</f>
        <v>#REF!</v>
      </c>
      <c r="E1139" s="3"/>
      <c r="F1139" s="3"/>
      <c r="G1139" s="7"/>
      <c r="H1139" s="7"/>
      <c r="I1139" s="7"/>
      <c r="J1139" s="60"/>
      <c r="K1139" s="60" t="str">
        <f t="shared" si="2"/>
        <v/>
      </c>
    </row>
    <row r="1140">
      <c r="A1140" s="61" t="str">
        <f t="shared" si="1"/>
        <v/>
      </c>
      <c r="B1140" s="73"/>
      <c r="C1140" s="76"/>
      <c r="D1140" s="76" t="str">
        <f>VLOOKUP(B1140,'HEAD OF THE FAMILY'!B1934:J2137,9,FALSE)</f>
        <v>#REF!</v>
      </c>
      <c r="E1140" s="3"/>
      <c r="F1140" s="3"/>
      <c r="G1140" s="7"/>
      <c r="H1140" s="7"/>
      <c r="I1140" s="7"/>
      <c r="J1140" s="60"/>
      <c r="K1140" s="60" t="str">
        <f t="shared" si="2"/>
        <v/>
      </c>
    </row>
    <row r="1141">
      <c r="A1141" s="61" t="str">
        <f t="shared" si="1"/>
        <v/>
      </c>
      <c r="B1141" s="73"/>
      <c r="C1141" s="76"/>
      <c r="D1141" s="76" t="str">
        <f>VLOOKUP(B1141,'HEAD OF THE FAMILY'!B1934:J2138,9,FALSE)</f>
        <v>#REF!</v>
      </c>
      <c r="E1141" s="3"/>
      <c r="F1141" s="3"/>
      <c r="G1141" s="7"/>
      <c r="H1141" s="7"/>
      <c r="I1141" s="7"/>
      <c r="J1141" s="60"/>
      <c r="K1141" s="60" t="str">
        <f t="shared" si="2"/>
        <v/>
      </c>
    </row>
    <row r="1142">
      <c r="A1142" s="61" t="str">
        <f t="shared" si="1"/>
        <v/>
      </c>
      <c r="B1142" s="73"/>
      <c r="C1142" s="76"/>
      <c r="D1142" s="76" t="str">
        <f>VLOOKUP(B1142,'HEAD OF THE FAMILY'!B1934:J2139,9,FALSE)</f>
        <v>#REF!</v>
      </c>
      <c r="E1142" s="3"/>
      <c r="F1142" s="3"/>
      <c r="G1142" s="7"/>
      <c r="H1142" s="7"/>
      <c r="I1142" s="7"/>
      <c r="J1142" s="60"/>
      <c r="K1142" s="60" t="str">
        <f t="shared" si="2"/>
        <v/>
      </c>
    </row>
    <row r="1143">
      <c r="A1143" s="61" t="str">
        <f t="shared" si="1"/>
        <v/>
      </c>
      <c r="B1143" s="73"/>
      <c r="C1143" s="76"/>
      <c r="D1143" s="76" t="str">
        <f>VLOOKUP(B1143,'HEAD OF THE FAMILY'!B1934:J2140,9,FALSE)</f>
        <v>#REF!</v>
      </c>
      <c r="E1143" s="3"/>
      <c r="F1143" s="3"/>
      <c r="G1143" s="7"/>
      <c r="H1143" s="7"/>
      <c r="I1143" s="7"/>
      <c r="J1143" s="60"/>
      <c r="K1143" s="60" t="str">
        <f t="shared" si="2"/>
        <v/>
      </c>
    </row>
    <row r="1144">
      <c r="A1144" s="61" t="str">
        <f t="shared" si="1"/>
        <v/>
      </c>
      <c r="B1144" s="73"/>
      <c r="C1144" s="76"/>
      <c r="D1144" s="76" t="str">
        <f>VLOOKUP(B1144,'HEAD OF THE FAMILY'!B1934:J2141,9,FALSE)</f>
        <v>#REF!</v>
      </c>
      <c r="E1144" s="3"/>
      <c r="F1144" s="3"/>
      <c r="G1144" s="7"/>
      <c r="H1144" s="7"/>
      <c r="I1144" s="7"/>
      <c r="J1144" s="60"/>
      <c r="K1144" s="60" t="str">
        <f t="shared" si="2"/>
        <v/>
      </c>
    </row>
    <row r="1145">
      <c r="A1145" s="61" t="str">
        <f t="shared" si="1"/>
        <v/>
      </c>
      <c r="B1145" s="73"/>
      <c r="C1145" s="76"/>
      <c r="D1145" s="76" t="str">
        <f>VLOOKUP(B1145,'HEAD OF THE FAMILY'!B1934:J2142,9,FALSE)</f>
        <v>#REF!</v>
      </c>
      <c r="E1145" s="3"/>
      <c r="F1145" s="3"/>
      <c r="G1145" s="7"/>
      <c r="H1145" s="7"/>
      <c r="I1145" s="7"/>
      <c r="J1145" s="60"/>
      <c r="K1145" s="60" t="str">
        <f t="shared" si="2"/>
        <v/>
      </c>
    </row>
    <row r="1146">
      <c r="A1146" s="61" t="str">
        <f t="shared" si="1"/>
        <v/>
      </c>
      <c r="B1146" s="73"/>
      <c r="C1146" s="76"/>
      <c r="D1146" s="76" t="str">
        <f>VLOOKUP(B1146,'HEAD OF THE FAMILY'!B1934:J2143,9,FALSE)</f>
        <v>#REF!</v>
      </c>
      <c r="E1146" s="3"/>
      <c r="F1146" s="3"/>
      <c r="G1146" s="7"/>
      <c r="H1146" s="7"/>
      <c r="I1146" s="7"/>
      <c r="J1146" s="60"/>
      <c r="K1146" s="60" t="str">
        <f t="shared" si="2"/>
        <v/>
      </c>
    </row>
    <row r="1147">
      <c r="A1147" s="61" t="str">
        <f t="shared" si="1"/>
        <v/>
      </c>
      <c r="B1147" s="73"/>
      <c r="C1147" s="76"/>
      <c r="D1147" s="76" t="str">
        <f>VLOOKUP(B1147,'HEAD OF THE FAMILY'!B1934:J2144,9,FALSE)</f>
        <v>#REF!</v>
      </c>
      <c r="E1147" s="3"/>
      <c r="F1147" s="3"/>
      <c r="G1147" s="7"/>
      <c r="H1147" s="7"/>
      <c r="I1147" s="7"/>
      <c r="J1147" s="60"/>
      <c r="K1147" s="60" t="str">
        <f t="shared" si="2"/>
        <v/>
      </c>
    </row>
    <row r="1148">
      <c r="A1148" s="61" t="str">
        <f t="shared" si="1"/>
        <v/>
      </c>
      <c r="B1148" s="73"/>
      <c r="C1148" s="76"/>
      <c r="D1148" s="76" t="str">
        <f>VLOOKUP(B1148,'HEAD OF THE FAMILY'!B1934:J2145,9,FALSE)</f>
        <v>#REF!</v>
      </c>
      <c r="E1148" s="3"/>
      <c r="F1148" s="3"/>
      <c r="G1148" s="7"/>
      <c r="H1148" s="7"/>
      <c r="I1148" s="7"/>
      <c r="J1148" s="60"/>
      <c r="K1148" s="60" t="str">
        <f t="shared" si="2"/>
        <v/>
      </c>
    </row>
    <row r="1149">
      <c r="A1149" s="61" t="str">
        <f t="shared" si="1"/>
        <v/>
      </c>
      <c r="B1149" s="73"/>
      <c r="C1149" s="76"/>
      <c r="D1149" s="76" t="str">
        <f>VLOOKUP(B1149,'HEAD OF THE FAMILY'!B1934:J2146,9,FALSE)</f>
        <v>#REF!</v>
      </c>
      <c r="E1149" s="3"/>
      <c r="F1149" s="3"/>
      <c r="G1149" s="7"/>
      <c r="H1149" s="7"/>
      <c r="I1149" s="7"/>
      <c r="J1149" s="60"/>
      <c r="K1149" s="60" t="str">
        <f t="shared" si="2"/>
        <v/>
      </c>
    </row>
    <row r="1150">
      <c r="A1150" s="61" t="str">
        <f t="shared" si="1"/>
        <v/>
      </c>
      <c r="B1150" s="73"/>
      <c r="C1150" s="76"/>
      <c r="D1150" s="76" t="str">
        <f>VLOOKUP(B1150,'HEAD OF THE FAMILY'!B1934:J2147,9,FALSE)</f>
        <v>#REF!</v>
      </c>
      <c r="E1150" s="3"/>
      <c r="F1150" s="3"/>
      <c r="G1150" s="7"/>
      <c r="H1150" s="7"/>
      <c r="I1150" s="7"/>
      <c r="J1150" s="60"/>
      <c r="K1150" s="60" t="str">
        <f t="shared" si="2"/>
        <v/>
      </c>
    </row>
    <row r="1151">
      <c r="A1151" s="61" t="str">
        <f t="shared" si="1"/>
        <v/>
      </c>
      <c r="B1151" s="73"/>
      <c r="C1151" s="76"/>
      <c r="D1151" s="76" t="str">
        <f>VLOOKUP(B1151,'HEAD OF THE FAMILY'!B1934:J2148,9,FALSE)</f>
        <v>#REF!</v>
      </c>
      <c r="E1151" s="3"/>
      <c r="F1151" s="3"/>
      <c r="G1151" s="7"/>
      <c r="H1151" s="7"/>
      <c r="I1151" s="7"/>
      <c r="J1151" s="60"/>
      <c r="K1151" s="60" t="str">
        <f t="shared" si="2"/>
        <v/>
      </c>
    </row>
    <row r="1152">
      <c r="A1152" s="61" t="str">
        <f t="shared" si="1"/>
        <v/>
      </c>
      <c r="B1152" s="73"/>
      <c r="C1152" s="76"/>
      <c r="D1152" s="76" t="str">
        <f>VLOOKUP(B1152,'HEAD OF THE FAMILY'!B1934:J2149,9,FALSE)</f>
        <v>#REF!</v>
      </c>
      <c r="E1152" s="3"/>
      <c r="F1152" s="3"/>
      <c r="G1152" s="7"/>
      <c r="H1152" s="7"/>
      <c r="I1152" s="7"/>
      <c r="J1152" s="60"/>
      <c r="K1152" s="60" t="str">
        <f t="shared" si="2"/>
        <v/>
      </c>
    </row>
    <row r="1153">
      <c r="A1153" s="61" t="str">
        <f t="shared" si="1"/>
        <v/>
      </c>
      <c r="B1153" s="73"/>
      <c r="C1153" s="76"/>
      <c r="D1153" s="76" t="str">
        <f>VLOOKUP(B1153,'HEAD OF THE FAMILY'!B1934:J2150,9,FALSE)</f>
        <v>#REF!</v>
      </c>
      <c r="E1153" s="3"/>
      <c r="F1153" s="3"/>
      <c r="G1153" s="7"/>
      <c r="H1153" s="7"/>
      <c r="I1153" s="7"/>
      <c r="J1153" s="60"/>
      <c r="K1153" s="60" t="str">
        <f t="shared" si="2"/>
        <v/>
      </c>
    </row>
    <row r="1154">
      <c r="A1154" s="61" t="str">
        <f t="shared" si="1"/>
        <v/>
      </c>
      <c r="B1154" s="73"/>
      <c r="C1154" s="76"/>
      <c r="D1154" s="76" t="str">
        <f>VLOOKUP(B1154,'HEAD OF THE FAMILY'!B1934:J2151,9,FALSE)</f>
        <v>#REF!</v>
      </c>
      <c r="E1154" s="3"/>
      <c r="F1154" s="3"/>
      <c r="G1154" s="7"/>
      <c r="H1154" s="7"/>
      <c r="I1154" s="7"/>
      <c r="J1154" s="60"/>
      <c r="K1154" s="60" t="str">
        <f t="shared" si="2"/>
        <v/>
      </c>
    </row>
    <row r="1155">
      <c r="A1155" s="61" t="str">
        <f t="shared" si="1"/>
        <v/>
      </c>
      <c r="B1155" s="73"/>
      <c r="C1155" s="76"/>
      <c r="D1155" s="76" t="str">
        <f>VLOOKUP(B1155,'HEAD OF THE FAMILY'!B1934:J2152,9,FALSE)</f>
        <v>#REF!</v>
      </c>
      <c r="E1155" s="3"/>
      <c r="F1155" s="3"/>
      <c r="G1155" s="7"/>
      <c r="H1155" s="7"/>
      <c r="I1155" s="7"/>
      <c r="J1155" s="60"/>
      <c r="K1155" s="60" t="str">
        <f t="shared" si="2"/>
        <v/>
      </c>
    </row>
    <row r="1156">
      <c r="A1156" s="61" t="str">
        <f t="shared" si="1"/>
        <v/>
      </c>
      <c r="B1156" s="73"/>
      <c r="C1156" s="76"/>
      <c r="D1156" s="76" t="str">
        <f>VLOOKUP(B1156,'HEAD OF THE FAMILY'!B1934:J2153,9,FALSE)</f>
        <v>#REF!</v>
      </c>
      <c r="E1156" s="3"/>
      <c r="F1156" s="3"/>
      <c r="G1156" s="7"/>
      <c r="H1156" s="7"/>
      <c r="I1156" s="7"/>
      <c r="J1156" s="60"/>
      <c r="K1156" s="60" t="str">
        <f t="shared" si="2"/>
        <v/>
      </c>
    </row>
    <row r="1157">
      <c r="A1157" s="61" t="str">
        <f t="shared" si="1"/>
        <v/>
      </c>
      <c r="B1157" s="73"/>
      <c r="C1157" s="76"/>
      <c r="D1157" s="76" t="str">
        <f>VLOOKUP(B1157,'HEAD OF THE FAMILY'!B1934:J2154,9,FALSE)</f>
        <v>#REF!</v>
      </c>
      <c r="E1157" s="3"/>
      <c r="F1157" s="3"/>
      <c r="G1157" s="7"/>
      <c r="H1157" s="7"/>
      <c r="I1157" s="7"/>
      <c r="J1157" s="60"/>
      <c r="K1157" s="60" t="str">
        <f t="shared" si="2"/>
        <v/>
      </c>
    </row>
    <row r="1158">
      <c r="A1158" s="61" t="str">
        <f t="shared" si="1"/>
        <v/>
      </c>
      <c r="B1158" s="73"/>
      <c r="C1158" s="76"/>
      <c r="D1158" s="76" t="str">
        <f>VLOOKUP(B1158,'HEAD OF THE FAMILY'!B1934:J2155,9,FALSE)</f>
        <v>#REF!</v>
      </c>
      <c r="E1158" s="3"/>
      <c r="F1158" s="3"/>
      <c r="G1158" s="7"/>
      <c r="H1158" s="7"/>
      <c r="I1158" s="7"/>
      <c r="J1158" s="60"/>
      <c r="K1158" s="60" t="str">
        <f t="shared" si="2"/>
        <v/>
      </c>
    </row>
    <row r="1159">
      <c r="A1159" s="61" t="str">
        <f t="shared" si="1"/>
        <v/>
      </c>
      <c r="B1159" s="73"/>
      <c r="C1159" s="76"/>
      <c r="D1159" s="76" t="str">
        <f>VLOOKUP(B1159,'HEAD OF THE FAMILY'!B1934:J2156,9,FALSE)</f>
        <v>#REF!</v>
      </c>
      <c r="E1159" s="3"/>
      <c r="F1159" s="3"/>
      <c r="G1159" s="7"/>
      <c r="H1159" s="7"/>
      <c r="I1159" s="7"/>
      <c r="J1159" s="60"/>
      <c r="K1159" s="60" t="str">
        <f t="shared" si="2"/>
        <v/>
      </c>
    </row>
    <row r="1160">
      <c r="A1160" s="61" t="str">
        <f t="shared" si="1"/>
        <v/>
      </c>
      <c r="B1160" s="73"/>
      <c r="C1160" s="76"/>
      <c r="D1160" s="76" t="str">
        <f>VLOOKUP(B1160,'HEAD OF THE FAMILY'!B1934:J2157,9,FALSE)</f>
        <v>#REF!</v>
      </c>
      <c r="E1160" s="3"/>
      <c r="F1160" s="3"/>
      <c r="G1160" s="7"/>
      <c r="H1160" s="7"/>
      <c r="I1160" s="7"/>
      <c r="J1160" s="60"/>
      <c r="K1160" s="60" t="str">
        <f t="shared" si="2"/>
        <v/>
      </c>
    </row>
    <row r="1161">
      <c r="A1161" s="61" t="str">
        <f t="shared" si="1"/>
        <v/>
      </c>
      <c r="B1161" s="73"/>
      <c r="C1161" s="76"/>
      <c r="D1161" s="76" t="str">
        <f>VLOOKUP(B1161,'HEAD OF THE FAMILY'!B1934:J2158,9,FALSE)</f>
        <v>#REF!</v>
      </c>
      <c r="E1161" s="3"/>
      <c r="F1161" s="3"/>
      <c r="G1161" s="7"/>
      <c r="H1161" s="7"/>
      <c r="I1161" s="7"/>
      <c r="J1161" s="60"/>
      <c r="K1161" s="60" t="str">
        <f t="shared" si="2"/>
        <v/>
      </c>
    </row>
    <row r="1162">
      <c r="A1162" s="61" t="str">
        <f t="shared" si="1"/>
        <v/>
      </c>
      <c r="B1162" s="73"/>
      <c r="C1162" s="76"/>
      <c r="D1162" s="76" t="str">
        <f>VLOOKUP(B1162,'HEAD OF THE FAMILY'!B1934:J2159,9,FALSE)</f>
        <v>#REF!</v>
      </c>
      <c r="E1162" s="3"/>
      <c r="F1162" s="3"/>
      <c r="G1162" s="7"/>
      <c r="H1162" s="7"/>
      <c r="I1162" s="7"/>
      <c r="J1162" s="60"/>
      <c r="K1162" s="60" t="str">
        <f t="shared" si="2"/>
        <v/>
      </c>
    </row>
    <row r="1163">
      <c r="A1163" s="61" t="str">
        <f t="shared" si="1"/>
        <v/>
      </c>
      <c r="B1163" s="73"/>
      <c r="C1163" s="76"/>
      <c r="D1163" s="76" t="str">
        <f>VLOOKUP(B1163,'HEAD OF THE FAMILY'!B1934:J2160,9,FALSE)</f>
        <v>#REF!</v>
      </c>
      <c r="E1163" s="3"/>
      <c r="F1163" s="3"/>
      <c r="G1163" s="7"/>
      <c r="H1163" s="7"/>
      <c r="I1163" s="7"/>
      <c r="J1163" s="60"/>
      <c r="K1163" s="60" t="str">
        <f t="shared" si="2"/>
        <v/>
      </c>
    </row>
    <row r="1164">
      <c r="A1164" s="61" t="str">
        <f t="shared" si="1"/>
        <v/>
      </c>
      <c r="B1164" s="73"/>
      <c r="C1164" s="76"/>
      <c r="D1164" s="76" t="str">
        <f>VLOOKUP(B1164,'HEAD OF THE FAMILY'!B1934:J2161,9,FALSE)</f>
        <v>#REF!</v>
      </c>
      <c r="E1164" s="3"/>
      <c r="F1164" s="3"/>
      <c r="G1164" s="7"/>
      <c r="H1164" s="7"/>
      <c r="I1164" s="7"/>
      <c r="J1164" s="60"/>
      <c r="K1164" s="60" t="str">
        <f t="shared" si="2"/>
        <v/>
      </c>
    </row>
    <row r="1165">
      <c r="A1165" s="61" t="str">
        <f t="shared" si="1"/>
        <v/>
      </c>
      <c r="B1165" s="73"/>
      <c r="C1165" s="76"/>
      <c r="D1165" s="76" t="str">
        <f>VLOOKUP(B1165,'HEAD OF THE FAMILY'!B1934:J2162,9,FALSE)</f>
        <v>#REF!</v>
      </c>
      <c r="E1165" s="3"/>
      <c r="F1165" s="3"/>
      <c r="G1165" s="7"/>
      <c r="H1165" s="7"/>
      <c r="I1165" s="7"/>
      <c r="J1165" s="60"/>
      <c r="K1165" s="60" t="str">
        <f t="shared" si="2"/>
        <v/>
      </c>
    </row>
    <row r="1166">
      <c r="A1166" s="61" t="str">
        <f t="shared" si="1"/>
        <v/>
      </c>
      <c r="B1166" s="73"/>
      <c r="C1166" s="76"/>
      <c r="D1166" s="76" t="str">
        <f>VLOOKUP(B1166,'HEAD OF THE FAMILY'!B1934:J2163,9,FALSE)</f>
        <v>#REF!</v>
      </c>
      <c r="E1166" s="3"/>
      <c r="F1166" s="3"/>
      <c r="G1166" s="7"/>
      <c r="H1166" s="7"/>
      <c r="I1166" s="7"/>
      <c r="J1166" s="60"/>
      <c r="K1166" s="60" t="str">
        <f t="shared" si="2"/>
        <v/>
      </c>
    </row>
    <row r="1167">
      <c r="A1167" s="61" t="str">
        <f t="shared" si="1"/>
        <v/>
      </c>
      <c r="B1167" s="73"/>
      <c r="C1167" s="76"/>
      <c r="D1167" s="76" t="str">
        <f>VLOOKUP(B1167,'HEAD OF THE FAMILY'!B1934:J2164,9,FALSE)</f>
        <v>#REF!</v>
      </c>
      <c r="E1167" s="3"/>
      <c r="F1167" s="3"/>
      <c r="G1167" s="7"/>
      <c r="H1167" s="7"/>
      <c r="I1167" s="7"/>
      <c r="J1167" s="60"/>
      <c r="K1167" s="60" t="str">
        <f t="shared" si="2"/>
        <v/>
      </c>
    </row>
    <row r="1168">
      <c r="A1168" s="61" t="str">
        <f t="shared" si="1"/>
        <v/>
      </c>
      <c r="B1168" s="73"/>
      <c r="C1168" s="76"/>
      <c r="D1168" s="76" t="str">
        <f>VLOOKUP(B1168,'HEAD OF THE FAMILY'!B1934:J2165,9,FALSE)</f>
        <v>#REF!</v>
      </c>
      <c r="E1168" s="3"/>
      <c r="F1168" s="3"/>
      <c r="G1168" s="7"/>
      <c r="H1168" s="7"/>
      <c r="I1168" s="7"/>
      <c r="J1168" s="60"/>
      <c r="K1168" s="60" t="str">
        <f t="shared" si="2"/>
        <v/>
      </c>
    </row>
    <row r="1169">
      <c r="A1169" s="61" t="str">
        <f t="shared" si="1"/>
        <v/>
      </c>
      <c r="B1169" s="73"/>
      <c r="C1169" s="76"/>
      <c r="D1169" s="76" t="str">
        <f>VLOOKUP(B1169,'HEAD OF THE FAMILY'!B1934:J2166,9,FALSE)</f>
        <v>#REF!</v>
      </c>
      <c r="E1169" s="3"/>
      <c r="F1169" s="3"/>
      <c r="G1169" s="7"/>
      <c r="H1169" s="7"/>
      <c r="I1169" s="7"/>
      <c r="J1169" s="60"/>
      <c r="K1169" s="60" t="str">
        <f t="shared" si="2"/>
        <v/>
      </c>
    </row>
    <row r="1170">
      <c r="A1170" s="61" t="str">
        <f t="shared" si="1"/>
        <v/>
      </c>
      <c r="B1170" s="73"/>
      <c r="C1170" s="76"/>
      <c r="D1170" s="76" t="str">
        <f>VLOOKUP(B1170,'HEAD OF THE FAMILY'!B1934:J2167,9,FALSE)</f>
        <v>#REF!</v>
      </c>
      <c r="E1170" s="3"/>
      <c r="F1170" s="3"/>
      <c r="G1170" s="7"/>
      <c r="H1170" s="7"/>
      <c r="I1170" s="7"/>
      <c r="J1170" s="60"/>
      <c r="K1170" s="60" t="str">
        <f t="shared" si="2"/>
        <v/>
      </c>
    </row>
    <row r="1171">
      <c r="A1171" s="61" t="str">
        <f t="shared" si="1"/>
        <v/>
      </c>
      <c r="B1171" s="73"/>
      <c r="C1171" s="76"/>
      <c r="D1171" s="76" t="str">
        <f>VLOOKUP(B1171,'HEAD OF THE FAMILY'!B1934:J2168,9,FALSE)</f>
        <v>#REF!</v>
      </c>
      <c r="E1171" s="3"/>
      <c r="F1171" s="3"/>
      <c r="G1171" s="7"/>
      <c r="H1171" s="7"/>
      <c r="I1171" s="7"/>
      <c r="J1171" s="60"/>
      <c r="K1171" s="60" t="str">
        <f t="shared" si="2"/>
        <v/>
      </c>
    </row>
    <row r="1172">
      <c r="A1172" s="61" t="str">
        <f t="shared" si="1"/>
        <v/>
      </c>
      <c r="B1172" s="73"/>
      <c r="C1172" s="76"/>
      <c r="D1172" s="76" t="str">
        <f>VLOOKUP(B1172,'HEAD OF THE FAMILY'!B1934:J2169,9,FALSE)</f>
        <v>#REF!</v>
      </c>
      <c r="E1172" s="3"/>
      <c r="F1172" s="3"/>
      <c r="G1172" s="7"/>
      <c r="H1172" s="7"/>
      <c r="I1172" s="7"/>
      <c r="J1172" s="60"/>
      <c r="K1172" s="60" t="str">
        <f t="shared" si="2"/>
        <v/>
      </c>
    </row>
    <row r="1173">
      <c r="A1173" s="61" t="str">
        <f t="shared" si="1"/>
        <v/>
      </c>
      <c r="B1173" s="73"/>
      <c r="C1173" s="76"/>
      <c r="D1173" s="76" t="str">
        <f>VLOOKUP(B1173,'HEAD OF THE FAMILY'!B1934:J2170,9,FALSE)</f>
        <v>#REF!</v>
      </c>
      <c r="E1173" s="3"/>
      <c r="F1173" s="3"/>
      <c r="G1173" s="7"/>
      <c r="H1173" s="7"/>
      <c r="I1173" s="7"/>
      <c r="J1173" s="60"/>
      <c r="K1173" s="60" t="str">
        <f t="shared" si="2"/>
        <v/>
      </c>
    </row>
    <row r="1174">
      <c r="A1174" s="61" t="str">
        <f t="shared" si="1"/>
        <v/>
      </c>
      <c r="B1174" s="73"/>
      <c r="C1174" s="76"/>
      <c r="D1174" s="76" t="str">
        <f>VLOOKUP(B1174,'HEAD OF THE FAMILY'!B1934:J2171,9,FALSE)</f>
        <v>#REF!</v>
      </c>
      <c r="E1174" s="3"/>
      <c r="F1174" s="3"/>
      <c r="G1174" s="7"/>
      <c r="H1174" s="7"/>
      <c r="I1174" s="7"/>
      <c r="J1174" s="60"/>
      <c r="K1174" s="60" t="str">
        <f t="shared" si="2"/>
        <v/>
      </c>
    </row>
    <row r="1175">
      <c r="A1175" s="61" t="str">
        <f t="shared" si="1"/>
        <v/>
      </c>
      <c r="B1175" s="73"/>
      <c r="C1175" s="76"/>
      <c r="D1175" s="76" t="str">
        <f>VLOOKUP(B1175,'HEAD OF THE FAMILY'!B1934:J2172,9,FALSE)</f>
        <v>#REF!</v>
      </c>
      <c r="E1175" s="3"/>
      <c r="F1175" s="3"/>
      <c r="G1175" s="7"/>
      <c r="H1175" s="7"/>
      <c r="I1175" s="7"/>
      <c r="J1175" s="60"/>
      <c r="K1175" s="60" t="str">
        <f t="shared" si="2"/>
        <v/>
      </c>
    </row>
    <row r="1176">
      <c r="A1176" s="61" t="str">
        <f t="shared" si="1"/>
        <v/>
      </c>
      <c r="B1176" s="73"/>
      <c r="C1176" s="76"/>
      <c r="D1176" s="76" t="str">
        <f>VLOOKUP(B1176,'HEAD OF THE FAMILY'!B1934:J2173,9,FALSE)</f>
        <v>#REF!</v>
      </c>
      <c r="E1176" s="3"/>
      <c r="F1176" s="3"/>
      <c r="G1176" s="7"/>
      <c r="H1176" s="7"/>
      <c r="I1176" s="7"/>
      <c r="J1176" s="60"/>
      <c r="K1176" s="60" t="str">
        <f t="shared" si="2"/>
        <v/>
      </c>
    </row>
    <row r="1177">
      <c r="A1177" s="61" t="str">
        <f t="shared" si="1"/>
        <v/>
      </c>
      <c r="B1177" s="73"/>
      <c r="C1177" s="76"/>
      <c r="D1177" s="76" t="str">
        <f>VLOOKUP(B1177,'HEAD OF THE FAMILY'!B1934:J2174,9,FALSE)</f>
        <v>#REF!</v>
      </c>
      <c r="E1177" s="3"/>
      <c r="F1177" s="3"/>
      <c r="G1177" s="7"/>
      <c r="H1177" s="7"/>
      <c r="I1177" s="7"/>
      <c r="J1177" s="60"/>
      <c r="K1177" s="60" t="str">
        <f t="shared" si="2"/>
        <v/>
      </c>
    </row>
    <row r="1178">
      <c r="A1178" s="61" t="str">
        <f t="shared" si="1"/>
        <v/>
      </c>
      <c r="B1178" s="73"/>
      <c r="C1178" s="76"/>
      <c r="D1178" s="76" t="str">
        <f>VLOOKUP(B1178,'HEAD OF THE FAMILY'!B1934:J2175,9,FALSE)</f>
        <v>#REF!</v>
      </c>
      <c r="E1178" s="3"/>
      <c r="F1178" s="3"/>
      <c r="G1178" s="7"/>
      <c r="H1178" s="7"/>
      <c r="I1178" s="7"/>
      <c r="J1178" s="60"/>
      <c r="K1178" s="60" t="str">
        <f t="shared" si="2"/>
        <v/>
      </c>
    </row>
    <row r="1179">
      <c r="A1179" s="61" t="str">
        <f t="shared" si="1"/>
        <v/>
      </c>
      <c r="B1179" s="73"/>
      <c r="C1179" s="76"/>
      <c r="D1179" s="76" t="str">
        <f>VLOOKUP(B1179,'HEAD OF THE FAMILY'!B1934:J2176,9,FALSE)</f>
        <v>#REF!</v>
      </c>
      <c r="E1179" s="3"/>
      <c r="F1179" s="3"/>
      <c r="G1179" s="7"/>
      <c r="H1179" s="7"/>
      <c r="I1179" s="7"/>
      <c r="J1179" s="60"/>
      <c r="K1179" s="60" t="str">
        <f t="shared" si="2"/>
        <v/>
      </c>
    </row>
    <row r="1180">
      <c r="A1180" s="61" t="str">
        <f t="shared" si="1"/>
        <v/>
      </c>
      <c r="B1180" s="73"/>
      <c r="C1180" s="76"/>
      <c r="D1180" s="76" t="str">
        <f>VLOOKUP(B1180,'HEAD OF THE FAMILY'!B1934:J2177,9,FALSE)</f>
        <v>#REF!</v>
      </c>
      <c r="E1180" s="3"/>
      <c r="F1180" s="3"/>
      <c r="G1180" s="7"/>
      <c r="H1180" s="7"/>
      <c r="I1180" s="7"/>
      <c r="J1180" s="60"/>
      <c r="K1180" s="60" t="str">
        <f t="shared" si="2"/>
        <v/>
      </c>
    </row>
    <row r="1181">
      <c r="A1181" s="61" t="str">
        <f t="shared" si="1"/>
        <v/>
      </c>
      <c r="B1181" s="73"/>
      <c r="C1181" s="76"/>
      <c r="D1181" s="76" t="str">
        <f>VLOOKUP(B1181,'HEAD OF THE FAMILY'!B1934:J2178,9,FALSE)</f>
        <v>#REF!</v>
      </c>
      <c r="E1181" s="3"/>
      <c r="F1181" s="3"/>
      <c r="G1181" s="7"/>
      <c r="H1181" s="7"/>
      <c r="I1181" s="7"/>
      <c r="J1181" s="60"/>
      <c r="K1181" s="60" t="str">
        <f t="shared" si="2"/>
        <v/>
      </c>
    </row>
    <row r="1182">
      <c r="A1182" s="61" t="str">
        <f t="shared" si="1"/>
        <v/>
      </c>
      <c r="B1182" s="73"/>
      <c r="C1182" s="76"/>
      <c r="D1182" s="76" t="str">
        <f>VLOOKUP(B1182,'HEAD OF THE FAMILY'!B1934:J2179,9,FALSE)</f>
        <v>#REF!</v>
      </c>
      <c r="E1182" s="3"/>
      <c r="F1182" s="3"/>
      <c r="G1182" s="7"/>
      <c r="H1182" s="7"/>
      <c r="I1182" s="7"/>
      <c r="J1182" s="60"/>
      <c r="K1182" s="60" t="str">
        <f t="shared" si="2"/>
        <v/>
      </c>
    </row>
    <row r="1183">
      <c r="A1183" s="61" t="str">
        <f t="shared" si="1"/>
        <v/>
      </c>
      <c r="B1183" s="73"/>
      <c r="C1183" s="76"/>
      <c r="D1183" s="76" t="str">
        <f>VLOOKUP(B1183,'HEAD OF THE FAMILY'!B1934:J2180,9,FALSE)</f>
        <v>#REF!</v>
      </c>
      <c r="E1183" s="3"/>
      <c r="F1183" s="3"/>
      <c r="G1183" s="7"/>
      <c r="H1183" s="7"/>
      <c r="I1183" s="7"/>
      <c r="J1183" s="60"/>
      <c r="K1183" s="60" t="str">
        <f t="shared" si="2"/>
        <v/>
      </c>
    </row>
    <row r="1184">
      <c r="A1184" s="61" t="str">
        <f t="shared" si="1"/>
        <v/>
      </c>
      <c r="B1184" s="73"/>
      <c r="C1184" s="76"/>
      <c r="D1184" s="76" t="str">
        <f>VLOOKUP(B1184,'HEAD OF THE FAMILY'!B1934:J2181,9,FALSE)</f>
        <v>#REF!</v>
      </c>
      <c r="E1184" s="3"/>
      <c r="F1184" s="3"/>
      <c r="G1184" s="7"/>
      <c r="H1184" s="7"/>
      <c r="I1184" s="7"/>
      <c r="J1184" s="60"/>
      <c r="K1184" s="60" t="str">
        <f t="shared" si="2"/>
        <v/>
      </c>
    </row>
    <row r="1185">
      <c r="A1185" s="61" t="str">
        <f t="shared" si="1"/>
        <v/>
      </c>
      <c r="B1185" s="73"/>
      <c r="C1185" s="76"/>
      <c r="D1185" s="76" t="str">
        <f>VLOOKUP(B1185,'HEAD OF THE FAMILY'!B1934:J2182,9,FALSE)</f>
        <v>#REF!</v>
      </c>
      <c r="E1185" s="3"/>
      <c r="F1185" s="3"/>
      <c r="G1185" s="7"/>
      <c r="H1185" s="7"/>
      <c r="I1185" s="7"/>
      <c r="J1185" s="60"/>
      <c r="K1185" s="60" t="str">
        <f t="shared" si="2"/>
        <v/>
      </c>
    </row>
    <row r="1186">
      <c r="A1186" s="61" t="str">
        <f t="shared" si="1"/>
        <v/>
      </c>
      <c r="B1186" s="73"/>
      <c r="C1186" s="76"/>
      <c r="D1186" s="76" t="str">
        <f>VLOOKUP(B1186,'HEAD OF THE FAMILY'!B1934:J2183,9,FALSE)</f>
        <v>#REF!</v>
      </c>
      <c r="E1186" s="3"/>
      <c r="F1186" s="3"/>
      <c r="G1186" s="7"/>
      <c r="H1186" s="7"/>
      <c r="I1186" s="7"/>
      <c r="J1186" s="60"/>
      <c r="K1186" s="60" t="str">
        <f t="shared" si="2"/>
        <v/>
      </c>
    </row>
    <row r="1187">
      <c r="A1187" s="61" t="str">
        <f t="shared" si="1"/>
        <v/>
      </c>
      <c r="B1187" s="73"/>
      <c r="C1187" s="76"/>
      <c r="D1187" s="76" t="str">
        <f>VLOOKUP(B1187,'HEAD OF THE FAMILY'!B1934:J2184,9,FALSE)</f>
        <v>#REF!</v>
      </c>
      <c r="E1187" s="3"/>
      <c r="F1187" s="3"/>
      <c r="G1187" s="7"/>
      <c r="H1187" s="7"/>
      <c r="I1187" s="7"/>
      <c r="J1187" s="60"/>
      <c r="K1187" s="60" t="str">
        <f t="shared" si="2"/>
        <v/>
      </c>
    </row>
    <row r="1188">
      <c r="A1188" s="61" t="str">
        <f t="shared" si="1"/>
        <v/>
      </c>
      <c r="B1188" s="73"/>
      <c r="C1188" s="76"/>
      <c r="D1188" s="76" t="str">
        <f>VLOOKUP(B1188,'HEAD OF THE FAMILY'!B1934:J2185,9,FALSE)</f>
        <v>#REF!</v>
      </c>
      <c r="E1188" s="3"/>
      <c r="F1188" s="3"/>
      <c r="G1188" s="7"/>
      <c r="H1188" s="7"/>
      <c r="I1188" s="7"/>
      <c r="J1188" s="60"/>
      <c r="K1188" s="60" t="str">
        <f t="shared" si="2"/>
        <v/>
      </c>
    </row>
    <row r="1189">
      <c r="A1189" s="61" t="str">
        <f t="shared" si="1"/>
        <v/>
      </c>
      <c r="B1189" s="73"/>
      <c r="C1189" s="76"/>
      <c r="D1189" s="76" t="str">
        <f>VLOOKUP(B1189,'HEAD OF THE FAMILY'!B1934:J2186,9,FALSE)</f>
        <v>#REF!</v>
      </c>
      <c r="E1189" s="3"/>
      <c r="F1189" s="3"/>
      <c r="G1189" s="7"/>
      <c r="H1189" s="7"/>
      <c r="I1189" s="7"/>
      <c r="J1189" s="60"/>
      <c r="K1189" s="60" t="str">
        <f t="shared" si="2"/>
        <v/>
      </c>
    </row>
    <row r="1190">
      <c r="A1190" s="61" t="str">
        <f t="shared" si="1"/>
        <v/>
      </c>
      <c r="B1190" s="73"/>
      <c r="C1190" s="76"/>
      <c r="D1190" s="76" t="str">
        <f>VLOOKUP(B1190,'HEAD OF THE FAMILY'!B1934:J2187,9,FALSE)</f>
        <v>#REF!</v>
      </c>
      <c r="E1190" s="3"/>
      <c r="F1190" s="3"/>
      <c r="G1190" s="7"/>
      <c r="H1190" s="7"/>
      <c r="I1190" s="7"/>
      <c r="J1190" s="60"/>
      <c r="K1190" s="60" t="str">
        <f t="shared" si="2"/>
        <v/>
      </c>
    </row>
    <row r="1191">
      <c r="A1191" s="61" t="str">
        <f t="shared" si="1"/>
        <v/>
      </c>
      <c r="B1191" s="73"/>
      <c r="C1191" s="76"/>
      <c r="D1191" s="76" t="str">
        <f>VLOOKUP(B1191,'HEAD OF THE FAMILY'!B1934:J2188,9,FALSE)</f>
        <v>#REF!</v>
      </c>
      <c r="E1191" s="3"/>
      <c r="F1191" s="3"/>
      <c r="G1191" s="7"/>
      <c r="H1191" s="7"/>
      <c r="I1191" s="7"/>
      <c r="J1191" s="60"/>
      <c r="K1191" s="60" t="str">
        <f t="shared" si="2"/>
        <v/>
      </c>
    </row>
    <row r="1192">
      <c r="A1192" s="61" t="str">
        <f t="shared" si="1"/>
        <v/>
      </c>
      <c r="B1192" s="73"/>
      <c r="C1192" s="76"/>
      <c r="D1192" s="76" t="str">
        <f>VLOOKUP(B1192,'HEAD OF THE FAMILY'!B1934:J2189,9,FALSE)</f>
        <v>#REF!</v>
      </c>
      <c r="E1192" s="3"/>
      <c r="F1192" s="3"/>
      <c r="G1192" s="7"/>
      <c r="H1192" s="7"/>
      <c r="I1192" s="7"/>
      <c r="J1192" s="60"/>
      <c r="K1192" s="60" t="str">
        <f t="shared" si="2"/>
        <v/>
      </c>
    </row>
    <row r="1193">
      <c r="A1193" s="61" t="str">
        <f t="shared" si="1"/>
        <v/>
      </c>
      <c r="B1193" s="73"/>
      <c r="C1193" s="76"/>
      <c r="D1193" s="76" t="str">
        <f>VLOOKUP(B1193,'HEAD OF THE FAMILY'!B1934:J2190,9,FALSE)</f>
        <v>#REF!</v>
      </c>
      <c r="E1193" s="3"/>
      <c r="F1193" s="3"/>
      <c r="G1193" s="7"/>
      <c r="H1193" s="7"/>
      <c r="I1193" s="7"/>
      <c r="J1193" s="60"/>
      <c r="K1193" s="60" t="str">
        <f t="shared" si="2"/>
        <v/>
      </c>
    </row>
    <row r="1194">
      <c r="A1194" s="61" t="str">
        <f t="shared" si="1"/>
        <v/>
      </c>
      <c r="B1194" s="73"/>
      <c r="C1194" s="76"/>
      <c r="D1194" s="76" t="str">
        <f>VLOOKUP(B1194,'HEAD OF THE FAMILY'!B1934:J2191,9,FALSE)</f>
        <v>#REF!</v>
      </c>
      <c r="E1194" s="3"/>
      <c r="F1194" s="3"/>
      <c r="G1194" s="7"/>
      <c r="H1194" s="7"/>
      <c r="I1194" s="7"/>
      <c r="J1194" s="60"/>
      <c r="K1194" s="60" t="str">
        <f t="shared" si="2"/>
        <v/>
      </c>
    </row>
    <row r="1195">
      <c r="A1195" s="61" t="str">
        <f t="shared" si="1"/>
        <v/>
      </c>
      <c r="B1195" s="73"/>
      <c r="C1195" s="76"/>
      <c r="D1195" s="76" t="str">
        <f>VLOOKUP(B1195,'HEAD OF THE FAMILY'!B1934:J2192,9,FALSE)</f>
        <v>#REF!</v>
      </c>
      <c r="E1195" s="3"/>
      <c r="F1195" s="3"/>
      <c r="G1195" s="7"/>
      <c r="H1195" s="7"/>
      <c r="I1195" s="7"/>
      <c r="J1195" s="60"/>
      <c r="K1195" s="60" t="str">
        <f t="shared" si="2"/>
        <v/>
      </c>
    </row>
    <row r="1196">
      <c r="A1196" s="61" t="str">
        <f t="shared" si="1"/>
        <v/>
      </c>
      <c r="B1196" s="73"/>
      <c r="C1196" s="76"/>
      <c r="D1196" s="76" t="str">
        <f>VLOOKUP(B1196,'HEAD OF THE FAMILY'!B1934:J2193,9,FALSE)</f>
        <v>#REF!</v>
      </c>
      <c r="E1196" s="3"/>
      <c r="F1196" s="3"/>
      <c r="G1196" s="7"/>
      <c r="H1196" s="7"/>
      <c r="I1196" s="7"/>
      <c r="J1196" s="60"/>
      <c r="K1196" s="60" t="str">
        <f t="shared" si="2"/>
        <v/>
      </c>
    </row>
    <row r="1197">
      <c r="A1197" s="61" t="str">
        <f t="shared" si="1"/>
        <v/>
      </c>
      <c r="B1197" s="73"/>
      <c r="C1197" s="76"/>
      <c r="D1197" s="76" t="str">
        <f>VLOOKUP(B1197,'HEAD OF THE FAMILY'!B1934:J2194,9,FALSE)</f>
        <v>#REF!</v>
      </c>
      <c r="E1197" s="3"/>
      <c r="F1197" s="3"/>
      <c r="G1197" s="7"/>
      <c r="H1197" s="7"/>
      <c r="I1197" s="7"/>
      <c r="J1197" s="60"/>
      <c r="K1197" s="60" t="str">
        <f t="shared" si="2"/>
        <v/>
      </c>
    </row>
    <row r="1198">
      <c r="A1198" s="61" t="str">
        <f t="shared" si="1"/>
        <v/>
      </c>
      <c r="B1198" s="73"/>
      <c r="C1198" s="76"/>
      <c r="D1198" s="76" t="str">
        <f>VLOOKUP(B1198,'HEAD OF THE FAMILY'!B1934:J2195,9,FALSE)</f>
        <v>#REF!</v>
      </c>
      <c r="E1198" s="3"/>
      <c r="F1198" s="3"/>
      <c r="G1198" s="7"/>
      <c r="H1198" s="7"/>
      <c r="I1198" s="7"/>
      <c r="J1198" s="60"/>
      <c r="K1198" s="60" t="str">
        <f t="shared" si="2"/>
        <v/>
      </c>
    </row>
    <row r="1199">
      <c r="A1199" s="61" t="str">
        <f t="shared" si="1"/>
        <v/>
      </c>
      <c r="B1199" s="73"/>
      <c r="C1199" s="76"/>
      <c r="D1199" s="76" t="str">
        <f>VLOOKUP(B1199,'HEAD OF THE FAMILY'!B1934:J2196,9,FALSE)</f>
        <v>#REF!</v>
      </c>
      <c r="E1199" s="3"/>
      <c r="F1199" s="3"/>
      <c r="G1199" s="7"/>
      <c r="H1199" s="7"/>
      <c r="I1199" s="7"/>
      <c r="J1199" s="60"/>
      <c r="K1199" s="60" t="str">
        <f t="shared" si="2"/>
        <v/>
      </c>
    </row>
    <row r="1200">
      <c r="A1200" s="61" t="str">
        <f t="shared" si="1"/>
        <v/>
      </c>
      <c r="B1200" s="73"/>
      <c r="C1200" s="76"/>
      <c r="D1200" s="76" t="str">
        <f>VLOOKUP(B1200,'HEAD OF THE FAMILY'!B1934:J2197,9,FALSE)</f>
        <v>#REF!</v>
      </c>
      <c r="E1200" s="3"/>
      <c r="F1200" s="3"/>
      <c r="G1200" s="7"/>
      <c r="H1200" s="7"/>
      <c r="I1200" s="7"/>
      <c r="J1200" s="60"/>
      <c r="K1200" s="60" t="str">
        <f t="shared" si="2"/>
        <v/>
      </c>
    </row>
    <row r="1201">
      <c r="A1201" s="61" t="str">
        <f t="shared" si="1"/>
        <v/>
      </c>
      <c r="B1201" s="73"/>
      <c r="C1201" s="76"/>
      <c r="D1201" s="76" t="str">
        <f>VLOOKUP(B1201,'HEAD OF THE FAMILY'!B1934:J2198,9,FALSE)</f>
        <v>#REF!</v>
      </c>
      <c r="E1201" s="3"/>
      <c r="F1201" s="3"/>
      <c r="G1201" s="7"/>
      <c r="H1201" s="7"/>
      <c r="I1201" s="7"/>
      <c r="J1201" s="60"/>
      <c r="K1201" s="60" t="str">
        <f t="shared" si="2"/>
        <v/>
      </c>
    </row>
    <row r="1202">
      <c r="A1202" s="61" t="str">
        <f t="shared" si="1"/>
        <v/>
      </c>
      <c r="B1202" s="73"/>
      <c r="C1202" s="76"/>
      <c r="D1202" s="76" t="str">
        <f>VLOOKUP(B1202,'HEAD OF THE FAMILY'!B1934:J2199,9,FALSE)</f>
        <v>#REF!</v>
      </c>
      <c r="E1202" s="3"/>
      <c r="F1202" s="3"/>
      <c r="G1202" s="7"/>
      <c r="H1202" s="7"/>
      <c r="I1202" s="7"/>
      <c r="J1202" s="60"/>
      <c r="K1202" s="60" t="str">
        <f t="shared" si="2"/>
        <v/>
      </c>
    </row>
    <row r="1203">
      <c r="A1203" s="61" t="str">
        <f t="shared" si="1"/>
        <v/>
      </c>
      <c r="B1203" s="73"/>
      <c r="C1203" s="76"/>
      <c r="D1203" s="76" t="str">
        <f>VLOOKUP(B1203,'HEAD OF THE FAMILY'!B1934:J2200,9,FALSE)</f>
        <v>#REF!</v>
      </c>
      <c r="E1203" s="3"/>
      <c r="F1203" s="3"/>
      <c r="G1203" s="7"/>
      <c r="H1203" s="7"/>
      <c r="I1203" s="7"/>
      <c r="J1203" s="60"/>
      <c r="K1203" s="60" t="str">
        <f t="shared" si="2"/>
        <v/>
      </c>
    </row>
    <row r="1204">
      <c r="A1204" s="61" t="str">
        <f t="shared" si="1"/>
        <v/>
      </c>
      <c r="B1204" s="73"/>
      <c r="C1204" s="76"/>
      <c r="D1204" s="76" t="str">
        <f>VLOOKUP(B1204,'HEAD OF THE FAMILY'!B1934:J2201,9,FALSE)</f>
        <v>#REF!</v>
      </c>
      <c r="E1204" s="3"/>
      <c r="F1204" s="3"/>
      <c r="G1204" s="7"/>
      <c r="H1204" s="7"/>
      <c r="I1204" s="7"/>
      <c r="J1204" s="60"/>
      <c r="K1204" s="60" t="str">
        <f t="shared" si="2"/>
        <v/>
      </c>
    </row>
    <row r="1205">
      <c r="A1205" s="61" t="str">
        <f t="shared" si="1"/>
        <v/>
      </c>
      <c r="B1205" s="73"/>
      <c r="C1205" s="76"/>
      <c r="D1205" s="76" t="str">
        <f>VLOOKUP(B1205,'HEAD OF THE FAMILY'!B1934:J2202,9,FALSE)</f>
        <v>#REF!</v>
      </c>
      <c r="E1205" s="3"/>
      <c r="F1205" s="3"/>
      <c r="G1205" s="7"/>
      <c r="H1205" s="7"/>
      <c r="I1205" s="7"/>
      <c r="J1205" s="60"/>
      <c r="K1205" s="60" t="str">
        <f t="shared" si="2"/>
        <v/>
      </c>
    </row>
    <row r="1206">
      <c r="A1206" s="61" t="str">
        <f t="shared" si="1"/>
        <v/>
      </c>
      <c r="B1206" s="73"/>
      <c r="C1206" s="76"/>
      <c r="D1206" s="76" t="str">
        <f>VLOOKUP(B1206,'HEAD OF THE FAMILY'!B1934:J2203,9,FALSE)</f>
        <v>#REF!</v>
      </c>
      <c r="E1206" s="3"/>
      <c r="F1206" s="3"/>
      <c r="G1206" s="7"/>
      <c r="H1206" s="7"/>
      <c r="I1206" s="7"/>
      <c r="J1206" s="60"/>
      <c r="K1206" s="60" t="str">
        <f t="shared" si="2"/>
        <v/>
      </c>
    </row>
    <row r="1207">
      <c r="A1207" s="61" t="str">
        <f t="shared" si="1"/>
        <v/>
      </c>
      <c r="B1207" s="73"/>
      <c r="C1207" s="76"/>
      <c r="D1207" s="76" t="str">
        <f>VLOOKUP(B1207,'HEAD OF THE FAMILY'!B1934:J2204,9,FALSE)</f>
        <v>#REF!</v>
      </c>
      <c r="E1207" s="3"/>
      <c r="F1207" s="3"/>
      <c r="G1207" s="7"/>
      <c r="H1207" s="7"/>
      <c r="I1207" s="7"/>
      <c r="J1207" s="60"/>
      <c r="K1207" s="60" t="str">
        <f t="shared" si="2"/>
        <v/>
      </c>
    </row>
    <row r="1208">
      <c r="A1208" s="61" t="str">
        <f t="shared" si="1"/>
        <v/>
      </c>
      <c r="B1208" s="73"/>
      <c r="C1208" s="76"/>
      <c r="D1208" s="76" t="str">
        <f>VLOOKUP(B1208,'HEAD OF THE FAMILY'!B1934:J2205,9,FALSE)</f>
        <v>#REF!</v>
      </c>
      <c r="E1208" s="3"/>
      <c r="F1208" s="3"/>
      <c r="G1208" s="7"/>
      <c r="H1208" s="7"/>
      <c r="I1208" s="7"/>
      <c r="J1208" s="60"/>
      <c r="K1208" s="60" t="str">
        <f t="shared" si="2"/>
        <v/>
      </c>
    </row>
    <row r="1209">
      <c r="A1209" s="61" t="str">
        <f t="shared" si="1"/>
        <v/>
      </c>
      <c r="B1209" s="73"/>
      <c r="C1209" s="76"/>
      <c r="D1209" s="76" t="str">
        <f>VLOOKUP(B1209,'HEAD OF THE FAMILY'!B1934:J2206,9,FALSE)</f>
        <v>#REF!</v>
      </c>
      <c r="E1209" s="3"/>
      <c r="F1209" s="3"/>
      <c r="G1209" s="7"/>
      <c r="H1209" s="7"/>
      <c r="I1209" s="7"/>
      <c r="J1209" s="60"/>
      <c r="K1209" s="60" t="str">
        <f t="shared" si="2"/>
        <v/>
      </c>
    </row>
    <row r="1210">
      <c r="A1210" s="61" t="str">
        <f t="shared" si="1"/>
        <v/>
      </c>
      <c r="B1210" s="73"/>
      <c r="C1210" s="76"/>
      <c r="D1210" s="76" t="str">
        <f>VLOOKUP(B1210,'HEAD OF THE FAMILY'!B1934:J2207,9,FALSE)</f>
        <v>#REF!</v>
      </c>
      <c r="E1210" s="3"/>
      <c r="F1210" s="3"/>
      <c r="G1210" s="7"/>
      <c r="H1210" s="7"/>
      <c r="I1210" s="7"/>
      <c r="J1210" s="60"/>
      <c r="K1210" s="60" t="str">
        <f t="shared" si="2"/>
        <v/>
      </c>
    </row>
    <row r="1211">
      <c r="A1211" s="61" t="str">
        <f t="shared" si="1"/>
        <v/>
      </c>
      <c r="B1211" s="73"/>
      <c r="C1211" s="76"/>
      <c r="D1211" s="76" t="str">
        <f>VLOOKUP(B1211,'HEAD OF THE FAMILY'!B1934:J2208,9,FALSE)</f>
        <v>#REF!</v>
      </c>
      <c r="E1211" s="3"/>
      <c r="F1211" s="3"/>
      <c r="G1211" s="7"/>
      <c r="H1211" s="7"/>
      <c r="I1211" s="7"/>
      <c r="J1211" s="60"/>
      <c r="K1211" s="60" t="str">
        <f t="shared" si="2"/>
        <v/>
      </c>
    </row>
    <row r="1212">
      <c r="A1212" s="61" t="str">
        <f t="shared" si="1"/>
        <v/>
      </c>
      <c r="B1212" s="73"/>
      <c r="C1212" s="76"/>
      <c r="D1212" s="76" t="str">
        <f>VLOOKUP(B1212,'HEAD OF THE FAMILY'!B1934:J2209,9,FALSE)</f>
        <v>#REF!</v>
      </c>
      <c r="E1212" s="3"/>
      <c r="F1212" s="3"/>
      <c r="G1212" s="7"/>
      <c r="H1212" s="7"/>
      <c r="I1212" s="7"/>
      <c r="J1212" s="60"/>
      <c r="K1212" s="60" t="str">
        <f t="shared" si="2"/>
        <v/>
      </c>
    </row>
    <row r="1213">
      <c r="A1213" s="61" t="str">
        <f t="shared" si="1"/>
        <v/>
      </c>
      <c r="B1213" s="73"/>
      <c r="C1213" s="76"/>
      <c r="D1213" s="76" t="str">
        <f>VLOOKUP(B1213,'HEAD OF THE FAMILY'!B1934:J2210,9,FALSE)</f>
        <v>#REF!</v>
      </c>
      <c r="E1213" s="3"/>
      <c r="F1213" s="3"/>
      <c r="G1213" s="7"/>
      <c r="H1213" s="7"/>
      <c r="I1213" s="7"/>
      <c r="J1213" s="60"/>
      <c r="K1213" s="60" t="str">
        <f t="shared" si="2"/>
        <v/>
      </c>
    </row>
    <row r="1214">
      <c r="A1214" s="61" t="str">
        <f t="shared" si="1"/>
        <v/>
      </c>
      <c r="B1214" s="73"/>
      <c r="C1214" s="76"/>
      <c r="D1214" s="76" t="str">
        <f>VLOOKUP(B1214,'HEAD OF THE FAMILY'!B1934:J2211,9,FALSE)</f>
        <v>#REF!</v>
      </c>
      <c r="E1214" s="3"/>
      <c r="F1214" s="3"/>
      <c r="G1214" s="7"/>
      <c r="H1214" s="7"/>
      <c r="I1214" s="7"/>
      <c r="J1214" s="60"/>
      <c r="K1214" s="60" t="str">
        <f t="shared" si="2"/>
        <v/>
      </c>
    </row>
    <row r="1215">
      <c r="A1215" s="61" t="str">
        <f t="shared" si="1"/>
        <v/>
      </c>
      <c r="B1215" s="73"/>
      <c r="C1215" s="76"/>
      <c r="D1215" s="76" t="str">
        <f>VLOOKUP(B1215,'HEAD OF THE FAMILY'!B1934:J2212,9,FALSE)</f>
        <v>#REF!</v>
      </c>
      <c r="E1215" s="3"/>
      <c r="F1215" s="3"/>
      <c r="G1215" s="7"/>
      <c r="H1215" s="7"/>
      <c r="I1215" s="7"/>
      <c r="J1215" s="60"/>
      <c r="K1215" s="60" t="str">
        <f t="shared" si="2"/>
        <v/>
      </c>
    </row>
    <row r="1216">
      <c r="A1216" s="61" t="str">
        <f t="shared" si="1"/>
        <v/>
      </c>
      <c r="B1216" s="73"/>
      <c r="C1216" s="76"/>
      <c r="D1216" s="76" t="str">
        <f>VLOOKUP(B1216,'HEAD OF THE FAMILY'!B1934:J2213,9,FALSE)</f>
        <v>#REF!</v>
      </c>
      <c r="E1216" s="3"/>
      <c r="F1216" s="3"/>
      <c r="G1216" s="7"/>
      <c r="H1216" s="7"/>
      <c r="I1216" s="7"/>
      <c r="J1216" s="60"/>
      <c r="K1216" s="60" t="str">
        <f t="shared" si="2"/>
        <v/>
      </c>
    </row>
    <row r="1217">
      <c r="A1217" s="61" t="str">
        <f t="shared" si="1"/>
        <v/>
      </c>
      <c r="B1217" s="73"/>
      <c r="C1217" s="76"/>
      <c r="D1217" s="76" t="str">
        <f>VLOOKUP(B1217,'HEAD OF THE FAMILY'!B1934:J2214,9,FALSE)</f>
        <v>#REF!</v>
      </c>
      <c r="E1217" s="3"/>
      <c r="F1217" s="3"/>
      <c r="G1217" s="7"/>
      <c r="H1217" s="7"/>
      <c r="I1217" s="7"/>
      <c r="J1217" s="60"/>
      <c r="K1217" s="60" t="str">
        <f t="shared" si="2"/>
        <v/>
      </c>
    </row>
    <row r="1218">
      <c r="A1218" s="61" t="str">
        <f t="shared" si="1"/>
        <v/>
      </c>
      <c r="B1218" s="73"/>
      <c r="C1218" s="76"/>
      <c r="D1218" s="76" t="str">
        <f>VLOOKUP(B1218,'HEAD OF THE FAMILY'!B1934:J2215,9,FALSE)</f>
        <v>#REF!</v>
      </c>
      <c r="E1218" s="3"/>
      <c r="F1218" s="3"/>
      <c r="G1218" s="7"/>
      <c r="H1218" s="7"/>
      <c r="I1218" s="7"/>
      <c r="J1218" s="60"/>
      <c r="K1218" s="60" t="str">
        <f t="shared" si="2"/>
        <v/>
      </c>
    </row>
    <row r="1219">
      <c r="A1219" s="61" t="str">
        <f t="shared" si="1"/>
        <v/>
      </c>
      <c r="B1219" s="73"/>
      <c r="C1219" s="76"/>
      <c r="D1219" s="76" t="str">
        <f>VLOOKUP(B1219,'HEAD OF THE FAMILY'!B1934:J2216,9,FALSE)</f>
        <v>#REF!</v>
      </c>
      <c r="E1219" s="3"/>
      <c r="F1219" s="3"/>
      <c r="G1219" s="7"/>
      <c r="H1219" s="7"/>
      <c r="I1219" s="7"/>
      <c r="J1219" s="60"/>
      <c r="K1219" s="60" t="str">
        <f t="shared" si="2"/>
        <v/>
      </c>
    </row>
    <row r="1220">
      <c r="A1220" s="61" t="str">
        <f t="shared" si="1"/>
        <v/>
      </c>
      <c r="B1220" s="73"/>
      <c r="C1220" s="76"/>
      <c r="D1220" s="76" t="str">
        <f>VLOOKUP(B1220,'HEAD OF THE FAMILY'!B1934:J2217,9,FALSE)</f>
        <v>#REF!</v>
      </c>
      <c r="E1220" s="3"/>
      <c r="F1220" s="3"/>
      <c r="G1220" s="7"/>
      <c r="H1220" s="7"/>
      <c r="I1220" s="7"/>
      <c r="J1220" s="60"/>
      <c r="K1220" s="60" t="str">
        <f t="shared" si="2"/>
        <v/>
      </c>
    </row>
    <row r="1221">
      <c r="A1221" s="61" t="str">
        <f t="shared" si="1"/>
        <v/>
      </c>
      <c r="B1221" s="73"/>
      <c r="C1221" s="76"/>
      <c r="D1221" s="76" t="str">
        <f>VLOOKUP(B1221,'HEAD OF THE FAMILY'!B1934:J2218,9,FALSE)</f>
        <v>#REF!</v>
      </c>
      <c r="E1221" s="3"/>
      <c r="F1221" s="3"/>
      <c r="G1221" s="7"/>
      <c r="H1221" s="7"/>
      <c r="I1221" s="7"/>
      <c r="J1221" s="60"/>
      <c r="K1221" s="60" t="str">
        <f t="shared" si="2"/>
        <v/>
      </c>
    </row>
    <row r="1222">
      <c r="A1222" s="61" t="str">
        <f t="shared" si="1"/>
        <v/>
      </c>
      <c r="B1222" s="73"/>
      <c r="C1222" s="76"/>
      <c r="D1222" s="76" t="str">
        <f>VLOOKUP(B1222,'HEAD OF THE FAMILY'!B1934:J2219,9,FALSE)</f>
        <v>#REF!</v>
      </c>
      <c r="E1222" s="3"/>
      <c r="F1222" s="3"/>
      <c r="G1222" s="7"/>
      <c r="H1222" s="7"/>
      <c r="I1222" s="7"/>
      <c r="J1222" s="60"/>
      <c r="K1222" s="60" t="str">
        <f t="shared" si="2"/>
        <v/>
      </c>
    </row>
    <row r="1223">
      <c r="A1223" s="61" t="str">
        <f t="shared" si="1"/>
        <v/>
      </c>
      <c r="B1223" s="73"/>
      <c r="C1223" s="76"/>
      <c r="D1223" s="76" t="str">
        <f>VLOOKUP(B1223,'HEAD OF THE FAMILY'!B1934:J2220,9,FALSE)</f>
        <v>#REF!</v>
      </c>
      <c r="E1223" s="3"/>
      <c r="F1223" s="3"/>
      <c r="G1223" s="7"/>
      <c r="H1223" s="7"/>
      <c r="I1223" s="7"/>
      <c r="J1223" s="60"/>
      <c r="K1223" s="60" t="str">
        <f t="shared" si="2"/>
        <v/>
      </c>
    </row>
    <row r="1224">
      <c r="A1224" s="61" t="str">
        <f t="shared" si="1"/>
        <v/>
      </c>
      <c r="B1224" s="73"/>
      <c r="C1224" s="76"/>
      <c r="D1224" s="76" t="str">
        <f>VLOOKUP(B1224,'HEAD OF THE FAMILY'!B1934:J2221,9,FALSE)</f>
        <v>#REF!</v>
      </c>
      <c r="E1224" s="3"/>
      <c r="F1224" s="3"/>
      <c r="G1224" s="7"/>
      <c r="H1224" s="7"/>
      <c r="I1224" s="7"/>
      <c r="J1224" s="60"/>
      <c r="K1224" s="60" t="str">
        <f t="shared" si="2"/>
        <v/>
      </c>
    </row>
    <row r="1225">
      <c r="A1225" s="61" t="str">
        <f t="shared" si="1"/>
        <v/>
      </c>
      <c r="B1225" s="73"/>
      <c r="C1225" s="76"/>
      <c r="D1225" s="76" t="str">
        <f>VLOOKUP(B1225,'HEAD OF THE FAMILY'!B1934:J2222,9,FALSE)</f>
        <v>#REF!</v>
      </c>
      <c r="E1225" s="3"/>
      <c r="F1225" s="3"/>
      <c r="G1225" s="7"/>
      <c r="H1225" s="7"/>
      <c r="I1225" s="7"/>
      <c r="J1225" s="60"/>
      <c r="K1225" s="60" t="str">
        <f t="shared" si="2"/>
        <v/>
      </c>
    </row>
    <row r="1226">
      <c r="A1226" s="61" t="str">
        <f t="shared" si="1"/>
        <v/>
      </c>
      <c r="B1226" s="73"/>
      <c r="C1226" s="76"/>
      <c r="D1226" s="76" t="str">
        <f>VLOOKUP(B1226,'HEAD OF THE FAMILY'!B1934:J2223,9,FALSE)</f>
        <v>#REF!</v>
      </c>
      <c r="E1226" s="3"/>
      <c r="F1226" s="3"/>
      <c r="G1226" s="7"/>
      <c r="H1226" s="7"/>
      <c r="I1226" s="7"/>
      <c r="J1226" s="60"/>
      <c r="K1226" s="60" t="str">
        <f t="shared" si="2"/>
        <v/>
      </c>
    </row>
    <row r="1227">
      <c r="A1227" s="61" t="str">
        <f t="shared" si="1"/>
        <v/>
      </c>
      <c r="B1227" s="73"/>
      <c r="C1227" s="76"/>
      <c r="D1227" s="76" t="str">
        <f>VLOOKUP(B1227,'HEAD OF THE FAMILY'!B1934:J2224,9,FALSE)</f>
        <v>#REF!</v>
      </c>
      <c r="E1227" s="3"/>
      <c r="F1227" s="3"/>
      <c r="G1227" s="7"/>
      <c r="H1227" s="7"/>
      <c r="I1227" s="7"/>
      <c r="J1227" s="60"/>
      <c r="K1227" s="60" t="str">
        <f t="shared" si="2"/>
        <v/>
      </c>
    </row>
    <row r="1228">
      <c r="A1228" s="61" t="str">
        <f t="shared" si="1"/>
        <v/>
      </c>
      <c r="B1228" s="73"/>
      <c r="C1228" s="76"/>
      <c r="D1228" s="76" t="str">
        <f>VLOOKUP(B1228,'HEAD OF THE FAMILY'!B1934:J2225,9,FALSE)</f>
        <v>#REF!</v>
      </c>
      <c r="E1228" s="3"/>
      <c r="F1228" s="3"/>
      <c r="G1228" s="7"/>
      <c r="H1228" s="7"/>
      <c r="I1228" s="7"/>
      <c r="J1228" s="60"/>
      <c r="K1228" s="60" t="str">
        <f t="shared" si="2"/>
        <v/>
      </c>
    </row>
    <row r="1229">
      <c r="A1229" s="61" t="str">
        <f t="shared" si="1"/>
        <v/>
      </c>
      <c r="B1229" s="73"/>
      <c r="C1229" s="76"/>
      <c r="D1229" s="76" t="str">
        <f>VLOOKUP(B1229,'HEAD OF THE FAMILY'!B1934:J2226,9,FALSE)</f>
        <v>#REF!</v>
      </c>
      <c r="E1229" s="3"/>
      <c r="F1229" s="3"/>
      <c r="G1229" s="7"/>
      <c r="H1229" s="7"/>
      <c r="I1229" s="7"/>
      <c r="J1229" s="60"/>
      <c r="K1229" s="60" t="str">
        <f t="shared" si="2"/>
        <v/>
      </c>
    </row>
    <row r="1230">
      <c r="A1230" s="61" t="str">
        <f t="shared" si="1"/>
        <v/>
      </c>
      <c r="B1230" s="73"/>
      <c r="C1230" s="76"/>
      <c r="D1230" s="76" t="str">
        <f>VLOOKUP(B1230,'HEAD OF THE FAMILY'!B1934:J2227,9,FALSE)</f>
        <v>#REF!</v>
      </c>
      <c r="E1230" s="3"/>
      <c r="F1230" s="3"/>
      <c r="G1230" s="7"/>
      <c r="H1230" s="7"/>
      <c r="I1230" s="7"/>
      <c r="J1230" s="60"/>
      <c r="K1230" s="60" t="str">
        <f t="shared" si="2"/>
        <v/>
      </c>
    </row>
    <row r="1231">
      <c r="A1231" s="61" t="str">
        <f t="shared" si="1"/>
        <v/>
      </c>
      <c r="B1231" s="73"/>
      <c r="C1231" s="76"/>
      <c r="D1231" s="76" t="str">
        <f>VLOOKUP(B1231,'HEAD OF THE FAMILY'!B1934:J2228,9,FALSE)</f>
        <v>#REF!</v>
      </c>
      <c r="E1231" s="3"/>
      <c r="F1231" s="3"/>
      <c r="G1231" s="7"/>
      <c r="H1231" s="7"/>
      <c r="I1231" s="7"/>
      <c r="J1231" s="60"/>
      <c r="K1231" s="60" t="str">
        <f t="shared" si="2"/>
        <v/>
      </c>
    </row>
    <row r="1232">
      <c r="A1232" s="61" t="str">
        <f t="shared" si="1"/>
        <v/>
      </c>
      <c r="B1232" s="73"/>
      <c r="C1232" s="76"/>
      <c r="D1232" s="76" t="str">
        <f>VLOOKUP(B1232,'HEAD OF THE FAMILY'!B1934:J2229,9,FALSE)</f>
        <v>#REF!</v>
      </c>
      <c r="E1232" s="3"/>
      <c r="F1232" s="3"/>
      <c r="G1232" s="7"/>
      <c r="H1232" s="7"/>
      <c r="I1232" s="7"/>
      <c r="J1232" s="60"/>
      <c r="K1232" s="60" t="str">
        <f t="shared" si="2"/>
        <v/>
      </c>
    </row>
    <row r="1233">
      <c r="A1233" s="61" t="str">
        <f t="shared" si="1"/>
        <v/>
      </c>
      <c r="B1233" s="73"/>
      <c r="C1233" s="76"/>
      <c r="D1233" s="76" t="str">
        <f>VLOOKUP(B1233,'HEAD OF THE FAMILY'!B1934:J2230,9,FALSE)</f>
        <v>#REF!</v>
      </c>
      <c r="E1233" s="3"/>
      <c r="F1233" s="3"/>
      <c r="G1233" s="7"/>
      <c r="H1233" s="7"/>
      <c r="I1233" s="7"/>
      <c r="J1233" s="60"/>
      <c r="K1233" s="60" t="str">
        <f t="shared" si="2"/>
        <v/>
      </c>
    </row>
    <row r="1234">
      <c r="A1234" s="61" t="str">
        <f t="shared" si="1"/>
        <v/>
      </c>
      <c r="B1234" s="73"/>
      <c r="C1234" s="76"/>
      <c r="D1234" s="76" t="str">
        <f>VLOOKUP(B1234,'HEAD OF THE FAMILY'!B1934:J2231,9,FALSE)</f>
        <v>#REF!</v>
      </c>
      <c r="E1234" s="3"/>
      <c r="F1234" s="3"/>
      <c r="G1234" s="7"/>
      <c r="H1234" s="7"/>
      <c r="I1234" s="7"/>
      <c r="J1234" s="60"/>
      <c r="K1234" s="60" t="str">
        <f t="shared" si="2"/>
        <v/>
      </c>
    </row>
    <row r="1235">
      <c r="A1235" s="61" t="str">
        <f t="shared" si="1"/>
        <v/>
      </c>
      <c r="B1235" s="73"/>
      <c r="C1235" s="76"/>
      <c r="D1235" s="76" t="str">
        <f>VLOOKUP(B1235,'HEAD OF THE FAMILY'!B1934:J2232,9,FALSE)</f>
        <v>#REF!</v>
      </c>
      <c r="E1235" s="3"/>
      <c r="F1235" s="3"/>
      <c r="G1235" s="7"/>
      <c r="H1235" s="7"/>
      <c r="I1235" s="7"/>
      <c r="J1235" s="60"/>
      <c r="K1235" s="60" t="str">
        <f t="shared" si="2"/>
        <v/>
      </c>
    </row>
    <row r="1236">
      <c r="A1236" s="61" t="str">
        <f t="shared" si="1"/>
        <v/>
      </c>
      <c r="B1236" s="73"/>
      <c r="C1236" s="76"/>
      <c r="D1236" s="76" t="str">
        <f>VLOOKUP(B1236,'HEAD OF THE FAMILY'!B1934:J2233,9,FALSE)</f>
        <v>#REF!</v>
      </c>
      <c r="E1236" s="3"/>
      <c r="F1236" s="3"/>
      <c r="G1236" s="7"/>
      <c r="H1236" s="7"/>
      <c r="I1236" s="7"/>
      <c r="J1236" s="60"/>
      <c r="K1236" s="60" t="str">
        <f t="shared" si="2"/>
        <v/>
      </c>
    </row>
    <row r="1237">
      <c r="A1237" s="61" t="str">
        <f t="shared" si="1"/>
        <v/>
      </c>
      <c r="B1237" s="73"/>
      <c r="C1237" s="76"/>
      <c r="D1237" s="76" t="str">
        <f>VLOOKUP(B1237,'HEAD OF THE FAMILY'!B1934:J2234,9,FALSE)</f>
        <v>#REF!</v>
      </c>
      <c r="E1237" s="3"/>
      <c r="F1237" s="3"/>
      <c r="G1237" s="7"/>
      <c r="H1237" s="7"/>
      <c r="I1237" s="7"/>
      <c r="J1237" s="60"/>
      <c r="K1237" s="60" t="str">
        <f t="shared" si="2"/>
        <v/>
      </c>
    </row>
    <row r="1238">
      <c r="A1238" s="61" t="str">
        <f t="shared" si="1"/>
        <v/>
      </c>
      <c r="B1238" s="73"/>
      <c r="C1238" s="76"/>
      <c r="D1238" s="76" t="str">
        <f>VLOOKUP(B1238,'HEAD OF THE FAMILY'!B1934:J2235,9,FALSE)</f>
        <v>#REF!</v>
      </c>
      <c r="E1238" s="3"/>
      <c r="F1238" s="3"/>
      <c r="G1238" s="7"/>
      <c r="H1238" s="7"/>
      <c r="I1238" s="7"/>
      <c r="J1238" s="60"/>
      <c r="K1238" s="60" t="str">
        <f t="shared" si="2"/>
        <v/>
      </c>
    </row>
    <row r="1239">
      <c r="A1239" s="61" t="str">
        <f t="shared" si="1"/>
        <v/>
      </c>
      <c r="B1239" s="73"/>
      <c r="C1239" s="76"/>
      <c r="D1239" s="76" t="str">
        <f>VLOOKUP(B1239,'HEAD OF THE FAMILY'!B1934:J2236,9,FALSE)</f>
        <v>#REF!</v>
      </c>
      <c r="E1239" s="3"/>
      <c r="F1239" s="3"/>
      <c r="G1239" s="7"/>
      <c r="H1239" s="7"/>
      <c r="I1239" s="7"/>
      <c r="J1239" s="60"/>
      <c r="K1239" s="60" t="str">
        <f t="shared" si="2"/>
        <v/>
      </c>
    </row>
    <row r="1240">
      <c r="A1240" s="61" t="str">
        <f t="shared" si="1"/>
        <v/>
      </c>
      <c r="B1240" s="73"/>
      <c r="C1240" s="76"/>
      <c r="D1240" s="76" t="str">
        <f>VLOOKUP(B1240,'HEAD OF THE FAMILY'!B1934:J2237,9,FALSE)</f>
        <v>#REF!</v>
      </c>
      <c r="E1240" s="3"/>
      <c r="F1240" s="3"/>
      <c r="G1240" s="7"/>
      <c r="H1240" s="7"/>
      <c r="I1240" s="7"/>
      <c r="J1240" s="60"/>
      <c r="K1240" s="60" t="str">
        <f t="shared" si="2"/>
        <v/>
      </c>
    </row>
    <row r="1241">
      <c r="A1241" s="61" t="str">
        <f t="shared" si="1"/>
        <v/>
      </c>
      <c r="B1241" s="73"/>
      <c r="C1241" s="76"/>
      <c r="D1241" s="76" t="str">
        <f>VLOOKUP(B1241,'HEAD OF THE FAMILY'!B1934:J2238,9,FALSE)</f>
        <v>#REF!</v>
      </c>
      <c r="E1241" s="3"/>
      <c r="F1241" s="3"/>
      <c r="G1241" s="7"/>
      <c r="H1241" s="7"/>
      <c r="I1241" s="7"/>
      <c r="J1241" s="60"/>
      <c r="K1241" s="60" t="str">
        <f t="shared" si="2"/>
        <v/>
      </c>
    </row>
    <row r="1242">
      <c r="A1242" s="61" t="str">
        <f t="shared" si="1"/>
        <v/>
      </c>
      <c r="B1242" s="73"/>
      <c r="C1242" s="76"/>
      <c r="D1242" s="76" t="str">
        <f>VLOOKUP(B1242,'HEAD OF THE FAMILY'!B1934:J2239,9,FALSE)</f>
        <v>#REF!</v>
      </c>
      <c r="E1242" s="3"/>
      <c r="F1242" s="3"/>
      <c r="G1242" s="7"/>
      <c r="H1242" s="7"/>
      <c r="I1242" s="7"/>
      <c r="J1242" s="60"/>
      <c r="K1242" s="60" t="str">
        <f t="shared" si="2"/>
        <v/>
      </c>
    </row>
    <row r="1243">
      <c r="A1243" s="61" t="str">
        <f t="shared" si="1"/>
        <v/>
      </c>
      <c r="B1243" s="73"/>
      <c r="C1243" s="76"/>
      <c r="D1243" s="76" t="str">
        <f>VLOOKUP(B1243,'HEAD OF THE FAMILY'!B1934:J2240,9,FALSE)</f>
        <v>#REF!</v>
      </c>
      <c r="E1243" s="3"/>
      <c r="F1243" s="3"/>
      <c r="G1243" s="7"/>
      <c r="H1243" s="7"/>
      <c r="I1243" s="7"/>
      <c r="J1243" s="60"/>
      <c r="K1243" s="60" t="str">
        <f t="shared" si="2"/>
        <v/>
      </c>
    </row>
    <row r="1244">
      <c r="A1244" s="61" t="str">
        <f t="shared" si="1"/>
        <v/>
      </c>
      <c r="B1244" s="73"/>
      <c r="C1244" s="76"/>
      <c r="D1244" s="76" t="str">
        <f>VLOOKUP(B1244,'HEAD OF THE FAMILY'!B1934:J2241,9,FALSE)</f>
        <v>#REF!</v>
      </c>
      <c r="E1244" s="3"/>
      <c r="F1244" s="3"/>
      <c r="G1244" s="7"/>
      <c r="H1244" s="7"/>
      <c r="I1244" s="7"/>
      <c r="J1244" s="60"/>
      <c r="K1244" s="60" t="str">
        <f t="shared" si="2"/>
        <v/>
      </c>
    </row>
    <row r="1245">
      <c r="A1245" s="61" t="str">
        <f t="shared" si="1"/>
        <v/>
      </c>
      <c r="B1245" s="73"/>
      <c r="C1245" s="76"/>
      <c r="D1245" s="76" t="str">
        <f>VLOOKUP(B1245,'HEAD OF THE FAMILY'!B1934:J2242,9,FALSE)</f>
        <v>#REF!</v>
      </c>
      <c r="E1245" s="3"/>
      <c r="F1245" s="3"/>
      <c r="G1245" s="7"/>
      <c r="H1245" s="7"/>
      <c r="I1245" s="7"/>
      <c r="J1245" s="60"/>
      <c r="K1245" s="60" t="str">
        <f t="shared" si="2"/>
        <v/>
      </c>
    </row>
    <row r="1246">
      <c r="A1246" s="61" t="str">
        <f t="shared" si="1"/>
        <v/>
      </c>
      <c r="B1246" s="73"/>
      <c r="C1246" s="76"/>
      <c r="D1246" s="76" t="str">
        <f>VLOOKUP(B1246,'HEAD OF THE FAMILY'!B1934:J2243,9,FALSE)</f>
        <v>#REF!</v>
      </c>
      <c r="E1246" s="3"/>
      <c r="F1246" s="3"/>
      <c r="G1246" s="7"/>
      <c r="H1246" s="7"/>
      <c r="I1246" s="7"/>
      <c r="J1246" s="60"/>
      <c r="K1246" s="60" t="str">
        <f t="shared" si="2"/>
        <v/>
      </c>
    </row>
    <row r="1247">
      <c r="A1247" s="61" t="str">
        <f t="shared" si="1"/>
        <v/>
      </c>
      <c r="B1247" s="73"/>
      <c r="C1247" s="76"/>
      <c r="D1247" s="76" t="str">
        <f>VLOOKUP(B1247,'HEAD OF THE FAMILY'!B1934:J2244,9,FALSE)</f>
        <v>#REF!</v>
      </c>
      <c r="E1247" s="3"/>
      <c r="F1247" s="3"/>
      <c r="G1247" s="7"/>
      <c r="H1247" s="7"/>
      <c r="I1247" s="7"/>
      <c r="J1247" s="60"/>
      <c r="K1247" s="60" t="str">
        <f t="shared" si="2"/>
        <v/>
      </c>
    </row>
    <row r="1248">
      <c r="A1248" s="61" t="str">
        <f t="shared" si="1"/>
        <v/>
      </c>
      <c r="B1248" s="73"/>
      <c r="C1248" s="76"/>
      <c r="D1248" s="76" t="str">
        <f>VLOOKUP(B1248,'HEAD OF THE FAMILY'!B1934:J2245,9,FALSE)</f>
        <v>#REF!</v>
      </c>
      <c r="E1248" s="3"/>
      <c r="F1248" s="3"/>
      <c r="G1248" s="7"/>
      <c r="H1248" s="7"/>
      <c r="I1248" s="7"/>
      <c r="J1248" s="60"/>
      <c r="K1248" s="60" t="str">
        <f t="shared" si="2"/>
        <v/>
      </c>
    </row>
    <row r="1249">
      <c r="A1249" s="61" t="str">
        <f t="shared" si="1"/>
        <v/>
      </c>
      <c r="B1249" s="73"/>
      <c r="C1249" s="76"/>
      <c r="D1249" s="76" t="str">
        <f>VLOOKUP(B1249,'HEAD OF THE FAMILY'!B1934:J2246,9,FALSE)</f>
        <v>#REF!</v>
      </c>
      <c r="E1249" s="3"/>
      <c r="F1249" s="3"/>
      <c r="G1249" s="7"/>
      <c r="H1249" s="7"/>
      <c r="I1249" s="7"/>
      <c r="J1249" s="60"/>
      <c r="K1249" s="60" t="str">
        <f t="shared" si="2"/>
        <v/>
      </c>
    </row>
    <row r="1250">
      <c r="A1250" s="61" t="str">
        <f t="shared" si="1"/>
        <v/>
      </c>
      <c r="B1250" s="73"/>
      <c r="C1250" s="76"/>
      <c r="D1250" s="76" t="str">
        <f>VLOOKUP(B1250,'HEAD OF THE FAMILY'!B1934:J2247,9,FALSE)</f>
        <v>#REF!</v>
      </c>
      <c r="E1250" s="3"/>
      <c r="F1250" s="3"/>
      <c r="G1250" s="7"/>
      <c r="H1250" s="7"/>
      <c r="I1250" s="7"/>
      <c r="J1250" s="60"/>
      <c r="K1250" s="60" t="str">
        <f t="shared" si="2"/>
        <v/>
      </c>
    </row>
    <row r="1251">
      <c r="A1251" s="61" t="str">
        <f t="shared" si="1"/>
        <v/>
      </c>
      <c r="B1251" s="73"/>
      <c r="C1251" s="76"/>
      <c r="D1251" s="76" t="str">
        <f>VLOOKUP(B1251,'HEAD OF THE FAMILY'!B1934:J2248,9,FALSE)</f>
        <v>#REF!</v>
      </c>
      <c r="E1251" s="3"/>
      <c r="F1251" s="3"/>
      <c r="G1251" s="7"/>
      <c r="H1251" s="7"/>
      <c r="I1251" s="7"/>
      <c r="J1251" s="60"/>
      <c r="K1251" s="60" t="str">
        <f t="shared" si="2"/>
        <v/>
      </c>
    </row>
    <row r="1252">
      <c r="A1252" s="61" t="str">
        <f t="shared" si="1"/>
        <v/>
      </c>
      <c r="B1252" s="73"/>
      <c r="C1252" s="76"/>
      <c r="D1252" s="76" t="str">
        <f>VLOOKUP(B1252,'HEAD OF THE FAMILY'!B1934:J2249,9,FALSE)</f>
        <v>#REF!</v>
      </c>
      <c r="E1252" s="3"/>
      <c r="F1252" s="3"/>
      <c r="G1252" s="7"/>
      <c r="H1252" s="7"/>
      <c r="I1252" s="7"/>
      <c r="J1252" s="60"/>
      <c r="K1252" s="60" t="str">
        <f t="shared" si="2"/>
        <v/>
      </c>
    </row>
    <row r="1253">
      <c r="A1253" s="61" t="str">
        <f t="shared" si="1"/>
        <v/>
      </c>
      <c r="B1253" s="73"/>
      <c r="C1253" s="76"/>
      <c r="D1253" s="76" t="str">
        <f>VLOOKUP(B1253,'HEAD OF THE FAMILY'!B1934:J2250,9,FALSE)</f>
        <v>#REF!</v>
      </c>
      <c r="E1253" s="3"/>
      <c r="F1253" s="3"/>
      <c r="G1253" s="7"/>
      <c r="H1253" s="7"/>
      <c r="I1253" s="7"/>
      <c r="J1253" s="60"/>
      <c r="K1253" s="60" t="str">
        <f t="shared" si="2"/>
        <v/>
      </c>
    </row>
    <row r="1254">
      <c r="A1254" s="61" t="str">
        <f t="shared" si="1"/>
        <v/>
      </c>
      <c r="B1254" s="73"/>
      <c r="C1254" s="76"/>
      <c r="D1254" s="76" t="str">
        <f>VLOOKUP(B1254,'HEAD OF THE FAMILY'!B1934:J2251,9,FALSE)</f>
        <v>#REF!</v>
      </c>
      <c r="E1254" s="3"/>
      <c r="F1254" s="3"/>
      <c r="G1254" s="7"/>
      <c r="H1254" s="7"/>
      <c r="I1254" s="7"/>
      <c r="J1254" s="60"/>
      <c r="K1254" s="60" t="str">
        <f t="shared" si="2"/>
        <v/>
      </c>
    </row>
    <row r="1255">
      <c r="A1255" s="61" t="str">
        <f t="shared" si="1"/>
        <v/>
      </c>
      <c r="B1255" s="73"/>
      <c r="C1255" s="76"/>
      <c r="D1255" s="76" t="str">
        <f>VLOOKUP(B1255,'HEAD OF THE FAMILY'!B1934:J2252,9,FALSE)</f>
        <v>#REF!</v>
      </c>
      <c r="E1255" s="3"/>
      <c r="F1255" s="3"/>
      <c r="G1255" s="7"/>
      <c r="H1255" s="7"/>
      <c r="I1255" s="7"/>
      <c r="J1255" s="60"/>
      <c r="K1255" s="60" t="str">
        <f t="shared" si="2"/>
        <v/>
      </c>
    </row>
    <row r="1256">
      <c r="A1256" s="61" t="str">
        <f t="shared" si="1"/>
        <v/>
      </c>
      <c r="B1256" s="73"/>
      <c r="C1256" s="76"/>
      <c r="D1256" s="76" t="str">
        <f>VLOOKUP(B1256,'HEAD OF THE FAMILY'!B1934:J2253,9,FALSE)</f>
        <v>#REF!</v>
      </c>
      <c r="E1256" s="3"/>
      <c r="F1256" s="3"/>
      <c r="G1256" s="7"/>
      <c r="H1256" s="7"/>
      <c r="I1256" s="7"/>
      <c r="J1256" s="60"/>
      <c r="K1256" s="60" t="str">
        <f t="shared" si="2"/>
        <v/>
      </c>
    </row>
    <row r="1257">
      <c r="A1257" s="61" t="str">
        <f t="shared" si="1"/>
        <v/>
      </c>
      <c r="B1257" s="73"/>
      <c r="C1257" s="76"/>
      <c r="D1257" s="76" t="str">
        <f>VLOOKUP(B1257,'HEAD OF THE FAMILY'!B1934:J2254,9,FALSE)</f>
        <v>#REF!</v>
      </c>
      <c r="E1257" s="3"/>
      <c r="F1257" s="3"/>
      <c r="G1257" s="7"/>
      <c r="H1257" s="7"/>
      <c r="I1257" s="7"/>
      <c r="J1257" s="60"/>
      <c r="K1257" s="60" t="str">
        <f t="shared" si="2"/>
        <v/>
      </c>
    </row>
    <row r="1258">
      <c r="A1258" s="61" t="str">
        <f t="shared" si="1"/>
        <v/>
      </c>
      <c r="B1258" s="73"/>
      <c r="C1258" s="76"/>
      <c r="D1258" s="76" t="str">
        <f>VLOOKUP(B1258,'HEAD OF THE FAMILY'!B1934:J2255,9,FALSE)</f>
        <v>#REF!</v>
      </c>
      <c r="E1258" s="3"/>
      <c r="F1258" s="3"/>
      <c r="G1258" s="7"/>
      <c r="H1258" s="7"/>
      <c r="I1258" s="7"/>
      <c r="J1258" s="60"/>
      <c r="K1258" s="60" t="str">
        <f t="shared" si="2"/>
        <v/>
      </c>
    </row>
    <row r="1259">
      <c r="A1259" s="61" t="str">
        <f t="shared" si="1"/>
        <v/>
      </c>
      <c r="B1259" s="73"/>
      <c r="C1259" s="76"/>
      <c r="D1259" s="76" t="str">
        <f>VLOOKUP(B1259,'HEAD OF THE FAMILY'!B1934:J2256,9,FALSE)</f>
        <v>#REF!</v>
      </c>
      <c r="E1259" s="3"/>
      <c r="F1259" s="3"/>
      <c r="G1259" s="7"/>
      <c r="H1259" s="7"/>
      <c r="I1259" s="7"/>
      <c r="J1259" s="60"/>
      <c r="K1259" s="60" t="str">
        <f t="shared" si="2"/>
        <v/>
      </c>
    </row>
    <row r="1260">
      <c r="A1260" s="61" t="str">
        <f t="shared" si="1"/>
        <v/>
      </c>
      <c r="B1260" s="73"/>
      <c r="C1260" s="76"/>
      <c r="D1260" s="76" t="str">
        <f>VLOOKUP(B1260,'HEAD OF THE FAMILY'!B1934:J2257,9,FALSE)</f>
        <v>#REF!</v>
      </c>
      <c r="E1260" s="3"/>
      <c r="F1260" s="3"/>
      <c r="G1260" s="7"/>
      <c r="H1260" s="7"/>
      <c r="I1260" s="7"/>
      <c r="J1260" s="60"/>
      <c r="K1260" s="60" t="str">
        <f t="shared" si="2"/>
        <v/>
      </c>
    </row>
    <row r="1261">
      <c r="A1261" s="61" t="str">
        <f t="shared" si="1"/>
        <v/>
      </c>
      <c r="B1261" s="73"/>
      <c r="C1261" s="76"/>
      <c r="D1261" s="76" t="str">
        <f>VLOOKUP(B1261,'HEAD OF THE FAMILY'!B1934:J2258,9,FALSE)</f>
        <v>#REF!</v>
      </c>
      <c r="E1261" s="3"/>
      <c r="F1261" s="3"/>
      <c r="G1261" s="7"/>
      <c r="H1261" s="7"/>
      <c r="I1261" s="7"/>
      <c r="J1261" s="60"/>
      <c r="K1261" s="60" t="str">
        <f t="shared" si="2"/>
        <v/>
      </c>
    </row>
    <row r="1262">
      <c r="A1262" s="61" t="str">
        <f t="shared" si="1"/>
        <v/>
      </c>
      <c r="B1262" s="73"/>
      <c r="C1262" s="76"/>
      <c r="D1262" s="76" t="str">
        <f>VLOOKUP(B1262,'HEAD OF THE FAMILY'!B1934:J2259,9,FALSE)</f>
        <v>#REF!</v>
      </c>
      <c r="E1262" s="3"/>
      <c r="F1262" s="3"/>
      <c r="G1262" s="7"/>
      <c r="H1262" s="7"/>
      <c r="I1262" s="7"/>
      <c r="J1262" s="60"/>
      <c r="K1262" s="60" t="str">
        <f t="shared" si="2"/>
        <v/>
      </c>
    </row>
    <row r="1263">
      <c r="A1263" s="61" t="str">
        <f t="shared" si="1"/>
        <v/>
      </c>
      <c r="B1263" s="73"/>
      <c r="C1263" s="76"/>
      <c r="D1263" s="76" t="str">
        <f>VLOOKUP(B1263,'HEAD OF THE FAMILY'!B1934:J2260,9,FALSE)</f>
        <v>#REF!</v>
      </c>
      <c r="E1263" s="3"/>
      <c r="F1263" s="3"/>
      <c r="G1263" s="7"/>
      <c r="H1263" s="7"/>
      <c r="I1263" s="7"/>
      <c r="J1263" s="60"/>
      <c r="K1263" s="60" t="str">
        <f t="shared" si="2"/>
        <v/>
      </c>
    </row>
    <row r="1264">
      <c r="A1264" s="61" t="str">
        <f t="shared" si="1"/>
        <v/>
      </c>
      <c r="B1264" s="73"/>
      <c r="C1264" s="76"/>
      <c r="D1264" s="76" t="str">
        <f>VLOOKUP(B1264,'HEAD OF THE FAMILY'!B1934:J2261,9,FALSE)</f>
        <v>#REF!</v>
      </c>
      <c r="E1264" s="3"/>
      <c r="F1264" s="3"/>
      <c r="G1264" s="7"/>
      <c r="H1264" s="7"/>
      <c r="I1264" s="7"/>
      <c r="J1264" s="60"/>
      <c r="K1264" s="60" t="str">
        <f t="shared" si="2"/>
        <v/>
      </c>
    </row>
    <row r="1265">
      <c r="A1265" s="61" t="str">
        <f t="shared" si="1"/>
        <v/>
      </c>
      <c r="B1265" s="73"/>
      <c r="C1265" s="76"/>
      <c r="D1265" s="76" t="str">
        <f>VLOOKUP(B1265,'HEAD OF THE FAMILY'!B1934:J2262,9,FALSE)</f>
        <v>#REF!</v>
      </c>
      <c r="E1265" s="3"/>
      <c r="F1265" s="3"/>
      <c r="G1265" s="7"/>
      <c r="H1265" s="7"/>
      <c r="I1265" s="7"/>
      <c r="J1265" s="60"/>
      <c r="K1265" s="60" t="str">
        <f t="shared" si="2"/>
        <v/>
      </c>
    </row>
    <row r="1266">
      <c r="A1266" s="61" t="str">
        <f t="shared" si="1"/>
        <v/>
      </c>
      <c r="B1266" s="73"/>
      <c r="C1266" s="76"/>
      <c r="D1266" s="76" t="str">
        <f>VLOOKUP(B1266,'HEAD OF THE FAMILY'!B1934:J2263,9,FALSE)</f>
        <v>#REF!</v>
      </c>
      <c r="E1266" s="3"/>
      <c r="F1266" s="3"/>
      <c r="G1266" s="7"/>
      <c r="H1266" s="7"/>
      <c r="I1266" s="7"/>
      <c r="J1266" s="60"/>
      <c r="K1266" s="60" t="str">
        <f t="shared" si="2"/>
        <v/>
      </c>
    </row>
    <row r="1267">
      <c r="A1267" s="61" t="str">
        <f t="shared" si="1"/>
        <v/>
      </c>
      <c r="B1267" s="73"/>
      <c r="C1267" s="76"/>
      <c r="D1267" s="76" t="str">
        <f>VLOOKUP(B1267,'HEAD OF THE FAMILY'!B1934:J2264,9,FALSE)</f>
        <v>#REF!</v>
      </c>
      <c r="E1267" s="3"/>
      <c r="F1267" s="3"/>
      <c r="G1267" s="7"/>
      <c r="H1267" s="7"/>
      <c r="I1267" s="7"/>
      <c r="J1267" s="60"/>
      <c r="K1267" s="60" t="str">
        <f t="shared" si="2"/>
        <v/>
      </c>
    </row>
    <row r="1268">
      <c r="A1268" s="61" t="str">
        <f t="shared" si="1"/>
        <v/>
      </c>
      <c r="B1268" s="73"/>
      <c r="C1268" s="76"/>
      <c r="D1268" s="76" t="str">
        <f>VLOOKUP(B1268,'HEAD OF THE FAMILY'!B1934:J2265,9,FALSE)</f>
        <v>#REF!</v>
      </c>
      <c r="E1268" s="3"/>
      <c r="F1268" s="3"/>
      <c r="G1268" s="7"/>
      <c r="H1268" s="7"/>
      <c r="I1268" s="7"/>
      <c r="J1268" s="60"/>
      <c r="K1268" s="60" t="str">
        <f t="shared" si="2"/>
        <v/>
      </c>
    </row>
    <row r="1269">
      <c r="A1269" s="61" t="str">
        <f t="shared" si="1"/>
        <v/>
      </c>
      <c r="B1269" s="73"/>
      <c r="C1269" s="76"/>
      <c r="D1269" s="76" t="str">
        <f>VLOOKUP(B1269,'HEAD OF THE FAMILY'!B1934:J2266,9,FALSE)</f>
        <v>#REF!</v>
      </c>
      <c r="E1269" s="3"/>
      <c r="F1269" s="3"/>
      <c r="G1269" s="7"/>
      <c r="H1269" s="7"/>
      <c r="I1269" s="7"/>
      <c r="J1269" s="60"/>
      <c r="K1269" s="60" t="str">
        <f t="shared" si="2"/>
        <v/>
      </c>
    </row>
    <row r="1270">
      <c r="A1270" s="61" t="str">
        <f t="shared" si="1"/>
        <v/>
      </c>
      <c r="B1270" s="73"/>
      <c r="C1270" s="76"/>
      <c r="D1270" s="76" t="str">
        <f>VLOOKUP(B1270,'HEAD OF THE FAMILY'!B1934:J2267,9,FALSE)</f>
        <v>#REF!</v>
      </c>
      <c r="E1270" s="3"/>
      <c r="F1270" s="3"/>
      <c r="G1270" s="7"/>
      <c r="H1270" s="7"/>
      <c r="I1270" s="7"/>
      <c r="J1270" s="60"/>
      <c r="K1270" s="60" t="str">
        <f t="shared" si="2"/>
        <v/>
      </c>
    </row>
    <row r="1271">
      <c r="A1271" s="61" t="str">
        <f t="shared" si="1"/>
        <v/>
      </c>
      <c r="B1271" s="73"/>
      <c r="C1271" s="76"/>
      <c r="D1271" s="76" t="str">
        <f>VLOOKUP(B1271,'HEAD OF THE FAMILY'!B1934:J2268,9,FALSE)</f>
        <v>#REF!</v>
      </c>
      <c r="E1271" s="3"/>
      <c r="F1271" s="3"/>
      <c r="G1271" s="7"/>
      <c r="H1271" s="7"/>
      <c r="I1271" s="7"/>
      <c r="J1271" s="60"/>
      <c r="K1271" s="60" t="str">
        <f t="shared" si="2"/>
        <v/>
      </c>
    </row>
    <row r="1272">
      <c r="A1272" s="61" t="str">
        <f t="shared" si="1"/>
        <v/>
      </c>
      <c r="B1272" s="73"/>
      <c r="C1272" s="76"/>
      <c r="D1272" s="76" t="str">
        <f>VLOOKUP(B1272,'HEAD OF THE FAMILY'!B1934:J2269,9,FALSE)</f>
        <v>#REF!</v>
      </c>
      <c r="E1272" s="3"/>
      <c r="F1272" s="3"/>
      <c r="G1272" s="7"/>
      <c r="H1272" s="7"/>
      <c r="I1272" s="7"/>
      <c r="J1272" s="60"/>
      <c r="K1272" s="60" t="str">
        <f t="shared" si="2"/>
        <v/>
      </c>
    </row>
    <row r="1273">
      <c r="A1273" s="61" t="str">
        <f t="shared" si="1"/>
        <v/>
      </c>
      <c r="B1273" s="73"/>
      <c r="C1273" s="76"/>
      <c r="D1273" s="76" t="str">
        <f>VLOOKUP(B1273,'HEAD OF THE FAMILY'!B1934:J2270,9,FALSE)</f>
        <v>#REF!</v>
      </c>
      <c r="E1273" s="3"/>
      <c r="F1273" s="3"/>
      <c r="G1273" s="7"/>
      <c r="H1273" s="7"/>
      <c r="I1273" s="7"/>
      <c r="J1273" s="60"/>
      <c r="K1273" s="60" t="str">
        <f t="shared" si="2"/>
        <v/>
      </c>
    </row>
    <row r="1274">
      <c r="A1274" s="61" t="str">
        <f t="shared" si="1"/>
        <v/>
      </c>
      <c r="B1274" s="73"/>
      <c r="C1274" s="76"/>
      <c r="D1274" s="76" t="str">
        <f>VLOOKUP(B1274,'HEAD OF THE FAMILY'!B1934:J2271,9,FALSE)</f>
        <v>#REF!</v>
      </c>
      <c r="E1274" s="3"/>
      <c r="F1274" s="3"/>
      <c r="G1274" s="7"/>
      <c r="H1274" s="7"/>
      <c r="I1274" s="7"/>
      <c r="J1274" s="60"/>
      <c r="K1274" s="60" t="str">
        <f t="shared" si="2"/>
        <v/>
      </c>
    </row>
    <row r="1275">
      <c r="A1275" s="61" t="str">
        <f t="shared" si="1"/>
        <v/>
      </c>
      <c r="B1275" s="73"/>
      <c r="C1275" s="76"/>
      <c r="D1275" s="76" t="str">
        <f>VLOOKUP(B1275,'HEAD OF THE FAMILY'!B1934:J2272,9,FALSE)</f>
        <v>#REF!</v>
      </c>
      <c r="E1275" s="3"/>
      <c r="F1275" s="3"/>
      <c r="G1275" s="7"/>
      <c r="H1275" s="7"/>
      <c r="I1275" s="7"/>
      <c r="J1275" s="60"/>
      <c r="K1275" s="60" t="str">
        <f t="shared" si="2"/>
        <v/>
      </c>
    </row>
    <row r="1276">
      <c r="A1276" s="61" t="str">
        <f t="shared" si="1"/>
        <v/>
      </c>
      <c r="B1276" s="73"/>
      <c r="C1276" s="76"/>
      <c r="D1276" s="76" t="str">
        <f>VLOOKUP(B1276,'HEAD OF THE FAMILY'!B1934:J2273,9,FALSE)</f>
        <v>#REF!</v>
      </c>
      <c r="E1276" s="3"/>
      <c r="F1276" s="3"/>
      <c r="G1276" s="7"/>
      <c r="H1276" s="7"/>
      <c r="I1276" s="7"/>
      <c r="J1276" s="60"/>
      <c r="K1276" s="60" t="str">
        <f t="shared" si="2"/>
        <v/>
      </c>
    </row>
    <row r="1277">
      <c r="A1277" s="61" t="str">
        <f t="shared" si="1"/>
        <v/>
      </c>
      <c r="B1277" s="73"/>
      <c r="C1277" s="76"/>
      <c r="D1277" s="76" t="str">
        <f>VLOOKUP(B1277,'HEAD OF THE FAMILY'!B1934:J2274,9,FALSE)</f>
        <v>#REF!</v>
      </c>
      <c r="E1277" s="3"/>
      <c r="F1277" s="3"/>
      <c r="G1277" s="7"/>
      <c r="H1277" s="7"/>
      <c r="I1277" s="7"/>
      <c r="J1277" s="60"/>
      <c r="K1277" s="60" t="str">
        <f t="shared" si="2"/>
        <v/>
      </c>
    </row>
    <row r="1278">
      <c r="A1278" s="61" t="str">
        <f t="shared" si="1"/>
        <v/>
      </c>
      <c r="B1278" s="73"/>
      <c r="C1278" s="76"/>
      <c r="D1278" s="76" t="str">
        <f>VLOOKUP(B1278,'HEAD OF THE FAMILY'!B1934:J2275,9,FALSE)</f>
        <v>#REF!</v>
      </c>
      <c r="E1278" s="3"/>
      <c r="F1278" s="3"/>
      <c r="G1278" s="7"/>
      <c r="H1278" s="7"/>
      <c r="I1278" s="7"/>
      <c r="J1278" s="60"/>
      <c r="K1278" s="60" t="str">
        <f t="shared" si="2"/>
        <v/>
      </c>
    </row>
    <row r="1279">
      <c r="A1279" s="61" t="str">
        <f t="shared" si="1"/>
        <v/>
      </c>
      <c r="B1279" s="73"/>
      <c r="C1279" s="76"/>
      <c r="D1279" s="76" t="str">
        <f>VLOOKUP(B1279,'HEAD OF THE FAMILY'!B1934:J2276,9,FALSE)</f>
        <v>#REF!</v>
      </c>
      <c r="E1279" s="3"/>
      <c r="F1279" s="3"/>
      <c r="G1279" s="7"/>
      <c r="H1279" s="7"/>
      <c r="I1279" s="7"/>
      <c r="J1279" s="60"/>
      <c r="K1279" s="60" t="str">
        <f t="shared" si="2"/>
        <v/>
      </c>
    </row>
    <row r="1280">
      <c r="A1280" s="61" t="str">
        <f t="shared" si="1"/>
        <v/>
      </c>
      <c r="B1280" s="73"/>
      <c r="C1280" s="76"/>
      <c r="D1280" s="76" t="str">
        <f>VLOOKUP(B1280,'HEAD OF THE FAMILY'!B1934:J2277,9,FALSE)</f>
        <v>#REF!</v>
      </c>
      <c r="E1280" s="3"/>
      <c r="F1280" s="3"/>
      <c r="G1280" s="7"/>
      <c r="H1280" s="7"/>
      <c r="I1280" s="7"/>
      <c r="J1280" s="60"/>
      <c r="K1280" s="60" t="str">
        <f t="shared" si="2"/>
        <v/>
      </c>
    </row>
    <row r="1281">
      <c r="A1281" s="61" t="str">
        <f t="shared" si="1"/>
        <v/>
      </c>
      <c r="B1281" s="73"/>
      <c r="C1281" s="76"/>
      <c r="D1281" s="76" t="str">
        <f>VLOOKUP(B1281,'HEAD OF THE FAMILY'!B1934:J2278,9,FALSE)</f>
        <v>#REF!</v>
      </c>
      <c r="E1281" s="3"/>
      <c r="F1281" s="3"/>
      <c r="G1281" s="7"/>
      <c r="H1281" s="7"/>
      <c r="I1281" s="7"/>
      <c r="J1281" s="60"/>
      <c r="K1281" s="60" t="str">
        <f t="shared" si="2"/>
        <v/>
      </c>
    </row>
    <row r="1282">
      <c r="A1282" s="61" t="str">
        <f t="shared" si="1"/>
        <v/>
      </c>
      <c r="B1282" s="73"/>
      <c r="C1282" s="76"/>
      <c r="D1282" s="76" t="str">
        <f>VLOOKUP(B1282,'HEAD OF THE FAMILY'!B1934:J2279,9,FALSE)</f>
        <v>#REF!</v>
      </c>
      <c r="E1282" s="3"/>
      <c r="F1282" s="3"/>
      <c r="G1282" s="7"/>
      <c r="H1282" s="7"/>
      <c r="I1282" s="7"/>
      <c r="J1282" s="60"/>
      <c r="K1282" s="60" t="str">
        <f t="shared" si="2"/>
        <v/>
      </c>
    </row>
    <row r="1283">
      <c r="A1283" s="61" t="str">
        <f t="shared" si="1"/>
        <v/>
      </c>
      <c r="B1283" s="73"/>
      <c r="C1283" s="76"/>
      <c r="D1283" s="76" t="str">
        <f>VLOOKUP(B1283,'HEAD OF THE FAMILY'!B1934:J2280,9,FALSE)</f>
        <v>#REF!</v>
      </c>
      <c r="E1283" s="3"/>
      <c r="F1283" s="3"/>
      <c r="G1283" s="7"/>
      <c r="H1283" s="7"/>
      <c r="I1283" s="7"/>
      <c r="J1283" s="60"/>
      <c r="K1283" s="60" t="str">
        <f t="shared" si="2"/>
        <v/>
      </c>
    </row>
    <row r="1284">
      <c r="A1284" s="61" t="str">
        <f t="shared" si="1"/>
        <v/>
      </c>
      <c r="B1284" s="73"/>
      <c r="C1284" s="76"/>
      <c r="D1284" s="76" t="str">
        <f>VLOOKUP(B1284,'HEAD OF THE FAMILY'!B1934:J2281,9,FALSE)</f>
        <v>#REF!</v>
      </c>
      <c r="E1284" s="3"/>
      <c r="F1284" s="3"/>
      <c r="G1284" s="7"/>
      <c r="H1284" s="7"/>
      <c r="I1284" s="7"/>
      <c r="J1284" s="60"/>
      <c r="K1284" s="60" t="str">
        <f t="shared" si="2"/>
        <v/>
      </c>
    </row>
    <row r="1285">
      <c r="A1285" s="61" t="str">
        <f t="shared" si="1"/>
        <v/>
      </c>
      <c r="B1285" s="73"/>
      <c r="C1285" s="76"/>
      <c r="D1285" s="76" t="str">
        <f>VLOOKUP(B1285,'HEAD OF THE FAMILY'!B1934:J2282,9,FALSE)</f>
        <v>#REF!</v>
      </c>
      <c r="E1285" s="3"/>
      <c r="F1285" s="3"/>
      <c r="G1285" s="7"/>
      <c r="H1285" s="7"/>
      <c r="I1285" s="7"/>
      <c r="J1285" s="60"/>
      <c r="K1285" s="60" t="str">
        <f t="shared" si="2"/>
        <v/>
      </c>
    </row>
    <row r="1286">
      <c r="A1286" s="61" t="str">
        <f t="shared" si="1"/>
        <v/>
      </c>
      <c r="B1286" s="73"/>
      <c r="C1286" s="76"/>
      <c r="D1286" s="76" t="str">
        <f>VLOOKUP(B1286,'HEAD OF THE FAMILY'!B1934:J2283,9,FALSE)</f>
        <v>#REF!</v>
      </c>
      <c r="E1286" s="3"/>
      <c r="F1286" s="3"/>
      <c r="G1286" s="7"/>
      <c r="H1286" s="7"/>
      <c r="I1286" s="7"/>
      <c r="J1286" s="60"/>
      <c r="K1286" s="60" t="str">
        <f t="shared" si="2"/>
        <v/>
      </c>
    </row>
    <row r="1287">
      <c r="A1287" s="61" t="str">
        <f t="shared" si="1"/>
        <v/>
      </c>
      <c r="B1287" s="73"/>
      <c r="C1287" s="76"/>
      <c r="D1287" s="76" t="str">
        <f>VLOOKUP(B1287,'HEAD OF THE FAMILY'!B1934:J2284,9,FALSE)</f>
        <v>#REF!</v>
      </c>
      <c r="E1287" s="3"/>
      <c r="F1287" s="3"/>
      <c r="G1287" s="7"/>
      <c r="H1287" s="7"/>
      <c r="I1287" s="7"/>
      <c r="J1287" s="60"/>
      <c r="K1287" s="60" t="str">
        <f t="shared" si="2"/>
        <v/>
      </c>
    </row>
    <row r="1288">
      <c r="A1288" s="61" t="str">
        <f t="shared" si="1"/>
        <v/>
      </c>
      <c r="B1288" s="73"/>
      <c r="C1288" s="76"/>
      <c r="D1288" s="76" t="str">
        <f>VLOOKUP(B1288,'HEAD OF THE FAMILY'!B1934:J2285,9,FALSE)</f>
        <v>#REF!</v>
      </c>
      <c r="E1288" s="3"/>
      <c r="F1288" s="3"/>
      <c r="G1288" s="7"/>
      <c r="H1288" s="7"/>
      <c r="I1288" s="7"/>
      <c r="J1288" s="60"/>
      <c r="K1288" s="60" t="str">
        <f t="shared" si="2"/>
        <v/>
      </c>
    </row>
    <row r="1289">
      <c r="A1289" s="61" t="str">
        <f t="shared" si="1"/>
        <v/>
      </c>
      <c r="B1289" s="73"/>
      <c r="C1289" s="76"/>
      <c r="D1289" s="76" t="str">
        <f>VLOOKUP(B1289,'HEAD OF THE FAMILY'!B1934:J2286,9,FALSE)</f>
        <v>#REF!</v>
      </c>
      <c r="E1289" s="3"/>
      <c r="F1289" s="3"/>
      <c r="G1289" s="7"/>
      <c r="H1289" s="7"/>
      <c r="I1289" s="7"/>
      <c r="J1289" s="60"/>
      <c r="K1289" s="60" t="str">
        <f t="shared" si="2"/>
        <v/>
      </c>
    </row>
    <row r="1290">
      <c r="A1290" s="61" t="str">
        <f t="shared" si="1"/>
        <v/>
      </c>
      <c r="B1290" s="73"/>
      <c r="C1290" s="76"/>
      <c r="D1290" s="76" t="str">
        <f>VLOOKUP(B1290,'HEAD OF THE FAMILY'!B1934:J2287,9,FALSE)</f>
        <v>#REF!</v>
      </c>
      <c r="E1290" s="3"/>
      <c r="F1290" s="3"/>
      <c r="G1290" s="7"/>
      <c r="H1290" s="7"/>
      <c r="I1290" s="7"/>
      <c r="J1290" s="60"/>
      <c r="K1290" s="60" t="str">
        <f t="shared" si="2"/>
        <v/>
      </c>
    </row>
    <row r="1291">
      <c r="A1291" s="61" t="str">
        <f t="shared" si="1"/>
        <v/>
      </c>
      <c r="B1291" s="73"/>
      <c r="C1291" s="76"/>
      <c r="D1291" s="76" t="str">
        <f>VLOOKUP(B1291,'HEAD OF THE FAMILY'!B1934:J2288,9,FALSE)</f>
        <v>#REF!</v>
      </c>
      <c r="E1291" s="3"/>
      <c r="F1291" s="3"/>
      <c r="G1291" s="7"/>
      <c r="H1291" s="7"/>
      <c r="I1291" s="7"/>
      <c r="J1291" s="60"/>
      <c r="K1291" s="60" t="str">
        <f t="shared" si="2"/>
        <v/>
      </c>
    </row>
    <row r="1292">
      <c r="A1292" s="61" t="str">
        <f t="shared" si="1"/>
        <v/>
      </c>
      <c r="B1292" s="73"/>
      <c r="C1292" s="76"/>
      <c r="D1292" s="76" t="str">
        <f>VLOOKUP(B1292,'HEAD OF THE FAMILY'!B1934:J2289,9,FALSE)</f>
        <v>#REF!</v>
      </c>
      <c r="E1292" s="3"/>
      <c r="F1292" s="3"/>
      <c r="G1292" s="7"/>
      <c r="H1292" s="7"/>
      <c r="I1292" s="7"/>
      <c r="J1292" s="60"/>
      <c r="K1292" s="60" t="str">
        <f t="shared" si="2"/>
        <v/>
      </c>
    </row>
    <row r="1293">
      <c r="A1293" s="61" t="str">
        <f t="shared" si="1"/>
        <v/>
      </c>
      <c r="B1293" s="73"/>
      <c r="C1293" s="76"/>
      <c r="D1293" s="76" t="str">
        <f>VLOOKUP(B1293,'HEAD OF THE FAMILY'!B1934:J2290,9,FALSE)</f>
        <v>#REF!</v>
      </c>
      <c r="E1293" s="3"/>
      <c r="F1293" s="3"/>
      <c r="G1293" s="7"/>
      <c r="H1293" s="7"/>
      <c r="I1293" s="7"/>
      <c r="J1293" s="60"/>
      <c r="K1293" s="60" t="str">
        <f t="shared" si="2"/>
        <v/>
      </c>
    </row>
    <row r="1294">
      <c r="A1294" s="61" t="str">
        <f t="shared" si="1"/>
        <v/>
      </c>
      <c r="B1294" s="73"/>
      <c r="C1294" s="76"/>
      <c r="D1294" s="76" t="str">
        <f>VLOOKUP(B1294,'HEAD OF THE FAMILY'!B1934:J2291,9,FALSE)</f>
        <v>#REF!</v>
      </c>
      <c r="E1294" s="3"/>
      <c r="F1294" s="3"/>
      <c r="G1294" s="7"/>
      <c r="H1294" s="7"/>
      <c r="I1294" s="7"/>
      <c r="J1294" s="60"/>
      <c r="K1294" s="60" t="str">
        <f t="shared" si="2"/>
        <v/>
      </c>
    </row>
    <row r="1295">
      <c r="A1295" s="61" t="str">
        <f t="shared" si="1"/>
        <v/>
      </c>
      <c r="B1295" s="73"/>
      <c r="C1295" s="76"/>
      <c r="D1295" s="76" t="str">
        <f>VLOOKUP(B1295,'HEAD OF THE FAMILY'!B1934:J2292,9,FALSE)</f>
        <v>#REF!</v>
      </c>
      <c r="E1295" s="3"/>
      <c r="F1295" s="3"/>
      <c r="G1295" s="7"/>
      <c r="H1295" s="7"/>
      <c r="I1295" s="7"/>
      <c r="J1295" s="60"/>
      <c r="K1295" s="60" t="str">
        <f t="shared" si="2"/>
        <v/>
      </c>
    </row>
    <row r="1296">
      <c r="A1296" s="61" t="str">
        <f t="shared" si="1"/>
        <v/>
      </c>
      <c r="B1296" s="73"/>
      <c r="C1296" s="76"/>
      <c r="D1296" s="76" t="str">
        <f>VLOOKUP(B1296,'HEAD OF THE FAMILY'!B1934:J2293,9,FALSE)</f>
        <v>#REF!</v>
      </c>
      <c r="E1296" s="3"/>
      <c r="F1296" s="3"/>
      <c r="G1296" s="7"/>
      <c r="H1296" s="7"/>
      <c r="I1296" s="7"/>
      <c r="J1296" s="60"/>
      <c r="K1296" s="60" t="str">
        <f t="shared" si="2"/>
        <v/>
      </c>
    </row>
    <row r="1297">
      <c r="A1297" s="61" t="str">
        <f t="shared" si="1"/>
        <v/>
      </c>
      <c r="B1297" s="73"/>
      <c r="C1297" s="76"/>
      <c r="D1297" s="76" t="str">
        <f>VLOOKUP(B1297,'HEAD OF THE FAMILY'!B1934:J2294,9,FALSE)</f>
        <v>#REF!</v>
      </c>
      <c r="E1297" s="3"/>
      <c r="F1297" s="3"/>
      <c r="G1297" s="7"/>
      <c r="H1297" s="7"/>
      <c r="I1297" s="7"/>
      <c r="J1297" s="60"/>
      <c r="K1297" s="60" t="str">
        <f t="shared" si="2"/>
        <v/>
      </c>
    </row>
    <row r="1298">
      <c r="A1298" s="61" t="str">
        <f t="shared" si="1"/>
        <v/>
      </c>
      <c r="B1298" s="73"/>
      <c r="C1298" s="76"/>
      <c r="D1298" s="76" t="str">
        <f>VLOOKUP(B1298,'HEAD OF THE FAMILY'!B1934:J2295,9,FALSE)</f>
        <v>#REF!</v>
      </c>
      <c r="E1298" s="3"/>
      <c r="F1298" s="3"/>
      <c r="G1298" s="7"/>
      <c r="H1298" s="7"/>
      <c r="I1298" s="7"/>
      <c r="J1298" s="60"/>
      <c r="K1298" s="60" t="str">
        <f t="shared" si="2"/>
        <v/>
      </c>
    </row>
    <row r="1299">
      <c r="A1299" s="61" t="str">
        <f t="shared" si="1"/>
        <v/>
      </c>
      <c r="B1299" s="73"/>
      <c r="C1299" s="76"/>
      <c r="D1299" s="76" t="str">
        <f>VLOOKUP(B1299,'HEAD OF THE FAMILY'!B1934:J2296,9,FALSE)</f>
        <v>#REF!</v>
      </c>
      <c r="E1299" s="3"/>
      <c r="F1299" s="3"/>
      <c r="G1299" s="7"/>
      <c r="H1299" s="7"/>
      <c r="I1299" s="7"/>
      <c r="J1299" s="60"/>
      <c r="K1299" s="60" t="str">
        <f t="shared" si="2"/>
        <v/>
      </c>
    </row>
    <row r="1300">
      <c r="A1300" s="61" t="str">
        <f t="shared" si="1"/>
        <v/>
      </c>
      <c r="B1300" s="73"/>
      <c r="C1300" s="76"/>
      <c r="D1300" s="76" t="str">
        <f>VLOOKUP(B1300,'HEAD OF THE FAMILY'!B1934:J2297,9,FALSE)</f>
        <v>#REF!</v>
      </c>
      <c r="E1300" s="3"/>
      <c r="F1300" s="3"/>
      <c r="G1300" s="7"/>
      <c r="H1300" s="7"/>
      <c r="I1300" s="7"/>
      <c r="J1300" s="60"/>
      <c r="K1300" s="60" t="str">
        <f t="shared" si="2"/>
        <v/>
      </c>
    </row>
    <row r="1301">
      <c r="A1301" s="61" t="str">
        <f t="shared" si="1"/>
        <v/>
      </c>
      <c r="B1301" s="73"/>
      <c r="C1301" s="76"/>
      <c r="D1301" s="76" t="str">
        <f>VLOOKUP(B1301,'HEAD OF THE FAMILY'!B1934:J2298,9,FALSE)</f>
        <v>#REF!</v>
      </c>
      <c r="E1301" s="3"/>
      <c r="F1301" s="3"/>
      <c r="G1301" s="7"/>
      <c r="H1301" s="7"/>
      <c r="I1301" s="7"/>
      <c r="J1301" s="60"/>
      <c r="K1301" s="60" t="str">
        <f t="shared" si="2"/>
        <v/>
      </c>
    </row>
    <row r="1302">
      <c r="A1302" s="61" t="str">
        <f t="shared" si="1"/>
        <v/>
      </c>
      <c r="B1302" s="73"/>
      <c r="C1302" s="76"/>
      <c r="D1302" s="76" t="str">
        <f>VLOOKUP(B1302,'HEAD OF THE FAMILY'!B1934:J2299,9,FALSE)</f>
        <v>#REF!</v>
      </c>
      <c r="E1302" s="3"/>
      <c r="F1302" s="3"/>
      <c r="G1302" s="7"/>
      <c r="H1302" s="7"/>
      <c r="I1302" s="7"/>
      <c r="J1302" s="60"/>
      <c r="K1302" s="60" t="str">
        <f t="shared" si="2"/>
        <v/>
      </c>
    </row>
    <row r="1303">
      <c r="A1303" s="61" t="str">
        <f t="shared" si="1"/>
        <v/>
      </c>
      <c r="B1303" s="73"/>
      <c r="C1303" s="76"/>
      <c r="D1303" s="76" t="str">
        <f>VLOOKUP(B1303,'HEAD OF THE FAMILY'!B1934:J2300,9,FALSE)</f>
        <v>#REF!</v>
      </c>
      <c r="E1303" s="3"/>
      <c r="F1303" s="3"/>
      <c r="G1303" s="7"/>
      <c r="H1303" s="7"/>
      <c r="I1303" s="7"/>
      <c r="J1303" s="60"/>
      <c r="K1303" s="60" t="str">
        <f t="shared" si="2"/>
        <v/>
      </c>
    </row>
    <row r="1304">
      <c r="A1304" s="61" t="str">
        <f t="shared" si="1"/>
        <v/>
      </c>
      <c r="B1304" s="73"/>
      <c r="C1304" s="76"/>
      <c r="D1304" s="76" t="str">
        <f>VLOOKUP(B1304,'HEAD OF THE FAMILY'!B1934:J2301,9,FALSE)</f>
        <v>#REF!</v>
      </c>
      <c r="E1304" s="3"/>
      <c r="F1304" s="3"/>
      <c r="G1304" s="7"/>
      <c r="H1304" s="7"/>
      <c r="I1304" s="7"/>
      <c r="J1304" s="60"/>
      <c r="K1304" s="60" t="str">
        <f t="shared" si="2"/>
        <v/>
      </c>
    </row>
    <row r="1305">
      <c r="A1305" s="61" t="str">
        <f t="shared" si="1"/>
        <v/>
      </c>
      <c r="B1305" s="73"/>
      <c r="C1305" s="76"/>
      <c r="D1305" s="76" t="str">
        <f>VLOOKUP(B1305,'HEAD OF THE FAMILY'!B1934:J2302,9,FALSE)</f>
        <v>#REF!</v>
      </c>
      <c r="E1305" s="3"/>
      <c r="F1305" s="3"/>
      <c r="G1305" s="7"/>
      <c r="H1305" s="7"/>
      <c r="I1305" s="7"/>
      <c r="J1305" s="60"/>
      <c r="K1305" s="60" t="str">
        <f t="shared" si="2"/>
        <v/>
      </c>
    </row>
    <row r="1306">
      <c r="A1306" s="61" t="str">
        <f t="shared" si="1"/>
        <v/>
      </c>
      <c r="B1306" s="73"/>
      <c r="C1306" s="76"/>
      <c r="D1306" s="76" t="str">
        <f>VLOOKUP(B1306,'HEAD OF THE FAMILY'!B1934:J2303,9,FALSE)</f>
        <v>#REF!</v>
      </c>
      <c r="E1306" s="3"/>
      <c r="F1306" s="3"/>
      <c r="G1306" s="7"/>
      <c r="H1306" s="7"/>
      <c r="I1306" s="7"/>
      <c r="J1306" s="60"/>
      <c r="K1306" s="60" t="str">
        <f t="shared" si="2"/>
        <v/>
      </c>
    </row>
    <row r="1307">
      <c r="A1307" s="61" t="str">
        <f t="shared" si="1"/>
        <v/>
      </c>
      <c r="B1307" s="73"/>
      <c r="C1307" s="76"/>
      <c r="D1307" s="76" t="str">
        <f>VLOOKUP(B1307,'HEAD OF THE FAMILY'!B1934:J2304,9,FALSE)</f>
        <v>#REF!</v>
      </c>
      <c r="E1307" s="3"/>
      <c r="F1307" s="3"/>
      <c r="G1307" s="7"/>
      <c r="H1307" s="7"/>
      <c r="I1307" s="7"/>
      <c r="J1307" s="60"/>
      <c r="K1307" s="60" t="str">
        <f t="shared" si="2"/>
        <v/>
      </c>
    </row>
    <row r="1308">
      <c r="A1308" s="61" t="str">
        <f t="shared" si="1"/>
        <v/>
      </c>
      <c r="B1308" s="73"/>
      <c r="C1308" s="76"/>
      <c r="D1308" s="76" t="str">
        <f>VLOOKUP(B1308,'HEAD OF THE FAMILY'!B1934:J2305,9,FALSE)</f>
        <v>#REF!</v>
      </c>
      <c r="E1308" s="3"/>
      <c r="F1308" s="3"/>
      <c r="G1308" s="7"/>
      <c r="H1308" s="7"/>
      <c r="I1308" s="7"/>
      <c r="J1308" s="60"/>
      <c r="K1308" s="60" t="str">
        <f t="shared" si="2"/>
        <v/>
      </c>
    </row>
    <row r="1309">
      <c r="A1309" s="61" t="str">
        <f t="shared" si="1"/>
        <v/>
      </c>
      <c r="B1309" s="73"/>
      <c r="C1309" s="76"/>
      <c r="D1309" s="76" t="str">
        <f>VLOOKUP(B1309,'HEAD OF THE FAMILY'!B1934:J2306,9,FALSE)</f>
        <v>#REF!</v>
      </c>
      <c r="E1309" s="3"/>
      <c r="F1309" s="3"/>
      <c r="G1309" s="7"/>
      <c r="H1309" s="7"/>
      <c r="I1309" s="7"/>
      <c r="J1309" s="60"/>
      <c r="K1309" s="60" t="str">
        <f t="shared" si="2"/>
        <v/>
      </c>
    </row>
    <row r="1310">
      <c r="A1310" s="61" t="str">
        <f t="shared" si="1"/>
        <v/>
      </c>
      <c r="B1310" s="73"/>
      <c r="C1310" s="76"/>
      <c r="D1310" s="76" t="str">
        <f>VLOOKUP(B1310,'HEAD OF THE FAMILY'!B1934:J2307,9,FALSE)</f>
        <v>#REF!</v>
      </c>
      <c r="E1310" s="3"/>
      <c r="F1310" s="3"/>
      <c r="G1310" s="7"/>
      <c r="H1310" s="7"/>
      <c r="I1310" s="7"/>
      <c r="J1310" s="60"/>
      <c r="K1310" s="60" t="str">
        <f t="shared" si="2"/>
        <v/>
      </c>
    </row>
    <row r="1311">
      <c r="A1311" s="61" t="str">
        <f t="shared" si="1"/>
        <v/>
      </c>
      <c r="B1311" s="73"/>
      <c r="C1311" s="76"/>
      <c r="D1311" s="76" t="str">
        <f>VLOOKUP(B1311,'HEAD OF THE FAMILY'!B1934:J2308,9,FALSE)</f>
        <v>#REF!</v>
      </c>
      <c r="E1311" s="3"/>
      <c r="F1311" s="3"/>
      <c r="G1311" s="7"/>
      <c r="H1311" s="7"/>
      <c r="I1311" s="7"/>
      <c r="J1311" s="60"/>
      <c r="K1311" s="60" t="str">
        <f t="shared" si="2"/>
        <v/>
      </c>
    </row>
    <row r="1312">
      <c r="A1312" s="61" t="str">
        <f t="shared" si="1"/>
        <v/>
      </c>
      <c r="B1312" s="73"/>
      <c r="C1312" s="76"/>
      <c r="D1312" s="76" t="str">
        <f>VLOOKUP(B1312,'HEAD OF THE FAMILY'!B1934:J2309,9,FALSE)</f>
        <v>#REF!</v>
      </c>
      <c r="E1312" s="3"/>
      <c r="F1312" s="3"/>
      <c r="G1312" s="7"/>
      <c r="H1312" s="7"/>
      <c r="I1312" s="7"/>
      <c r="J1312" s="60"/>
      <c r="K1312" s="60" t="str">
        <f t="shared" si="2"/>
        <v/>
      </c>
    </row>
    <row r="1313">
      <c r="A1313" s="61" t="str">
        <f t="shared" si="1"/>
        <v/>
      </c>
      <c r="B1313" s="73"/>
      <c r="C1313" s="76"/>
      <c r="D1313" s="76" t="str">
        <f>VLOOKUP(B1313,'HEAD OF THE FAMILY'!B1934:J2310,9,FALSE)</f>
        <v>#REF!</v>
      </c>
      <c r="E1313" s="3"/>
      <c r="F1313" s="3"/>
      <c r="G1313" s="7"/>
      <c r="H1313" s="7"/>
      <c r="I1313" s="7"/>
      <c r="J1313" s="60"/>
      <c r="K1313" s="60" t="str">
        <f t="shared" si="2"/>
        <v/>
      </c>
    </row>
    <row r="1314">
      <c r="A1314" s="61" t="str">
        <f t="shared" si="1"/>
        <v/>
      </c>
      <c r="B1314" s="73"/>
      <c r="C1314" s="76"/>
      <c r="D1314" s="76" t="str">
        <f>VLOOKUP(B1314,'HEAD OF THE FAMILY'!B1934:J2311,9,FALSE)</f>
        <v>#REF!</v>
      </c>
      <c r="E1314" s="3"/>
      <c r="F1314" s="3"/>
      <c r="G1314" s="7"/>
      <c r="H1314" s="7"/>
      <c r="I1314" s="7"/>
      <c r="J1314" s="60"/>
      <c r="K1314" s="60" t="str">
        <f t="shared" si="2"/>
        <v/>
      </c>
    </row>
    <row r="1315">
      <c r="A1315" s="61" t="str">
        <f t="shared" si="1"/>
        <v/>
      </c>
      <c r="B1315" s="73"/>
      <c r="C1315" s="76"/>
      <c r="D1315" s="76" t="str">
        <f>VLOOKUP(B1315,'HEAD OF THE FAMILY'!B1934:J2312,9,FALSE)</f>
        <v>#REF!</v>
      </c>
      <c r="E1315" s="3"/>
      <c r="F1315" s="3"/>
      <c r="G1315" s="7"/>
      <c r="H1315" s="7"/>
      <c r="I1315" s="7"/>
      <c r="J1315" s="60"/>
      <c r="K1315" s="60" t="str">
        <f t="shared" si="2"/>
        <v/>
      </c>
    </row>
    <row r="1316">
      <c r="A1316" s="61" t="str">
        <f t="shared" si="1"/>
        <v/>
      </c>
      <c r="B1316" s="73"/>
      <c r="C1316" s="76"/>
      <c r="D1316" s="76" t="str">
        <f>VLOOKUP(B1316,'HEAD OF THE FAMILY'!B1934:J2313,9,FALSE)</f>
        <v>#REF!</v>
      </c>
      <c r="E1316" s="3"/>
      <c r="F1316" s="3"/>
      <c r="G1316" s="7"/>
      <c r="H1316" s="7"/>
      <c r="I1316" s="7"/>
      <c r="J1316" s="60"/>
      <c r="K1316" s="60" t="str">
        <f t="shared" si="2"/>
        <v/>
      </c>
    </row>
    <row r="1317">
      <c r="A1317" s="61" t="str">
        <f t="shared" si="1"/>
        <v/>
      </c>
      <c r="B1317" s="73"/>
      <c r="C1317" s="76"/>
      <c r="D1317" s="76" t="str">
        <f>VLOOKUP(B1317,'HEAD OF THE FAMILY'!B1934:J2314,9,FALSE)</f>
        <v>#REF!</v>
      </c>
      <c r="E1317" s="3"/>
      <c r="F1317" s="3"/>
      <c r="G1317" s="7"/>
      <c r="H1317" s="7"/>
      <c r="I1317" s="7"/>
      <c r="J1317" s="60"/>
      <c r="K1317" s="60" t="str">
        <f t="shared" si="2"/>
        <v/>
      </c>
    </row>
    <row r="1318">
      <c r="A1318" s="61" t="str">
        <f t="shared" si="1"/>
        <v/>
      </c>
      <c r="B1318" s="73"/>
      <c r="C1318" s="76"/>
      <c r="D1318" s="76" t="str">
        <f>VLOOKUP(B1318,'HEAD OF THE FAMILY'!B1934:J2315,9,FALSE)</f>
        <v>#REF!</v>
      </c>
      <c r="E1318" s="3"/>
      <c r="F1318" s="3"/>
      <c r="G1318" s="7"/>
      <c r="H1318" s="7"/>
      <c r="I1318" s="7"/>
      <c r="J1318" s="60"/>
      <c r="K1318" s="60" t="str">
        <f t="shared" si="2"/>
        <v/>
      </c>
    </row>
    <row r="1319">
      <c r="A1319" s="61" t="str">
        <f t="shared" si="1"/>
        <v/>
      </c>
      <c r="B1319" s="73"/>
      <c r="C1319" s="76"/>
      <c r="D1319" s="76" t="str">
        <f>VLOOKUP(B1319,'HEAD OF THE FAMILY'!B1934:J2316,9,FALSE)</f>
        <v>#REF!</v>
      </c>
      <c r="E1319" s="3"/>
      <c r="F1319" s="3"/>
      <c r="G1319" s="7"/>
      <c r="H1319" s="7"/>
      <c r="I1319" s="7"/>
      <c r="J1319" s="60"/>
      <c r="K1319" s="60" t="str">
        <f t="shared" si="2"/>
        <v/>
      </c>
    </row>
    <row r="1320">
      <c r="A1320" s="61" t="str">
        <f t="shared" si="1"/>
        <v/>
      </c>
      <c r="B1320" s="73"/>
      <c r="C1320" s="76"/>
      <c r="D1320" s="76" t="str">
        <f>VLOOKUP(B1320,'HEAD OF THE FAMILY'!B1934:J2317,9,FALSE)</f>
        <v>#REF!</v>
      </c>
      <c r="E1320" s="3"/>
      <c r="F1320" s="3"/>
      <c r="G1320" s="7"/>
      <c r="H1320" s="7"/>
      <c r="I1320" s="7"/>
      <c r="J1320" s="60"/>
      <c r="K1320" s="60" t="str">
        <f t="shared" si="2"/>
        <v/>
      </c>
    </row>
    <row r="1321">
      <c r="A1321" s="61" t="str">
        <f t="shared" si="1"/>
        <v/>
      </c>
      <c r="B1321" s="73"/>
      <c r="C1321" s="76"/>
      <c r="D1321" s="76" t="str">
        <f>VLOOKUP(B1321,'HEAD OF THE FAMILY'!B1934:J2318,9,FALSE)</f>
        <v>#REF!</v>
      </c>
      <c r="E1321" s="3"/>
      <c r="F1321" s="3"/>
      <c r="G1321" s="7"/>
      <c r="H1321" s="7"/>
      <c r="I1321" s="7"/>
      <c r="J1321" s="60"/>
      <c r="K1321" s="60" t="str">
        <f t="shared" si="2"/>
        <v/>
      </c>
    </row>
    <row r="1322">
      <c r="A1322" s="61" t="str">
        <f t="shared" si="1"/>
        <v/>
      </c>
      <c r="B1322" s="73"/>
      <c r="C1322" s="76"/>
      <c r="D1322" s="76" t="str">
        <f>VLOOKUP(B1322,'HEAD OF THE FAMILY'!B1934:J2319,9,FALSE)</f>
        <v>#REF!</v>
      </c>
      <c r="E1322" s="3"/>
      <c r="F1322" s="3"/>
      <c r="G1322" s="7"/>
      <c r="H1322" s="7"/>
      <c r="I1322" s="7"/>
      <c r="J1322" s="60"/>
      <c r="K1322" s="60" t="str">
        <f t="shared" si="2"/>
        <v/>
      </c>
    </row>
    <row r="1323">
      <c r="A1323" s="61" t="str">
        <f t="shared" si="1"/>
        <v/>
      </c>
      <c r="B1323" s="73"/>
      <c r="C1323" s="76"/>
      <c r="D1323" s="76" t="str">
        <f>VLOOKUP(B1323,'HEAD OF THE FAMILY'!B1934:J2320,9,FALSE)</f>
        <v>#REF!</v>
      </c>
      <c r="E1323" s="3"/>
      <c r="F1323" s="3"/>
      <c r="G1323" s="7"/>
      <c r="H1323" s="7"/>
      <c r="I1323" s="7"/>
      <c r="J1323" s="60"/>
      <c r="K1323" s="60" t="str">
        <f t="shared" si="2"/>
        <v/>
      </c>
    </row>
    <row r="1324">
      <c r="A1324" s="61" t="str">
        <f t="shared" si="1"/>
        <v/>
      </c>
      <c r="B1324" s="73"/>
      <c r="C1324" s="76"/>
      <c r="D1324" s="76" t="str">
        <f>VLOOKUP(B1324,'HEAD OF THE FAMILY'!B1934:J2321,9,FALSE)</f>
        <v>#REF!</v>
      </c>
      <c r="E1324" s="3"/>
      <c r="F1324" s="3"/>
      <c r="G1324" s="7"/>
      <c r="H1324" s="7"/>
      <c r="I1324" s="7"/>
      <c r="J1324" s="60"/>
      <c r="K1324" s="60" t="str">
        <f t="shared" si="2"/>
        <v/>
      </c>
    </row>
    <row r="1325">
      <c r="A1325" s="61" t="str">
        <f t="shared" si="1"/>
        <v/>
      </c>
      <c r="B1325" s="73"/>
      <c r="C1325" s="76"/>
      <c r="D1325" s="76" t="str">
        <f>VLOOKUP(B1325,'HEAD OF THE FAMILY'!B1934:J2322,9,FALSE)</f>
        <v>#REF!</v>
      </c>
      <c r="E1325" s="3"/>
      <c r="F1325" s="3"/>
      <c r="G1325" s="7"/>
      <c r="H1325" s="7"/>
      <c r="I1325" s="7"/>
      <c r="J1325" s="60"/>
      <c r="K1325" s="60" t="str">
        <f t="shared" si="2"/>
        <v/>
      </c>
    </row>
    <row r="1326">
      <c r="A1326" s="61" t="str">
        <f t="shared" si="1"/>
        <v/>
      </c>
      <c r="B1326" s="73"/>
      <c r="C1326" s="76"/>
      <c r="D1326" s="76" t="str">
        <f>VLOOKUP(B1326,'HEAD OF THE FAMILY'!B1934:J2323,9,FALSE)</f>
        <v>#REF!</v>
      </c>
      <c r="E1326" s="3"/>
      <c r="F1326" s="3"/>
      <c r="G1326" s="7"/>
      <c r="H1326" s="7"/>
      <c r="I1326" s="7"/>
      <c r="J1326" s="60"/>
      <c r="K1326" s="60" t="str">
        <f t="shared" si="2"/>
        <v/>
      </c>
    </row>
    <row r="1327">
      <c r="A1327" s="61" t="str">
        <f t="shared" si="1"/>
        <v/>
      </c>
      <c r="B1327" s="73"/>
      <c r="C1327" s="76"/>
      <c r="D1327" s="76" t="str">
        <f>VLOOKUP(B1327,'HEAD OF THE FAMILY'!B1934:J2324,9,FALSE)</f>
        <v>#REF!</v>
      </c>
      <c r="E1327" s="3"/>
      <c r="F1327" s="3"/>
      <c r="G1327" s="7"/>
      <c r="H1327" s="7"/>
      <c r="I1327" s="7"/>
      <c r="J1327" s="60"/>
      <c r="K1327" s="60" t="str">
        <f t="shared" si="2"/>
        <v/>
      </c>
    </row>
    <row r="1328">
      <c r="A1328" s="61" t="str">
        <f t="shared" si="1"/>
        <v/>
      </c>
      <c r="B1328" s="73"/>
      <c r="C1328" s="76"/>
      <c r="D1328" s="76" t="str">
        <f>VLOOKUP(B1328,'HEAD OF THE FAMILY'!B1934:J2325,9,FALSE)</f>
        <v>#REF!</v>
      </c>
      <c r="E1328" s="3"/>
      <c r="F1328" s="3"/>
      <c r="G1328" s="7"/>
      <c r="H1328" s="7"/>
      <c r="I1328" s="7"/>
      <c r="J1328" s="60"/>
      <c r="K1328" s="60" t="str">
        <f t="shared" si="2"/>
        <v/>
      </c>
    </row>
    <row r="1329">
      <c r="A1329" s="61" t="str">
        <f t="shared" si="1"/>
        <v/>
      </c>
      <c r="B1329" s="73"/>
      <c r="C1329" s="76"/>
      <c r="D1329" s="76" t="str">
        <f>VLOOKUP(B1329,'HEAD OF THE FAMILY'!B1934:J2326,9,FALSE)</f>
        <v>#REF!</v>
      </c>
      <c r="E1329" s="3"/>
      <c r="F1329" s="3"/>
      <c r="G1329" s="7"/>
      <c r="H1329" s="7"/>
      <c r="I1329" s="7"/>
      <c r="J1329" s="60"/>
      <c r="K1329" s="60" t="str">
        <f t="shared" si="2"/>
        <v/>
      </c>
    </row>
    <row r="1330">
      <c r="A1330" s="61" t="str">
        <f t="shared" si="1"/>
        <v/>
      </c>
      <c r="B1330" s="73"/>
      <c r="C1330" s="76"/>
      <c r="D1330" s="76" t="str">
        <f>VLOOKUP(B1330,'HEAD OF THE FAMILY'!B1934:J2327,9,FALSE)</f>
        <v>#REF!</v>
      </c>
      <c r="E1330" s="3"/>
      <c r="F1330" s="3"/>
      <c r="G1330" s="7"/>
      <c r="H1330" s="7"/>
      <c r="I1330" s="7"/>
      <c r="J1330" s="60"/>
      <c r="K1330" s="60" t="str">
        <f t="shared" si="2"/>
        <v/>
      </c>
    </row>
    <row r="1331">
      <c r="A1331" s="61" t="str">
        <f t="shared" si="1"/>
        <v/>
      </c>
      <c r="B1331" s="73"/>
      <c r="C1331" s="76"/>
      <c r="D1331" s="76" t="str">
        <f>VLOOKUP(B1331,'HEAD OF THE FAMILY'!B1934:J2328,9,FALSE)</f>
        <v>#REF!</v>
      </c>
      <c r="E1331" s="3"/>
      <c r="F1331" s="3"/>
      <c r="G1331" s="7"/>
      <c r="H1331" s="7"/>
      <c r="I1331" s="7"/>
      <c r="J1331" s="60"/>
      <c r="K1331" s="60" t="str">
        <f t="shared" si="2"/>
        <v/>
      </c>
    </row>
    <row r="1332">
      <c r="A1332" s="61" t="str">
        <f t="shared" si="1"/>
        <v/>
      </c>
      <c r="B1332" s="73"/>
      <c r="C1332" s="76"/>
      <c r="D1332" s="76" t="str">
        <f>VLOOKUP(B1332,'HEAD OF THE FAMILY'!B1934:J2329,9,FALSE)</f>
        <v>#REF!</v>
      </c>
      <c r="E1332" s="3"/>
      <c r="F1332" s="3"/>
      <c r="G1332" s="7"/>
      <c r="H1332" s="7"/>
      <c r="I1332" s="7"/>
      <c r="J1332" s="60"/>
      <c r="K1332" s="60" t="str">
        <f t="shared" si="2"/>
        <v/>
      </c>
    </row>
    <row r="1333">
      <c r="A1333" s="61" t="str">
        <f t="shared" si="1"/>
        <v/>
      </c>
      <c r="B1333" s="73"/>
      <c r="C1333" s="76"/>
      <c r="D1333" s="76" t="str">
        <f>VLOOKUP(B1333,'HEAD OF THE FAMILY'!B1934:J2330,9,FALSE)</f>
        <v>#REF!</v>
      </c>
      <c r="E1333" s="3"/>
      <c r="F1333" s="3"/>
      <c r="G1333" s="7"/>
      <c r="H1333" s="7"/>
      <c r="I1333" s="7"/>
      <c r="J1333" s="60"/>
      <c r="K1333" s="60" t="str">
        <f t="shared" si="2"/>
        <v/>
      </c>
    </row>
    <row r="1334">
      <c r="A1334" s="61" t="str">
        <f t="shared" si="1"/>
        <v/>
      </c>
      <c r="B1334" s="73"/>
      <c r="C1334" s="76"/>
      <c r="D1334" s="76" t="str">
        <f>VLOOKUP(B1334,'HEAD OF THE FAMILY'!B1934:J2331,9,FALSE)</f>
        <v>#REF!</v>
      </c>
      <c r="E1334" s="3"/>
      <c r="F1334" s="3"/>
      <c r="G1334" s="7"/>
      <c r="H1334" s="7"/>
      <c r="I1334" s="7"/>
      <c r="J1334" s="60"/>
      <c r="K1334" s="60" t="str">
        <f t="shared" si="2"/>
        <v/>
      </c>
    </row>
    <row r="1335">
      <c r="A1335" s="61" t="str">
        <f t="shared" si="1"/>
        <v/>
      </c>
      <c r="B1335" s="73"/>
      <c r="C1335" s="76"/>
      <c r="D1335" s="76" t="str">
        <f>VLOOKUP(B1335,'HEAD OF THE FAMILY'!B1934:J2332,9,FALSE)</f>
        <v>#REF!</v>
      </c>
      <c r="E1335" s="3"/>
      <c r="F1335" s="3"/>
      <c r="G1335" s="7"/>
      <c r="H1335" s="7"/>
      <c r="I1335" s="7"/>
      <c r="J1335" s="60"/>
      <c r="K1335" s="60" t="str">
        <f t="shared" si="2"/>
        <v/>
      </c>
    </row>
    <row r="1336">
      <c r="A1336" s="61" t="str">
        <f t="shared" si="1"/>
        <v/>
      </c>
      <c r="B1336" s="73"/>
      <c r="C1336" s="76"/>
      <c r="D1336" s="76" t="str">
        <f>VLOOKUP(B1336,'HEAD OF THE FAMILY'!B1934:J2333,9,FALSE)</f>
        <v>#REF!</v>
      </c>
      <c r="E1336" s="3"/>
      <c r="F1336" s="3"/>
      <c r="G1336" s="7"/>
      <c r="H1336" s="7"/>
      <c r="I1336" s="7"/>
      <c r="J1336" s="60"/>
      <c r="K1336" s="60" t="str">
        <f t="shared" si="2"/>
        <v/>
      </c>
    </row>
    <row r="1337">
      <c r="A1337" s="61" t="str">
        <f t="shared" si="1"/>
        <v/>
      </c>
      <c r="B1337" s="73"/>
      <c r="C1337" s="76"/>
      <c r="D1337" s="76" t="str">
        <f>VLOOKUP(B1337,'HEAD OF THE FAMILY'!B1934:J2334,9,FALSE)</f>
        <v>#REF!</v>
      </c>
      <c r="E1337" s="3"/>
      <c r="F1337" s="3"/>
      <c r="G1337" s="7"/>
      <c r="H1337" s="7"/>
      <c r="I1337" s="7"/>
      <c r="J1337" s="60"/>
      <c r="K1337" s="60" t="str">
        <f t="shared" si="2"/>
        <v/>
      </c>
    </row>
    <row r="1338">
      <c r="A1338" s="61" t="str">
        <f t="shared" si="1"/>
        <v/>
      </c>
      <c r="B1338" s="73"/>
      <c r="C1338" s="76"/>
      <c r="D1338" s="76" t="str">
        <f>VLOOKUP(B1338,'HEAD OF THE FAMILY'!B1934:J2335,9,FALSE)</f>
        <v>#REF!</v>
      </c>
      <c r="E1338" s="3"/>
      <c r="F1338" s="3"/>
      <c r="G1338" s="7"/>
      <c r="H1338" s="7"/>
      <c r="I1338" s="7"/>
      <c r="J1338" s="60"/>
      <c r="K1338" s="60" t="str">
        <f t="shared" si="2"/>
        <v/>
      </c>
    </row>
    <row r="1339">
      <c r="A1339" s="61" t="str">
        <f t="shared" si="1"/>
        <v/>
      </c>
      <c r="B1339" s="73"/>
      <c r="C1339" s="76"/>
      <c r="D1339" s="76" t="str">
        <f>VLOOKUP(B1339,'HEAD OF THE FAMILY'!B1934:J2336,9,FALSE)</f>
        <v>#REF!</v>
      </c>
      <c r="E1339" s="3"/>
      <c r="F1339" s="3"/>
      <c r="G1339" s="7"/>
      <c r="H1339" s="7"/>
      <c r="I1339" s="7"/>
      <c r="J1339" s="60"/>
      <c r="K1339" s="60" t="str">
        <f t="shared" si="2"/>
        <v/>
      </c>
    </row>
    <row r="1340">
      <c r="A1340" s="61" t="str">
        <f t="shared" si="1"/>
        <v/>
      </c>
      <c r="B1340" s="73"/>
      <c r="C1340" s="76"/>
      <c r="D1340" s="76" t="str">
        <f>VLOOKUP(B1340,'HEAD OF THE FAMILY'!B1934:J2337,9,FALSE)</f>
        <v>#REF!</v>
      </c>
      <c r="E1340" s="3"/>
      <c r="F1340" s="3"/>
      <c r="G1340" s="7"/>
      <c r="H1340" s="7"/>
      <c r="I1340" s="7"/>
      <c r="J1340" s="60"/>
      <c r="K1340" s="60" t="str">
        <f t="shared" si="2"/>
        <v/>
      </c>
    </row>
    <row r="1341">
      <c r="A1341" s="61" t="str">
        <f t="shared" si="1"/>
        <v/>
      </c>
      <c r="B1341" s="73"/>
      <c r="C1341" s="76"/>
      <c r="D1341" s="76" t="str">
        <f>VLOOKUP(B1341,'HEAD OF THE FAMILY'!B1934:J2338,9,FALSE)</f>
        <v>#REF!</v>
      </c>
      <c r="E1341" s="3"/>
      <c r="F1341" s="3"/>
      <c r="G1341" s="7"/>
      <c r="H1341" s="7"/>
      <c r="I1341" s="7"/>
      <c r="J1341" s="60"/>
      <c r="K1341" s="60" t="str">
        <f t="shared" si="2"/>
        <v/>
      </c>
    </row>
    <row r="1342">
      <c r="A1342" s="61" t="str">
        <f t="shared" si="1"/>
        <v/>
      </c>
      <c r="B1342" s="73"/>
      <c r="C1342" s="76"/>
      <c r="D1342" s="76" t="str">
        <f>VLOOKUP(B1342,'HEAD OF THE FAMILY'!B1934:J2339,9,FALSE)</f>
        <v>#REF!</v>
      </c>
      <c r="E1342" s="3"/>
      <c r="F1342" s="3"/>
      <c r="G1342" s="7"/>
      <c r="H1342" s="7"/>
      <c r="I1342" s="7"/>
      <c r="J1342" s="60"/>
      <c r="K1342" s="60" t="str">
        <f t="shared" si="2"/>
        <v/>
      </c>
    </row>
    <row r="1343">
      <c r="A1343" s="61" t="str">
        <f t="shared" si="1"/>
        <v/>
      </c>
      <c r="B1343" s="73"/>
      <c r="C1343" s="76"/>
      <c r="D1343" s="76" t="str">
        <f>VLOOKUP(B1343,'HEAD OF THE FAMILY'!B1934:J2340,9,FALSE)</f>
        <v>#REF!</v>
      </c>
      <c r="E1343" s="3"/>
      <c r="F1343" s="3"/>
      <c r="G1343" s="7"/>
      <c r="H1343" s="7"/>
      <c r="I1343" s="7"/>
      <c r="J1343" s="60"/>
      <c r="K1343" s="60" t="str">
        <f t="shared" si="2"/>
        <v/>
      </c>
    </row>
    <row r="1344">
      <c r="A1344" s="61" t="str">
        <f t="shared" si="1"/>
        <v/>
      </c>
      <c r="B1344" s="73"/>
      <c r="C1344" s="76"/>
      <c r="D1344" s="76" t="str">
        <f>VLOOKUP(B1344,'HEAD OF THE FAMILY'!B1934:J2341,9,FALSE)</f>
        <v>#REF!</v>
      </c>
      <c r="E1344" s="3"/>
      <c r="F1344" s="3"/>
      <c r="G1344" s="7"/>
      <c r="H1344" s="7"/>
      <c r="I1344" s="7"/>
      <c r="J1344" s="60"/>
      <c r="K1344" s="60" t="str">
        <f t="shared" si="2"/>
        <v/>
      </c>
    </row>
    <row r="1345">
      <c r="A1345" s="61" t="str">
        <f t="shared" si="1"/>
        <v/>
      </c>
      <c r="B1345" s="73"/>
      <c r="C1345" s="76"/>
      <c r="D1345" s="76" t="str">
        <f>VLOOKUP(B1345,'HEAD OF THE FAMILY'!B1934:J2342,9,FALSE)</f>
        <v>#REF!</v>
      </c>
      <c r="E1345" s="3"/>
      <c r="F1345" s="3"/>
      <c r="G1345" s="7"/>
      <c r="H1345" s="7"/>
      <c r="I1345" s="7"/>
      <c r="J1345" s="60"/>
      <c r="K1345" s="60" t="str">
        <f t="shared" si="2"/>
        <v/>
      </c>
    </row>
    <row r="1346">
      <c r="A1346" s="61" t="str">
        <f t="shared" si="1"/>
        <v/>
      </c>
      <c r="B1346" s="73"/>
      <c r="C1346" s="76"/>
      <c r="D1346" s="76" t="str">
        <f>VLOOKUP(B1346,'HEAD OF THE FAMILY'!B1934:J2343,9,FALSE)</f>
        <v>#REF!</v>
      </c>
      <c r="E1346" s="3"/>
      <c r="F1346" s="3"/>
      <c r="G1346" s="7"/>
      <c r="H1346" s="7"/>
      <c r="I1346" s="7"/>
      <c r="J1346" s="60"/>
      <c r="K1346" s="60" t="str">
        <f t="shared" si="2"/>
        <v/>
      </c>
    </row>
    <row r="1347">
      <c r="A1347" s="61" t="str">
        <f t="shared" si="1"/>
        <v/>
      </c>
      <c r="B1347" s="73"/>
      <c r="C1347" s="76"/>
      <c r="D1347" s="76" t="str">
        <f>VLOOKUP(B1347,'HEAD OF THE FAMILY'!B1934:J2344,9,FALSE)</f>
        <v>#REF!</v>
      </c>
      <c r="E1347" s="3"/>
      <c r="F1347" s="3"/>
      <c r="G1347" s="7"/>
      <c r="H1347" s="7"/>
      <c r="I1347" s="7"/>
      <c r="J1347" s="60"/>
      <c r="K1347" s="60" t="str">
        <f t="shared" si="2"/>
        <v/>
      </c>
    </row>
    <row r="1348">
      <c r="A1348" s="61" t="str">
        <f t="shared" si="1"/>
        <v/>
      </c>
      <c r="B1348" s="73"/>
      <c r="C1348" s="76"/>
      <c r="D1348" s="76" t="str">
        <f>VLOOKUP(B1348,'HEAD OF THE FAMILY'!B1934:J2345,9,FALSE)</f>
        <v>#REF!</v>
      </c>
      <c r="E1348" s="3"/>
      <c r="F1348" s="3"/>
      <c r="G1348" s="7"/>
      <c r="H1348" s="7"/>
      <c r="I1348" s="7"/>
      <c r="J1348" s="60"/>
      <c r="K1348" s="60" t="str">
        <f t="shared" si="2"/>
        <v/>
      </c>
    </row>
    <row r="1349">
      <c r="A1349" s="61" t="str">
        <f t="shared" si="1"/>
        <v/>
      </c>
      <c r="B1349" s="73"/>
      <c r="C1349" s="76"/>
      <c r="D1349" s="76" t="str">
        <f>VLOOKUP(B1349,'HEAD OF THE FAMILY'!B1934:J2346,9,FALSE)</f>
        <v>#REF!</v>
      </c>
      <c r="E1349" s="3"/>
      <c r="F1349" s="3"/>
      <c r="G1349" s="7"/>
      <c r="H1349" s="7"/>
      <c r="I1349" s="7"/>
      <c r="J1349" s="60"/>
      <c r="K1349" s="60" t="str">
        <f t="shared" si="2"/>
        <v/>
      </c>
    </row>
    <row r="1350">
      <c r="A1350" s="61" t="str">
        <f t="shared" si="1"/>
        <v/>
      </c>
      <c r="B1350" s="73"/>
      <c r="C1350" s="76"/>
      <c r="D1350" s="76" t="str">
        <f>VLOOKUP(B1350,'HEAD OF THE FAMILY'!B1934:J2347,9,FALSE)</f>
        <v>#REF!</v>
      </c>
      <c r="E1350" s="3"/>
      <c r="F1350" s="3"/>
      <c r="G1350" s="7"/>
      <c r="H1350" s="7"/>
      <c r="I1350" s="7"/>
      <c r="J1350" s="60"/>
      <c r="K1350" s="60" t="str">
        <f t="shared" si="2"/>
        <v/>
      </c>
    </row>
    <row r="1351">
      <c r="A1351" s="61" t="str">
        <f t="shared" si="1"/>
        <v/>
      </c>
      <c r="B1351" s="73"/>
      <c r="C1351" s="76"/>
      <c r="D1351" s="76" t="str">
        <f>VLOOKUP(B1351,'HEAD OF THE FAMILY'!B1934:J2348,9,FALSE)</f>
        <v>#REF!</v>
      </c>
      <c r="E1351" s="3"/>
      <c r="F1351" s="3"/>
      <c r="G1351" s="7"/>
      <c r="H1351" s="7"/>
      <c r="I1351" s="7"/>
      <c r="J1351" s="60"/>
      <c r="K1351" s="60" t="str">
        <f t="shared" si="2"/>
        <v/>
      </c>
    </row>
    <row r="1352">
      <c r="A1352" s="61" t="str">
        <f t="shared" si="1"/>
        <v/>
      </c>
      <c r="B1352" s="73"/>
      <c r="C1352" s="76"/>
      <c r="D1352" s="76" t="str">
        <f>VLOOKUP(B1352,'HEAD OF THE FAMILY'!B1934:J2349,9,FALSE)</f>
        <v>#REF!</v>
      </c>
      <c r="E1352" s="3"/>
      <c r="F1352" s="3"/>
      <c r="G1352" s="7"/>
      <c r="H1352" s="7"/>
      <c r="I1352" s="7"/>
      <c r="J1352" s="60"/>
      <c r="K1352" s="60" t="str">
        <f t="shared" si="2"/>
        <v/>
      </c>
    </row>
    <row r="1353">
      <c r="A1353" s="61" t="str">
        <f t="shared" si="1"/>
        <v/>
      </c>
      <c r="B1353" s="73"/>
      <c r="C1353" s="76"/>
      <c r="D1353" s="76" t="str">
        <f>VLOOKUP(B1353,'HEAD OF THE FAMILY'!B1934:J2350,9,FALSE)</f>
        <v>#REF!</v>
      </c>
      <c r="E1353" s="3"/>
      <c r="F1353" s="3"/>
      <c r="G1353" s="7"/>
      <c r="H1353" s="7"/>
      <c r="I1353" s="7"/>
      <c r="J1353" s="60"/>
      <c r="K1353" s="60" t="str">
        <f t="shared" si="2"/>
        <v/>
      </c>
    </row>
    <row r="1354">
      <c r="A1354" s="61" t="str">
        <f t="shared" si="1"/>
        <v/>
      </c>
      <c r="B1354" s="73"/>
      <c r="C1354" s="76"/>
      <c r="D1354" s="76" t="str">
        <f>VLOOKUP(B1354,'HEAD OF THE FAMILY'!B1934:J2351,9,FALSE)</f>
        <v>#REF!</v>
      </c>
      <c r="E1354" s="3"/>
      <c r="F1354" s="3"/>
      <c r="G1354" s="7"/>
      <c r="H1354" s="7"/>
      <c r="I1354" s="7"/>
      <c r="J1354" s="60"/>
      <c r="K1354" s="60" t="str">
        <f t="shared" si="2"/>
        <v/>
      </c>
    </row>
    <row r="1355">
      <c r="A1355" s="61" t="str">
        <f t="shared" si="1"/>
        <v/>
      </c>
      <c r="B1355" s="73"/>
      <c r="C1355" s="76"/>
      <c r="D1355" s="76" t="str">
        <f>VLOOKUP(B1355,'HEAD OF THE FAMILY'!B1934:J2352,9,FALSE)</f>
        <v>#REF!</v>
      </c>
      <c r="E1355" s="3"/>
      <c r="F1355" s="3"/>
      <c r="G1355" s="7"/>
      <c r="H1355" s="7"/>
      <c r="I1355" s="7"/>
      <c r="J1355" s="60"/>
      <c r="K1355" s="60" t="str">
        <f t="shared" si="2"/>
        <v/>
      </c>
    </row>
    <row r="1356">
      <c r="A1356" s="61" t="str">
        <f t="shared" si="1"/>
        <v/>
      </c>
      <c r="B1356" s="73"/>
      <c r="C1356" s="76"/>
      <c r="D1356" s="76" t="str">
        <f>VLOOKUP(B1356,'HEAD OF THE FAMILY'!B1934:J2353,9,FALSE)</f>
        <v>#REF!</v>
      </c>
      <c r="E1356" s="3"/>
      <c r="F1356" s="3"/>
      <c r="G1356" s="7"/>
      <c r="H1356" s="7"/>
      <c r="I1356" s="7"/>
      <c r="J1356" s="60"/>
      <c r="K1356" s="60" t="str">
        <f t="shared" si="2"/>
        <v/>
      </c>
    </row>
    <row r="1357">
      <c r="A1357" s="61" t="str">
        <f t="shared" si="1"/>
        <v/>
      </c>
      <c r="B1357" s="73"/>
      <c r="C1357" s="76"/>
      <c r="D1357" s="76" t="str">
        <f>VLOOKUP(B1357,'HEAD OF THE FAMILY'!B1934:J2354,9,FALSE)</f>
        <v>#REF!</v>
      </c>
      <c r="E1357" s="3"/>
      <c r="F1357" s="3"/>
      <c r="G1357" s="7"/>
      <c r="H1357" s="7"/>
      <c r="I1357" s="7"/>
      <c r="J1357" s="60"/>
      <c r="K1357" s="60" t="str">
        <f t="shared" si="2"/>
        <v/>
      </c>
    </row>
    <row r="1358">
      <c r="A1358" s="61" t="str">
        <f t="shared" si="1"/>
        <v/>
      </c>
      <c r="B1358" s="73"/>
      <c r="C1358" s="76"/>
      <c r="D1358" s="76" t="str">
        <f>VLOOKUP(B1358,'HEAD OF THE FAMILY'!B1934:J2355,9,FALSE)</f>
        <v>#REF!</v>
      </c>
      <c r="E1358" s="3"/>
      <c r="F1358" s="3"/>
      <c r="G1358" s="7"/>
      <c r="H1358" s="7"/>
      <c r="I1358" s="7"/>
      <c r="J1358" s="60"/>
      <c r="K1358" s="60" t="str">
        <f t="shared" si="2"/>
        <v/>
      </c>
    </row>
    <row r="1359">
      <c r="A1359" s="61" t="str">
        <f t="shared" si="1"/>
        <v/>
      </c>
      <c r="B1359" s="73"/>
      <c r="C1359" s="76"/>
      <c r="D1359" s="76" t="str">
        <f>VLOOKUP(B1359,'HEAD OF THE FAMILY'!B1934:J2356,9,FALSE)</f>
        <v>#REF!</v>
      </c>
      <c r="E1359" s="3"/>
      <c r="F1359" s="3"/>
      <c r="G1359" s="7"/>
      <c r="H1359" s="7"/>
      <c r="I1359" s="7"/>
      <c r="J1359" s="60"/>
      <c r="K1359" s="60" t="str">
        <f t="shared" si="2"/>
        <v/>
      </c>
    </row>
    <row r="1360">
      <c r="A1360" s="61" t="str">
        <f t="shared" si="1"/>
        <v/>
      </c>
      <c r="B1360" s="73"/>
      <c r="C1360" s="76"/>
      <c r="D1360" s="76" t="str">
        <f>VLOOKUP(B1360,'HEAD OF THE FAMILY'!B1934:J2357,9,FALSE)</f>
        <v>#REF!</v>
      </c>
      <c r="E1360" s="3"/>
      <c r="F1360" s="3"/>
      <c r="G1360" s="7"/>
      <c r="H1360" s="7"/>
      <c r="I1360" s="7"/>
      <c r="J1360" s="60"/>
      <c r="K1360" s="60" t="str">
        <f t="shared" si="2"/>
        <v/>
      </c>
    </row>
    <row r="1361">
      <c r="A1361" s="61" t="str">
        <f t="shared" si="1"/>
        <v/>
      </c>
      <c r="B1361" s="73"/>
      <c r="C1361" s="76"/>
      <c r="D1361" s="76" t="str">
        <f>VLOOKUP(B1361,'HEAD OF THE FAMILY'!B1934:J2358,9,FALSE)</f>
        <v>#REF!</v>
      </c>
      <c r="E1361" s="3"/>
      <c r="F1361" s="3"/>
      <c r="G1361" s="7"/>
      <c r="H1361" s="7"/>
      <c r="I1361" s="7"/>
      <c r="J1361" s="60"/>
      <c r="K1361" s="60" t="str">
        <f t="shared" si="2"/>
        <v/>
      </c>
    </row>
    <row r="1362">
      <c r="A1362" s="61" t="str">
        <f t="shared" si="1"/>
        <v/>
      </c>
      <c r="B1362" s="73"/>
      <c r="C1362" s="76"/>
      <c r="D1362" s="76" t="str">
        <f>VLOOKUP(B1362,'HEAD OF THE FAMILY'!B1934:J2359,9,FALSE)</f>
        <v>#REF!</v>
      </c>
      <c r="E1362" s="3"/>
      <c r="F1362" s="3"/>
      <c r="G1362" s="7"/>
      <c r="H1362" s="7"/>
      <c r="I1362" s="7"/>
      <c r="J1362" s="60"/>
      <c r="K1362" s="60" t="str">
        <f t="shared" si="2"/>
        <v/>
      </c>
    </row>
    <row r="1363">
      <c r="A1363" s="61" t="str">
        <f t="shared" si="1"/>
        <v/>
      </c>
      <c r="B1363" s="73"/>
      <c r="C1363" s="76"/>
      <c r="D1363" s="76" t="str">
        <f>VLOOKUP(B1363,'HEAD OF THE FAMILY'!B1934:J2360,9,FALSE)</f>
        <v>#REF!</v>
      </c>
      <c r="E1363" s="3"/>
      <c r="F1363" s="3"/>
      <c r="G1363" s="7"/>
      <c r="H1363" s="7"/>
      <c r="I1363" s="7"/>
      <c r="J1363" s="60"/>
      <c r="K1363" s="60" t="str">
        <f t="shared" si="2"/>
        <v/>
      </c>
    </row>
    <row r="1364">
      <c r="A1364" s="61" t="str">
        <f t="shared" si="1"/>
        <v/>
      </c>
      <c r="B1364" s="73"/>
      <c r="C1364" s="76"/>
      <c r="D1364" s="76" t="str">
        <f>VLOOKUP(B1364,'HEAD OF THE FAMILY'!B1934:J2361,9,FALSE)</f>
        <v>#REF!</v>
      </c>
      <c r="E1364" s="3"/>
      <c r="F1364" s="3"/>
      <c r="G1364" s="7"/>
      <c r="H1364" s="7"/>
      <c r="I1364" s="7"/>
      <c r="J1364" s="60"/>
      <c r="K1364" s="60" t="str">
        <f t="shared" si="2"/>
        <v/>
      </c>
    </row>
    <row r="1365">
      <c r="A1365" s="61" t="str">
        <f t="shared" si="1"/>
        <v/>
      </c>
      <c r="B1365" s="73"/>
      <c r="C1365" s="76"/>
      <c r="D1365" s="76" t="str">
        <f>VLOOKUP(B1365,'HEAD OF THE FAMILY'!B1934:J2362,9,FALSE)</f>
        <v>#REF!</v>
      </c>
      <c r="E1365" s="3"/>
      <c r="F1365" s="3"/>
      <c r="G1365" s="7"/>
      <c r="H1365" s="7"/>
      <c r="I1365" s="7"/>
      <c r="J1365" s="60"/>
      <c r="K1365" s="60" t="str">
        <f t="shared" si="2"/>
        <v/>
      </c>
    </row>
    <row r="1366">
      <c r="A1366" s="61" t="str">
        <f t="shared" si="1"/>
        <v/>
      </c>
      <c r="B1366" s="73"/>
      <c r="C1366" s="76"/>
      <c r="D1366" s="76" t="str">
        <f>VLOOKUP(B1366,'HEAD OF THE FAMILY'!B1934:J2363,9,FALSE)</f>
        <v>#REF!</v>
      </c>
      <c r="E1366" s="3"/>
      <c r="F1366" s="3"/>
      <c r="G1366" s="7"/>
      <c r="H1366" s="7"/>
      <c r="I1366" s="7"/>
      <c r="J1366" s="60"/>
      <c r="K1366" s="60" t="str">
        <f t="shared" si="2"/>
        <v/>
      </c>
    </row>
    <row r="1367">
      <c r="A1367" s="61" t="str">
        <f t="shared" si="1"/>
        <v/>
      </c>
      <c r="B1367" s="73"/>
      <c r="C1367" s="76"/>
      <c r="D1367" s="76" t="str">
        <f>VLOOKUP(B1367,'HEAD OF THE FAMILY'!B1934:J2364,9,FALSE)</f>
        <v>#REF!</v>
      </c>
      <c r="E1367" s="3"/>
      <c r="F1367" s="3"/>
      <c r="G1367" s="7"/>
      <c r="H1367" s="7"/>
      <c r="I1367" s="7"/>
      <c r="J1367" s="60"/>
      <c r="K1367" s="60" t="str">
        <f t="shared" si="2"/>
        <v/>
      </c>
    </row>
    <row r="1368">
      <c r="A1368" s="61" t="str">
        <f t="shared" si="1"/>
        <v/>
      </c>
      <c r="B1368" s="73"/>
      <c r="C1368" s="76"/>
      <c r="D1368" s="76" t="str">
        <f>VLOOKUP(B1368,'HEAD OF THE FAMILY'!B1934:J2365,9,FALSE)</f>
        <v>#REF!</v>
      </c>
      <c r="E1368" s="3"/>
      <c r="F1368" s="3"/>
      <c r="G1368" s="7"/>
      <c r="H1368" s="7"/>
      <c r="I1368" s="7"/>
      <c r="J1368" s="60"/>
      <c r="K1368" s="60" t="str">
        <f t="shared" si="2"/>
        <v/>
      </c>
    </row>
    <row r="1369">
      <c r="A1369" s="61" t="str">
        <f t="shared" si="1"/>
        <v/>
      </c>
      <c r="B1369" s="73"/>
      <c r="C1369" s="76"/>
      <c r="D1369" s="76" t="str">
        <f>VLOOKUP(B1369,'HEAD OF THE FAMILY'!B1934:J2366,9,FALSE)</f>
        <v>#REF!</v>
      </c>
      <c r="E1369" s="3"/>
      <c r="F1369" s="3"/>
      <c r="G1369" s="7"/>
      <c r="H1369" s="7"/>
      <c r="I1369" s="7"/>
      <c r="J1369" s="60"/>
      <c r="K1369" s="60" t="str">
        <f t="shared" si="2"/>
        <v/>
      </c>
    </row>
    <row r="1370">
      <c r="A1370" s="61" t="str">
        <f t="shared" si="1"/>
        <v/>
      </c>
      <c r="B1370" s="73"/>
      <c r="C1370" s="76"/>
      <c r="D1370" s="76" t="str">
        <f>VLOOKUP(B1370,'HEAD OF THE FAMILY'!B1934:J2367,9,FALSE)</f>
        <v>#REF!</v>
      </c>
      <c r="E1370" s="3"/>
      <c r="F1370" s="3"/>
      <c r="G1370" s="7"/>
      <c r="H1370" s="7"/>
      <c r="I1370" s="7"/>
      <c r="J1370" s="60"/>
      <c r="K1370" s="60" t="str">
        <f t="shared" si="2"/>
        <v/>
      </c>
    </row>
    <row r="1371">
      <c r="A1371" s="61" t="str">
        <f t="shared" si="1"/>
        <v/>
      </c>
      <c r="B1371" s="73"/>
      <c r="C1371" s="76"/>
      <c r="D1371" s="76" t="str">
        <f>VLOOKUP(B1371,'HEAD OF THE FAMILY'!B1934:J2368,9,FALSE)</f>
        <v>#REF!</v>
      </c>
      <c r="E1371" s="3"/>
      <c r="F1371" s="3"/>
      <c r="G1371" s="7"/>
      <c r="H1371" s="7"/>
      <c r="I1371" s="7"/>
      <c r="J1371" s="60"/>
      <c r="K1371" s="60" t="str">
        <f t="shared" si="2"/>
        <v/>
      </c>
    </row>
    <row r="1372">
      <c r="A1372" s="61" t="str">
        <f t="shared" si="1"/>
        <v/>
      </c>
      <c r="B1372" s="73"/>
      <c r="C1372" s="76"/>
      <c r="D1372" s="76" t="str">
        <f>VLOOKUP(B1372,'HEAD OF THE FAMILY'!B1934:J2369,9,FALSE)</f>
        <v>#REF!</v>
      </c>
      <c r="E1372" s="3"/>
      <c r="F1372" s="3"/>
      <c r="G1372" s="7"/>
      <c r="H1372" s="7"/>
      <c r="I1372" s="7"/>
      <c r="J1372" s="60"/>
      <c r="K1372" s="60" t="str">
        <f t="shared" si="2"/>
        <v/>
      </c>
    </row>
    <row r="1373">
      <c r="A1373" s="61" t="str">
        <f t="shared" si="1"/>
        <v/>
      </c>
      <c r="B1373" s="73"/>
      <c r="C1373" s="76"/>
      <c r="D1373" s="76" t="str">
        <f>VLOOKUP(B1373,'HEAD OF THE FAMILY'!B1934:J2370,9,FALSE)</f>
        <v>#REF!</v>
      </c>
      <c r="E1373" s="3"/>
      <c r="F1373" s="3"/>
      <c r="G1373" s="7"/>
      <c r="H1373" s="7"/>
      <c r="I1373" s="7"/>
      <c r="J1373" s="60"/>
      <c r="K1373" s="60" t="str">
        <f t="shared" si="2"/>
        <v/>
      </c>
    </row>
    <row r="1374">
      <c r="A1374" s="61" t="str">
        <f t="shared" si="1"/>
        <v/>
      </c>
      <c r="B1374" s="73"/>
      <c r="C1374" s="76"/>
      <c r="D1374" s="76" t="str">
        <f>VLOOKUP(B1374,'HEAD OF THE FAMILY'!B1934:J2371,9,FALSE)</f>
        <v>#REF!</v>
      </c>
      <c r="E1374" s="3"/>
      <c r="F1374" s="3"/>
      <c r="G1374" s="7"/>
      <c r="H1374" s="7"/>
      <c r="I1374" s="7"/>
      <c r="J1374" s="60"/>
      <c r="K1374" s="60" t="str">
        <f t="shared" si="2"/>
        <v/>
      </c>
    </row>
    <row r="1375">
      <c r="A1375" s="61" t="str">
        <f t="shared" si="1"/>
        <v/>
      </c>
      <c r="B1375" s="73"/>
      <c r="C1375" s="76"/>
      <c r="D1375" s="76" t="str">
        <f>VLOOKUP(B1375,'HEAD OF THE FAMILY'!B1934:J2372,9,FALSE)</f>
        <v>#REF!</v>
      </c>
      <c r="E1375" s="3"/>
      <c r="F1375" s="3"/>
      <c r="G1375" s="7"/>
      <c r="H1375" s="7"/>
      <c r="I1375" s="7"/>
      <c r="J1375" s="60"/>
      <c r="K1375" s="60" t="str">
        <f t="shared" si="2"/>
        <v/>
      </c>
    </row>
    <row r="1376">
      <c r="A1376" s="61" t="str">
        <f t="shared" si="1"/>
        <v/>
      </c>
      <c r="B1376" s="73"/>
      <c r="C1376" s="76"/>
      <c r="D1376" s="76" t="str">
        <f>VLOOKUP(B1376,'HEAD OF THE FAMILY'!B1934:J2373,9,FALSE)</f>
        <v>#REF!</v>
      </c>
      <c r="E1376" s="3"/>
      <c r="F1376" s="3"/>
      <c r="G1376" s="7"/>
      <c r="H1376" s="7"/>
      <c r="I1376" s="7"/>
      <c r="J1376" s="60"/>
      <c r="K1376" s="60" t="str">
        <f t="shared" si="2"/>
        <v/>
      </c>
    </row>
    <row r="1377">
      <c r="A1377" s="61" t="str">
        <f t="shared" si="1"/>
        <v/>
      </c>
      <c r="B1377" s="73"/>
      <c r="C1377" s="76"/>
      <c r="D1377" s="76" t="str">
        <f>VLOOKUP(B1377,'HEAD OF THE FAMILY'!B1934:J2374,9,FALSE)</f>
        <v>#REF!</v>
      </c>
      <c r="E1377" s="3"/>
      <c r="F1377" s="3"/>
      <c r="G1377" s="7"/>
      <c r="H1377" s="7"/>
      <c r="I1377" s="7"/>
      <c r="J1377" s="60"/>
      <c r="K1377" s="60" t="str">
        <f t="shared" si="2"/>
        <v/>
      </c>
    </row>
    <row r="1378">
      <c r="A1378" s="61" t="str">
        <f t="shared" si="1"/>
        <v/>
      </c>
      <c r="B1378" s="73"/>
      <c r="C1378" s="76"/>
      <c r="D1378" s="76" t="str">
        <f>VLOOKUP(B1378,'HEAD OF THE FAMILY'!B1934:J2375,9,FALSE)</f>
        <v>#REF!</v>
      </c>
      <c r="E1378" s="3"/>
      <c r="F1378" s="3"/>
      <c r="G1378" s="7"/>
      <c r="H1378" s="7"/>
      <c r="I1378" s="7"/>
      <c r="J1378" s="60"/>
      <c r="K1378" s="60" t="str">
        <f t="shared" si="2"/>
        <v/>
      </c>
    </row>
    <row r="1379">
      <c r="A1379" s="61" t="str">
        <f t="shared" si="1"/>
        <v/>
      </c>
      <c r="B1379" s="73"/>
      <c r="C1379" s="76"/>
      <c r="D1379" s="76" t="str">
        <f>VLOOKUP(B1379,'HEAD OF THE FAMILY'!B1934:J2376,9,FALSE)</f>
        <v>#REF!</v>
      </c>
      <c r="E1379" s="3"/>
      <c r="F1379" s="3"/>
      <c r="G1379" s="7"/>
      <c r="H1379" s="7"/>
      <c r="I1379" s="7"/>
      <c r="J1379" s="60"/>
      <c r="K1379" s="60" t="str">
        <f t="shared" si="2"/>
        <v/>
      </c>
    </row>
    <row r="1380">
      <c r="A1380" s="61" t="str">
        <f t="shared" si="1"/>
        <v/>
      </c>
      <c r="B1380" s="73"/>
      <c r="C1380" s="76"/>
      <c r="D1380" s="76" t="str">
        <f>VLOOKUP(B1380,'HEAD OF THE FAMILY'!B1934:J2377,9,FALSE)</f>
        <v>#REF!</v>
      </c>
      <c r="E1380" s="3"/>
      <c r="F1380" s="3"/>
      <c r="G1380" s="7"/>
      <c r="H1380" s="7"/>
      <c r="I1380" s="7"/>
      <c r="J1380" s="60"/>
      <c r="K1380" s="60" t="str">
        <f t="shared" si="2"/>
        <v/>
      </c>
    </row>
    <row r="1381">
      <c r="A1381" s="61" t="str">
        <f t="shared" si="1"/>
        <v/>
      </c>
      <c r="B1381" s="73"/>
      <c r="C1381" s="76"/>
      <c r="D1381" s="76" t="str">
        <f>VLOOKUP(B1381,'HEAD OF THE FAMILY'!B1934:J2378,9,FALSE)</f>
        <v>#REF!</v>
      </c>
      <c r="E1381" s="3"/>
      <c r="F1381" s="3"/>
      <c r="G1381" s="7"/>
      <c r="H1381" s="7"/>
      <c r="I1381" s="7"/>
      <c r="J1381" s="60"/>
      <c r="K1381" s="60" t="str">
        <f t="shared" si="2"/>
        <v/>
      </c>
    </row>
    <row r="1382">
      <c r="A1382" s="61" t="str">
        <f t="shared" si="1"/>
        <v/>
      </c>
      <c r="B1382" s="73"/>
      <c r="C1382" s="76"/>
      <c r="D1382" s="76" t="str">
        <f>VLOOKUP(B1382,'HEAD OF THE FAMILY'!B1934:J2379,9,FALSE)</f>
        <v>#REF!</v>
      </c>
      <c r="E1382" s="3"/>
      <c r="F1382" s="3"/>
      <c r="G1382" s="7"/>
      <c r="H1382" s="7"/>
      <c r="I1382" s="7"/>
      <c r="J1382" s="60"/>
      <c r="K1382" s="60" t="str">
        <f t="shared" si="2"/>
        <v/>
      </c>
    </row>
    <row r="1383">
      <c r="A1383" s="61" t="str">
        <f t="shared" si="1"/>
        <v/>
      </c>
      <c r="B1383" s="73"/>
      <c r="C1383" s="76"/>
      <c r="D1383" s="76" t="str">
        <f>VLOOKUP(B1383,'HEAD OF THE FAMILY'!B1934:J2380,9,FALSE)</f>
        <v>#REF!</v>
      </c>
      <c r="E1383" s="3"/>
      <c r="F1383" s="3"/>
      <c r="G1383" s="7"/>
      <c r="H1383" s="7"/>
      <c r="I1383" s="7"/>
      <c r="J1383" s="60"/>
      <c r="K1383" s="60" t="str">
        <f t="shared" si="2"/>
        <v/>
      </c>
    </row>
    <row r="1384">
      <c r="A1384" s="61" t="str">
        <f t="shared" si="1"/>
        <v/>
      </c>
      <c r="B1384" s="73"/>
      <c r="C1384" s="76"/>
      <c r="D1384" s="76" t="str">
        <f>VLOOKUP(B1384,'HEAD OF THE FAMILY'!B1934:J2381,9,FALSE)</f>
        <v>#REF!</v>
      </c>
      <c r="E1384" s="3"/>
      <c r="F1384" s="3"/>
      <c r="G1384" s="7"/>
      <c r="H1384" s="7"/>
      <c r="I1384" s="7"/>
      <c r="J1384" s="60"/>
      <c r="K1384" s="60" t="str">
        <f t="shared" si="2"/>
        <v/>
      </c>
    </row>
    <row r="1385">
      <c r="A1385" s="61" t="str">
        <f t="shared" si="1"/>
        <v/>
      </c>
      <c r="B1385" s="73"/>
      <c r="C1385" s="76"/>
      <c r="D1385" s="76" t="str">
        <f>VLOOKUP(B1385,'HEAD OF THE FAMILY'!B1934:J2382,9,FALSE)</f>
        <v>#REF!</v>
      </c>
      <c r="E1385" s="3"/>
      <c r="F1385" s="3"/>
      <c r="G1385" s="7"/>
      <c r="H1385" s="7"/>
      <c r="I1385" s="7"/>
      <c r="J1385" s="60"/>
      <c r="K1385" s="60" t="str">
        <f t="shared" si="2"/>
        <v/>
      </c>
    </row>
    <row r="1386">
      <c r="A1386" s="61" t="str">
        <f t="shared" si="1"/>
        <v/>
      </c>
      <c r="B1386" s="73"/>
      <c r="C1386" s="76"/>
      <c r="D1386" s="76" t="str">
        <f>VLOOKUP(B1386,'HEAD OF THE FAMILY'!B1934:J2383,9,FALSE)</f>
        <v>#REF!</v>
      </c>
      <c r="E1386" s="3"/>
      <c r="F1386" s="3"/>
      <c r="G1386" s="7"/>
      <c r="H1386" s="7"/>
      <c r="I1386" s="7"/>
      <c r="J1386" s="60"/>
      <c r="K1386" s="60" t="str">
        <f t="shared" si="2"/>
        <v/>
      </c>
    </row>
    <row r="1387">
      <c r="A1387" s="61" t="str">
        <f t="shared" si="1"/>
        <v/>
      </c>
      <c r="B1387" s="73"/>
      <c r="C1387" s="76"/>
      <c r="D1387" s="76" t="str">
        <f>VLOOKUP(B1387,'HEAD OF THE FAMILY'!B1934:J2384,9,FALSE)</f>
        <v>#REF!</v>
      </c>
      <c r="E1387" s="3"/>
      <c r="F1387" s="3"/>
      <c r="G1387" s="7"/>
      <c r="H1387" s="7"/>
      <c r="I1387" s="7"/>
      <c r="J1387" s="60"/>
      <c r="K1387" s="60" t="str">
        <f t="shared" si="2"/>
        <v/>
      </c>
    </row>
    <row r="1388">
      <c r="A1388" s="61" t="str">
        <f t="shared" si="1"/>
        <v/>
      </c>
      <c r="B1388" s="73"/>
      <c r="C1388" s="76"/>
      <c r="D1388" s="76" t="str">
        <f>VLOOKUP(B1388,'HEAD OF THE FAMILY'!B1934:J2385,9,FALSE)</f>
        <v>#REF!</v>
      </c>
      <c r="E1388" s="3"/>
      <c r="F1388" s="3"/>
      <c r="G1388" s="7"/>
      <c r="H1388" s="7"/>
      <c r="I1388" s="7"/>
      <c r="J1388" s="60"/>
      <c r="K1388" s="60" t="str">
        <f t="shared" si="2"/>
        <v/>
      </c>
    </row>
    <row r="1389">
      <c r="A1389" s="61" t="str">
        <f t="shared" si="1"/>
        <v/>
      </c>
      <c r="B1389" s="73"/>
      <c r="C1389" s="76"/>
      <c r="D1389" s="76" t="str">
        <f>VLOOKUP(B1389,'HEAD OF THE FAMILY'!B1934:J2386,9,FALSE)</f>
        <v>#REF!</v>
      </c>
      <c r="E1389" s="3"/>
      <c r="F1389" s="3"/>
      <c r="G1389" s="7"/>
      <c r="H1389" s="7"/>
      <c r="I1389" s="7"/>
      <c r="J1389" s="60"/>
      <c r="K1389" s="60" t="str">
        <f t="shared" si="2"/>
        <v/>
      </c>
    </row>
    <row r="1390">
      <c r="A1390" s="61" t="str">
        <f t="shared" si="1"/>
        <v/>
      </c>
      <c r="B1390" s="73"/>
      <c r="C1390" s="76"/>
      <c r="D1390" s="76" t="str">
        <f>VLOOKUP(B1390,'HEAD OF THE FAMILY'!B1934:J2387,9,FALSE)</f>
        <v>#REF!</v>
      </c>
      <c r="E1390" s="3"/>
      <c r="F1390" s="3"/>
      <c r="G1390" s="7"/>
      <c r="H1390" s="7"/>
      <c r="I1390" s="7"/>
      <c r="J1390" s="60"/>
      <c r="K1390" s="60" t="str">
        <f t="shared" si="2"/>
        <v/>
      </c>
    </row>
    <row r="1391">
      <c r="A1391" s="61" t="str">
        <f t="shared" si="1"/>
        <v/>
      </c>
      <c r="B1391" s="73"/>
      <c r="C1391" s="76"/>
      <c r="D1391" s="76" t="str">
        <f>VLOOKUP(B1391,'HEAD OF THE FAMILY'!B1934:J2388,9,FALSE)</f>
        <v>#REF!</v>
      </c>
      <c r="E1391" s="3"/>
      <c r="F1391" s="3"/>
      <c r="G1391" s="7"/>
      <c r="H1391" s="7"/>
      <c r="I1391" s="7"/>
      <c r="J1391" s="60"/>
      <c r="K1391" s="60" t="str">
        <f t="shared" si="2"/>
        <v/>
      </c>
    </row>
    <row r="1392">
      <c r="A1392" s="61" t="str">
        <f t="shared" si="1"/>
        <v/>
      </c>
      <c r="B1392" s="73"/>
      <c r="C1392" s="76"/>
      <c r="D1392" s="76" t="str">
        <f>VLOOKUP(B1392,'HEAD OF THE FAMILY'!B1934:J2389,9,FALSE)</f>
        <v>#REF!</v>
      </c>
      <c r="E1392" s="3"/>
      <c r="F1392" s="3"/>
      <c r="G1392" s="7"/>
      <c r="H1392" s="7"/>
      <c r="I1392" s="7"/>
      <c r="J1392" s="60"/>
      <c r="K1392" s="60" t="str">
        <f t="shared" si="2"/>
        <v/>
      </c>
    </row>
    <row r="1393">
      <c r="A1393" s="61" t="str">
        <f t="shared" si="1"/>
        <v/>
      </c>
      <c r="B1393" s="73"/>
      <c r="C1393" s="76"/>
      <c r="D1393" s="76" t="str">
        <f>VLOOKUP(B1393,'HEAD OF THE FAMILY'!B1934:J2390,9,FALSE)</f>
        <v>#REF!</v>
      </c>
      <c r="E1393" s="3"/>
      <c r="F1393" s="3"/>
      <c r="G1393" s="7"/>
      <c r="H1393" s="7"/>
      <c r="I1393" s="7"/>
      <c r="J1393" s="60"/>
      <c r="K1393" s="60" t="str">
        <f t="shared" si="2"/>
        <v/>
      </c>
    </row>
    <row r="1394">
      <c r="A1394" s="61" t="str">
        <f t="shared" si="1"/>
        <v/>
      </c>
      <c r="B1394" s="73"/>
      <c r="C1394" s="76"/>
      <c r="D1394" s="76" t="str">
        <f>VLOOKUP(B1394,'HEAD OF THE FAMILY'!B1934:J2391,9,FALSE)</f>
        <v>#REF!</v>
      </c>
      <c r="E1394" s="3"/>
      <c r="F1394" s="3"/>
      <c r="G1394" s="7"/>
      <c r="H1394" s="7"/>
      <c r="I1394" s="7"/>
      <c r="J1394" s="60"/>
      <c r="K1394" s="60" t="str">
        <f t="shared" si="2"/>
        <v/>
      </c>
    </row>
    <row r="1395">
      <c r="A1395" s="61" t="str">
        <f t="shared" si="1"/>
        <v/>
      </c>
      <c r="B1395" s="73"/>
      <c r="C1395" s="76"/>
      <c r="D1395" s="76" t="str">
        <f>VLOOKUP(B1395,'HEAD OF THE FAMILY'!B1934:J2392,9,FALSE)</f>
        <v>#REF!</v>
      </c>
      <c r="E1395" s="3"/>
      <c r="F1395" s="3"/>
      <c r="G1395" s="7"/>
      <c r="H1395" s="7"/>
      <c r="I1395" s="7"/>
      <c r="J1395" s="60"/>
      <c r="K1395" s="60" t="str">
        <f t="shared" si="2"/>
        <v/>
      </c>
    </row>
    <row r="1396">
      <c r="A1396" s="61" t="str">
        <f t="shared" si="1"/>
        <v/>
      </c>
      <c r="B1396" s="73"/>
      <c r="C1396" s="76"/>
      <c r="D1396" s="76" t="str">
        <f>VLOOKUP(B1396,'HEAD OF THE FAMILY'!B1934:J2393,9,FALSE)</f>
        <v>#REF!</v>
      </c>
      <c r="E1396" s="3"/>
      <c r="F1396" s="3"/>
      <c r="G1396" s="7"/>
      <c r="H1396" s="7"/>
      <c r="I1396" s="7"/>
      <c r="J1396" s="60"/>
      <c r="K1396" s="60" t="str">
        <f t="shared" si="2"/>
        <v/>
      </c>
    </row>
    <row r="1397">
      <c r="A1397" s="61" t="str">
        <f t="shared" si="1"/>
        <v/>
      </c>
      <c r="B1397" s="73"/>
      <c r="C1397" s="76"/>
      <c r="D1397" s="76" t="str">
        <f>VLOOKUP(B1397,'HEAD OF THE FAMILY'!B1934:J2394,9,FALSE)</f>
        <v>#REF!</v>
      </c>
      <c r="E1397" s="3"/>
      <c r="F1397" s="3"/>
      <c r="G1397" s="7"/>
      <c r="H1397" s="7"/>
      <c r="I1397" s="7"/>
      <c r="J1397" s="60"/>
      <c r="K1397" s="60" t="str">
        <f t="shared" si="2"/>
        <v/>
      </c>
    </row>
    <row r="1398">
      <c r="A1398" s="61" t="str">
        <f t="shared" si="1"/>
        <v/>
      </c>
      <c r="B1398" s="73"/>
      <c r="C1398" s="76"/>
      <c r="D1398" s="76" t="str">
        <f>VLOOKUP(B1398,'HEAD OF THE FAMILY'!B1934:J2395,9,FALSE)</f>
        <v>#REF!</v>
      </c>
      <c r="E1398" s="3"/>
      <c r="F1398" s="3"/>
      <c r="G1398" s="7"/>
      <c r="H1398" s="7"/>
      <c r="I1398" s="7"/>
      <c r="J1398" s="60"/>
      <c r="K1398" s="60" t="str">
        <f t="shared" si="2"/>
        <v/>
      </c>
    </row>
    <row r="1399">
      <c r="A1399" s="61" t="str">
        <f t="shared" si="1"/>
        <v/>
      </c>
      <c r="B1399" s="73"/>
      <c r="C1399" s="76"/>
      <c r="D1399" s="76" t="str">
        <f>VLOOKUP(B1399,'HEAD OF THE FAMILY'!B1934:J2396,9,FALSE)</f>
        <v>#REF!</v>
      </c>
      <c r="E1399" s="3"/>
      <c r="F1399" s="3"/>
      <c r="G1399" s="7"/>
      <c r="H1399" s="7"/>
      <c r="I1399" s="7"/>
      <c r="J1399" s="60"/>
      <c r="K1399" s="60" t="str">
        <f t="shared" si="2"/>
        <v/>
      </c>
    </row>
    <row r="1400">
      <c r="A1400" s="61" t="str">
        <f t="shared" si="1"/>
        <v/>
      </c>
      <c r="B1400" s="73"/>
      <c r="C1400" s="76"/>
      <c r="D1400" s="76" t="str">
        <f>VLOOKUP(B1400,'HEAD OF THE FAMILY'!B1934:J2397,9,FALSE)</f>
        <v>#REF!</v>
      </c>
      <c r="E1400" s="3"/>
      <c r="F1400" s="3"/>
      <c r="G1400" s="7"/>
      <c r="H1400" s="7"/>
      <c r="I1400" s="7"/>
      <c r="J1400" s="60"/>
      <c r="K1400" s="60" t="str">
        <f t="shared" si="2"/>
        <v/>
      </c>
    </row>
    <row r="1401">
      <c r="A1401" s="61" t="str">
        <f t="shared" si="1"/>
        <v/>
      </c>
      <c r="B1401" s="73"/>
      <c r="C1401" s="76"/>
      <c r="D1401" s="76" t="str">
        <f>VLOOKUP(B1401,'HEAD OF THE FAMILY'!B1934:J2398,9,FALSE)</f>
        <v>#REF!</v>
      </c>
      <c r="E1401" s="3"/>
      <c r="F1401" s="3"/>
      <c r="G1401" s="7"/>
      <c r="H1401" s="7"/>
      <c r="I1401" s="7"/>
      <c r="J1401" s="60"/>
      <c r="K1401" s="60" t="str">
        <f t="shared" si="2"/>
        <v/>
      </c>
    </row>
    <row r="1402">
      <c r="A1402" s="61" t="str">
        <f t="shared" si="1"/>
        <v/>
      </c>
      <c r="B1402" s="73"/>
      <c r="C1402" s="76"/>
      <c r="D1402" s="76" t="str">
        <f>VLOOKUP(B1402,'HEAD OF THE FAMILY'!B1934:J2399,9,FALSE)</f>
        <v>#REF!</v>
      </c>
      <c r="E1402" s="3"/>
      <c r="F1402" s="3"/>
      <c r="G1402" s="7"/>
      <c r="H1402" s="7"/>
      <c r="I1402" s="7"/>
      <c r="J1402" s="60"/>
      <c r="K1402" s="60" t="str">
        <f t="shared" si="2"/>
        <v/>
      </c>
    </row>
    <row r="1403">
      <c r="A1403" s="61" t="str">
        <f t="shared" si="1"/>
        <v/>
      </c>
      <c r="B1403" s="73"/>
      <c r="C1403" s="76"/>
      <c r="D1403" s="76" t="str">
        <f>VLOOKUP(B1403,'HEAD OF THE FAMILY'!B1934:J2400,9,FALSE)</f>
        <v>#REF!</v>
      </c>
      <c r="E1403" s="3"/>
      <c r="F1403" s="3"/>
      <c r="G1403" s="7"/>
      <c r="H1403" s="7"/>
      <c r="I1403" s="7"/>
      <c r="J1403" s="60"/>
      <c r="K1403" s="60" t="str">
        <f t="shared" si="2"/>
        <v/>
      </c>
    </row>
    <row r="1404">
      <c r="A1404" s="61" t="str">
        <f t="shared" si="1"/>
        <v/>
      </c>
      <c r="B1404" s="73"/>
      <c r="C1404" s="76"/>
      <c r="D1404" s="76" t="str">
        <f>VLOOKUP(B1404,'HEAD OF THE FAMILY'!B1934:J2401,9,FALSE)</f>
        <v>#REF!</v>
      </c>
      <c r="E1404" s="3"/>
      <c r="F1404" s="3"/>
      <c r="G1404" s="7"/>
      <c r="H1404" s="7"/>
      <c r="I1404" s="7"/>
      <c r="J1404" s="60"/>
      <c r="K1404" s="60" t="str">
        <f t="shared" si="2"/>
        <v/>
      </c>
    </row>
    <row r="1405">
      <c r="A1405" s="61" t="str">
        <f t="shared" si="1"/>
        <v/>
      </c>
      <c r="B1405" s="73"/>
      <c r="C1405" s="76"/>
      <c r="D1405" s="76" t="str">
        <f>VLOOKUP(B1405,'HEAD OF THE FAMILY'!B1934:J2402,9,FALSE)</f>
        <v>#REF!</v>
      </c>
      <c r="E1405" s="3"/>
      <c r="F1405" s="3"/>
      <c r="G1405" s="7"/>
      <c r="H1405" s="7"/>
      <c r="I1405" s="7"/>
      <c r="J1405" s="60"/>
      <c r="K1405" s="60" t="str">
        <f t="shared" si="2"/>
        <v/>
      </c>
    </row>
    <row r="1406">
      <c r="A1406" s="61" t="str">
        <f t="shared" si="1"/>
        <v/>
      </c>
      <c r="B1406" s="73"/>
      <c r="C1406" s="76"/>
      <c r="D1406" s="76" t="str">
        <f>VLOOKUP(B1406,'HEAD OF THE FAMILY'!B1934:J2403,9,FALSE)</f>
        <v>#REF!</v>
      </c>
      <c r="E1406" s="3"/>
      <c r="F1406" s="3"/>
      <c r="G1406" s="7"/>
      <c r="H1406" s="7"/>
      <c r="I1406" s="7"/>
      <c r="J1406" s="60"/>
      <c r="K1406" s="60" t="str">
        <f t="shared" si="2"/>
        <v/>
      </c>
    </row>
    <row r="1407">
      <c r="A1407" s="61" t="str">
        <f t="shared" si="1"/>
        <v/>
      </c>
      <c r="B1407" s="73"/>
      <c r="C1407" s="76"/>
      <c r="D1407" s="76" t="str">
        <f>VLOOKUP(B1407,'HEAD OF THE FAMILY'!B1934:J2404,9,FALSE)</f>
        <v>#REF!</v>
      </c>
      <c r="E1407" s="3"/>
      <c r="F1407" s="3"/>
      <c r="G1407" s="7"/>
      <c r="H1407" s="7"/>
      <c r="I1407" s="7"/>
      <c r="J1407" s="60"/>
      <c r="K1407" s="60" t="str">
        <f t="shared" si="2"/>
        <v/>
      </c>
    </row>
    <row r="1408">
      <c r="A1408" s="61" t="str">
        <f t="shared" si="1"/>
        <v/>
      </c>
      <c r="B1408" s="73"/>
      <c r="C1408" s="76"/>
      <c r="D1408" s="76" t="str">
        <f>VLOOKUP(B1408,'HEAD OF THE FAMILY'!B1934:J2405,9,FALSE)</f>
        <v>#REF!</v>
      </c>
      <c r="E1408" s="3"/>
      <c r="F1408" s="3"/>
      <c r="G1408" s="7"/>
      <c r="H1408" s="7"/>
      <c r="I1408" s="7"/>
      <c r="J1408" s="60"/>
      <c r="K1408" s="60" t="str">
        <f t="shared" si="2"/>
        <v/>
      </c>
    </row>
    <row r="1409">
      <c r="A1409" s="61" t="str">
        <f t="shared" si="1"/>
        <v/>
      </c>
      <c r="B1409" s="73"/>
      <c r="C1409" s="76"/>
      <c r="D1409" s="76" t="str">
        <f>VLOOKUP(B1409,'HEAD OF THE FAMILY'!B1934:J2406,9,FALSE)</f>
        <v>#REF!</v>
      </c>
      <c r="E1409" s="3"/>
      <c r="F1409" s="3"/>
      <c r="G1409" s="7"/>
      <c r="H1409" s="7"/>
      <c r="I1409" s="7"/>
      <c r="J1409" s="60"/>
      <c r="K1409" s="60" t="str">
        <f t="shared" si="2"/>
        <v/>
      </c>
    </row>
    <row r="1410">
      <c r="A1410" s="61" t="str">
        <f t="shared" si="1"/>
        <v/>
      </c>
      <c r="B1410" s="73"/>
      <c r="C1410" s="76"/>
      <c r="D1410" s="76" t="str">
        <f>VLOOKUP(B1410,'HEAD OF THE FAMILY'!B1934:J2407,9,FALSE)</f>
        <v>#REF!</v>
      </c>
      <c r="E1410" s="3"/>
      <c r="F1410" s="3"/>
      <c r="G1410" s="7"/>
      <c r="H1410" s="7"/>
      <c r="I1410" s="7"/>
      <c r="J1410" s="60"/>
      <c r="K1410" s="60" t="str">
        <f t="shared" si="2"/>
        <v/>
      </c>
    </row>
    <row r="1411">
      <c r="A1411" s="61" t="str">
        <f t="shared" si="1"/>
        <v/>
      </c>
      <c r="B1411" s="73"/>
      <c r="C1411" s="76"/>
      <c r="D1411" s="76" t="str">
        <f>VLOOKUP(B1411,'HEAD OF THE FAMILY'!B1934:J2408,9,FALSE)</f>
        <v>#REF!</v>
      </c>
      <c r="E1411" s="3"/>
      <c r="F1411" s="3"/>
      <c r="G1411" s="7"/>
      <c r="H1411" s="7"/>
      <c r="I1411" s="7"/>
      <c r="J1411" s="60"/>
      <c r="K1411" s="60" t="str">
        <f t="shared" si="2"/>
        <v/>
      </c>
    </row>
    <row r="1412">
      <c r="A1412" s="61" t="str">
        <f t="shared" si="1"/>
        <v/>
      </c>
      <c r="B1412" s="73"/>
      <c r="C1412" s="76"/>
      <c r="D1412" s="76" t="str">
        <f>VLOOKUP(B1412,'HEAD OF THE FAMILY'!B1934:J2409,9,FALSE)</f>
        <v>#REF!</v>
      </c>
      <c r="E1412" s="3"/>
      <c r="F1412" s="3"/>
      <c r="G1412" s="7"/>
      <c r="H1412" s="7"/>
      <c r="I1412" s="7"/>
      <c r="J1412" s="60"/>
      <c r="K1412" s="60" t="str">
        <f t="shared" si="2"/>
        <v/>
      </c>
    </row>
    <row r="1413">
      <c r="A1413" s="61" t="str">
        <f t="shared" si="1"/>
        <v/>
      </c>
      <c r="B1413" s="73"/>
      <c r="C1413" s="76"/>
      <c r="D1413" s="76" t="str">
        <f>VLOOKUP(B1413,'HEAD OF THE FAMILY'!B1934:J2410,9,FALSE)</f>
        <v>#REF!</v>
      </c>
      <c r="E1413" s="3"/>
      <c r="F1413" s="3"/>
      <c r="G1413" s="7"/>
      <c r="H1413" s="7"/>
      <c r="I1413" s="7"/>
      <c r="J1413" s="60"/>
      <c r="K1413" s="60" t="str">
        <f t="shared" si="2"/>
        <v/>
      </c>
    </row>
    <row r="1414">
      <c r="A1414" s="61" t="str">
        <f t="shared" si="1"/>
        <v/>
      </c>
      <c r="B1414" s="73"/>
      <c r="C1414" s="76"/>
      <c r="D1414" s="76" t="str">
        <f>VLOOKUP(B1414,'HEAD OF THE FAMILY'!B1934:J2411,9,FALSE)</f>
        <v>#REF!</v>
      </c>
      <c r="E1414" s="3"/>
      <c r="F1414" s="3"/>
      <c r="G1414" s="7"/>
      <c r="H1414" s="7"/>
      <c r="I1414" s="7"/>
      <c r="J1414" s="60"/>
      <c r="K1414" s="60" t="str">
        <f t="shared" si="2"/>
        <v/>
      </c>
    </row>
    <row r="1415">
      <c r="A1415" s="61" t="str">
        <f t="shared" si="1"/>
        <v/>
      </c>
      <c r="B1415" s="73"/>
      <c r="C1415" s="76"/>
      <c r="D1415" s="76" t="str">
        <f>VLOOKUP(B1415,'HEAD OF THE FAMILY'!B1934:J2412,9,FALSE)</f>
        <v>#REF!</v>
      </c>
      <c r="E1415" s="3"/>
      <c r="F1415" s="3"/>
      <c r="G1415" s="7"/>
      <c r="H1415" s="7"/>
      <c r="I1415" s="7"/>
      <c r="J1415" s="60"/>
      <c r="K1415" s="60" t="str">
        <f t="shared" si="2"/>
        <v/>
      </c>
    </row>
    <row r="1416">
      <c r="A1416" s="61" t="str">
        <f t="shared" si="1"/>
        <v/>
      </c>
      <c r="B1416" s="73"/>
      <c r="C1416" s="76"/>
      <c r="D1416" s="76" t="str">
        <f>VLOOKUP(B1416,'HEAD OF THE FAMILY'!B1934:J2413,9,FALSE)</f>
        <v>#REF!</v>
      </c>
      <c r="E1416" s="3"/>
      <c r="F1416" s="3"/>
      <c r="G1416" s="7"/>
      <c r="H1416" s="7"/>
      <c r="I1416" s="7"/>
      <c r="J1416" s="60"/>
      <c r="K1416" s="60" t="str">
        <f t="shared" si="2"/>
        <v/>
      </c>
    </row>
    <row r="1417">
      <c r="A1417" s="61" t="str">
        <f t="shared" si="1"/>
        <v/>
      </c>
      <c r="B1417" s="73"/>
      <c r="C1417" s="76"/>
      <c r="D1417" s="76" t="str">
        <f>VLOOKUP(B1417,'HEAD OF THE FAMILY'!B1934:J2414,9,FALSE)</f>
        <v>#REF!</v>
      </c>
      <c r="E1417" s="3"/>
      <c r="F1417" s="3"/>
      <c r="G1417" s="7"/>
      <c r="H1417" s="7"/>
      <c r="I1417" s="7"/>
      <c r="J1417" s="60"/>
      <c r="K1417" s="60" t="str">
        <f t="shared" si="2"/>
        <v/>
      </c>
    </row>
    <row r="1418">
      <c r="A1418" s="61" t="str">
        <f t="shared" si="1"/>
        <v/>
      </c>
      <c r="B1418" s="73"/>
      <c r="C1418" s="76"/>
      <c r="D1418" s="76" t="str">
        <f>VLOOKUP(B1418,'HEAD OF THE FAMILY'!B1934:J2415,9,FALSE)</f>
        <v>#REF!</v>
      </c>
      <c r="E1418" s="3"/>
      <c r="F1418" s="3"/>
      <c r="G1418" s="7"/>
      <c r="H1418" s="7"/>
      <c r="I1418" s="7"/>
      <c r="J1418" s="60"/>
      <c r="K1418" s="60" t="str">
        <f t="shared" si="2"/>
        <v/>
      </c>
    </row>
    <row r="1419">
      <c r="A1419" s="61" t="str">
        <f t="shared" si="1"/>
        <v/>
      </c>
      <c r="B1419" s="73"/>
      <c r="C1419" s="76"/>
      <c r="D1419" s="76" t="str">
        <f>VLOOKUP(B1419,'HEAD OF THE FAMILY'!B1934:J2416,9,FALSE)</f>
        <v>#REF!</v>
      </c>
      <c r="E1419" s="3"/>
      <c r="F1419" s="3"/>
      <c r="G1419" s="7"/>
      <c r="H1419" s="7"/>
      <c r="I1419" s="7"/>
      <c r="J1419" s="60"/>
      <c r="K1419" s="60" t="str">
        <f t="shared" si="2"/>
        <v/>
      </c>
    </row>
    <row r="1420">
      <c r="A1420" s="61" t="str">
        <f t="shared" si="1"/>
        <v/>
      </c>
      <c r="B1420" s="73"/>
      <c r="C1420" s="76"/>
      <c r="D1420" s="76" t="str">
        <f>VLOOKUP(B1420,'HEAD OF THE FAMILY'!B1934:J2417,9,FALSE)</f>
        <v>#REF!</v>
      </c>
      <c r="E1420" s="3"/>
      <c r="F1420" s="3"/>
      <c r="G1420" s="7"/>
      <c r="H1420" s="7"/>
      <c r="I1420" s="7"/>
      <c r="J1420" s="60"/>
      <c r="K1420" s="60" t="str">
        <f t="shared" si="2"/>
        <v/>
      </c>
    </row>
    <row r="1421">
      <c r="A1421" s="61" t="str">
        <f t="shared" si="1"/>
        <v/>
      </c>
      <c r="B1421" s="73"/>
      <c r="C1421" s="76"/>
      <c r="D1421" s="76" t="str">
        <f>VLOOKUP(B1421,'HEAD OF THE FAMILY'!B1934:J2418,9,FALSE)</f>
        <v>#REF!</v>
      </c>
      <c r="E1421" s="3"/>
      <c r="F1421" s="3"/>
      <c r="G1421" s="7"/>
      <c r="H1421" s="7"/>
      <c r="I1421" s="7"/>
      <c r="J1421" s="60"/>
      <c r="K1421" s="60" t="str">
        <f t="shared" si="2"/>
        <v/>
      </c>
    </row>
    <row r="1422">
      <c r="A1422" s="61" t="str">
        <f t="shared" si="1"/>
        <v/>
      </c>
      <c r="B1422" s="73"/>
      <c r="C1422" s="76"/>
      <c r="D1422" s="76" t="str">
        <f>VLOOKUP(B1422,'HEAD OF THE FAMILY'!B1934:J2419,9,FALSE)</f>
        <v>#REF!</v>
      </c>
      <c r="E1422" s="3"/>
      <c r="F1422" s="3"/>
      <c r="G1422" s="7"/>
      <c r="H1422" s="7"/>
      <c r="I1422" s="7"/>
      <c r="J1422" s="60"/>
      <c r="K1422" s="60" t="str">
        <f t="shared" si="2"/>
        <v/>
      </c>
    </row>
    <row r="1423">
      <c r="A1423" s="61" t="str">
        <f t="shared" si="1"/>
        <v/>
      </c>
      <c r="B1423" s="73"/>
      <c r="C1423" s="76"/>
      <c r="D1423" s="76" t="str">
        <f>VLOOKUP(B1423,'HEAD OF THE FAMILY'!B1934:J2420,9,FALSE)</f>
        <v>#REF!</v>
      </c>
      <c r="E1423" s="3"/>
      <c r="F1423" s="3"/>
      <c r="G1423" s="7"/>
      <c r="H1423" s="7"/>
      <c r="I1423" s="7"/>
      <c r="J1423" s="60"/>
      <c r="K1423" s="60" t="str">
        <f t="shared" si="2"/>
        <v/>
      </c>
    </row>
    <row r="1424">
      <c r="A1424" s="61" t="str">
        <f t="shared" si="1"/>
        <v/>
      </c>
      <c r="B1424" s="73"/>
      <c r="C1424" s="76"/>
      <c r="D1424" s="76" t="str">
        <f>VLOOKUP(B1424,'HEAD OF THE FAMILY'!B1934:J2421,9,FALSE)</f>
        <v>#REF!</v>
      </c>
      <c r="E1424" s="3"/>
      <c r="F1424" s="3"/>
      <c r="G1424" s="7"/>
      <c r="H1424" s="7"/>
      <c r="I1424" s="7"/>
      <c r="J1424" s="60"/>
      <c r="K1424" s="60" t="str">
        <f t="shared" si="2"/>
        <v/>
      </c>
    </row>
    <row r="1425">
      <c r="A1425" s="61" t="str">
        <f t="shared" si="1"/>
        <v/>
      </c>
      <c r="B1425" s="73"/>
      <c r="C1425" s="76"/>
      <c r="D1425" s="76" t="str">
        <f>VLOOKUP(B1425,'HEAD OF THE FAMILY'!B1934:J2422,9,FALSE)</f>
        <v>#REF!</v>
      </c>
      <c r="E1425" s="3"/>
      <c r="F1425" s="3"/>
      <c r="G1425" s="7"/>
      <c r="H1425" s="7"/>
      <c r="I1425" s="7"/>
      <c r="J1425" s="60"/>
      <c r="K1425" s="60" t="str">
        <f t="shared" si="2"/>
        <v/>
      </c>
    </row>
    <row r="1426">
      <c r="A1426" s="61" t="str">
        <f t="shared" si="1"/>
        <v/>
      </c>
      <c r="B1426" s="73"/>
      <c r="C1426" s="76"/>
      <c r="D1426" s="76" t="str">
        <f>VLOOKUP(B1426,'HEAD OF THE FAMILY'!B1934:J2423,9,FALSE)</f>
        <v>#REF!</v>
      </c>
      <c r="E1426" s="3"/>
      <c r="F1426" s="3"/>
      <c r="G1426" s="7"/>
      <c r="H1426" s="7"/>
      <c r="I1426" s="7"/>
      <c r="J1426" s="60"/>
      <c r="K1426" s="60" t="str">
        <f t="shared" si="2"/>
        <v/>
      </c>
    </row>
    <row r="1427">
      <c r="A1427" s="61" t="str">
        <f t="shared" si="1"/>
        <v/>
      </c>
      <c r="B1427" s="73"/>
      <c r="C1427" s="76"/>
      <c r="D1427" s="76" t="str">
        <f>VLOOKUP(B1427,'HEAD OF THE FAMILY'!B1934:J2424,9,FALSE)</f>
        <v>#REF!</v>
      </c>
      <c r="E1427" s="3"/>
      <c r="F1427" s="3"/>
      <c r="G1427" s="7"/>
      <c r="H1427" s="7"/>
      <c r="I1427" s="7"/>
      <c r="J1427" s="60"/>
      <c r="K1427" s="60" t="str">
        <f t="shared" si="2"/>
        <v/>
      </c>
    </row>
    <row r="1428">
      <c r="A1428" s="61" t="str">
        <f t="shared" si="1"/>
        <v/>
      </c>
      <c r="B1428" s="73"/>
      <c r="C1428" s="76"/>
      <c r="D1428" s="76" t="str">
        <f>VLOOKUP(B1428,'HEAD OF THE FAMILY'!B1934:J2425,9,FALSE)</f>
        <v>#REF!</v>
      </c>
      <c r="E1428" s="3"/>
      <c r="F1428" s="3"/>
      <c r="G1428" s="7"/>
      <c r="H1428" s="7"/>
      <c r="I1428" s="7"/>
      <c r="J1428" s="60"/>
      <c r="K1428" s="60" t="str">
        <f t="shared" si="2"/>
        <v/>
      </c>
    </row>
    <row r="1429">
      <c r="A1429" s="61" t="str">
        <f t="shared" si="1"/>
        <v/>
      </c>
      <c r="B1429" s="73"/>
      <c r="C1429" s="76"/>
      <c r="D1429" s="76" t="str">
        <f>VLOOKUP(B1429,'HEAD OF THE FAMILY'!B1934:J2426,9,FALSE)</f>
        <v>#REF!</v>
      </c>
      <c r="E1429" s="3"/>
      <c r="F1429" s="3"/>
      <c r="G1429" s="7"/>
      <c r="H1429" s="7"/>
      <c r="I1429" s="7"/>
      <c r="J1429" s="60"/>
      <c r="K1429" s="60" t="str">
        <f t="shared" si="2"/>
        <v/>
      </c>
    </row>
    <row r="1430">
      <c r="A1430" s="61" t="str">
        <f t="shared" si="1"/>
        <v/>
      </c>
      <c r="B1430" s="73"/>
      <c r="C1430" s="76"/>
      <c r="D1430" s="76" t="str">
        <f>VLOOKUP(B1430,'HEAD OF THE FAMILY'!B1934:J2427,9,FALSE)</f>
        <v>#REF!</v>
      </c>
      <c r="E1430" s="3"/>
      <c r="F1430" s="3"/>
      <c r="G1430" s="7"/>
      <c r="H1430" s="7"/>
      <c r="I1430" s="7"/>
      <c r="J1430" s="60"/>
      <c r="K1430" s="60" t="str">
        <f t="shared" si="2"/>
        <v/>
      </c>
    </row>
    <row r="1431">
      <c r="A1431" s="61" t="str">
        <f t="shared" si="1"/>
        <v/>
      </c>
      <c r="B1431" s="73"/>
      <c r="C1431" s="76"/>
      <c r="D1431" s="76" t="str">
        <f>VLOOKUP(B1431,'HEAD OF THE FAMILY'!B1934:J2428,9,FALSE)</f>
        <v>#REF!</v>
      </c>
      <c r="E1431" s="3"/>
      <c r="F1431" s="3"/>
      <c r="G1431" s="7"/>
      <c r="H1431" s="7"/>
      <c r="I1431" s="7"/>
      <c r="J1431" s="60"/>
      <c r="K1431" s="60" t="str">
        <f t="shared" si="2"/>
        <v/>
      </c>
    </row>
    <row r="1432">
      <c r="A1432" s="61" t="str">
        <f t="shared" si="1"/>
        <v/>
      </c>
      <c r="B1432" s="73"/>
      <c r="C1432" s="76"/>
      <c r="D1432" s="76" t="str">
        <f>VLOOKUP(B1432,'HEAD OF THE FAMILY'!B1934:J2429,9,FALSE)</f>
        <v>#REF!</v>
      </c>
      <c r="E1432" s="3"/>
      <c r="F1432" s="3"/>
      <c r="G1432" s="7"/>
      <c r="H1432" s="7"/>
      <c r="I1432" s="7"/>
      <c r="J1432" s="60"/>
      <c r="K1432" s="60" t="str">
        <f t="shared" si="2"/>
        <v/>
      </c>
    </row>
    <row r="1433">
      <c r="A1433" s="61" t="str">
        <f t="shared" si="1"/>
        <v/>
      </c>
      <c r="B1433" s="73"/>
      <c r="C1433" s="76"/>
      <c r="D1433" s="76" t="str">
        <f>VLOOKUP(B1433,'HEAD OF THE FAMILY'!B1934:J2430,9,FALSE)</f>
        <v>#REF!</v>
      </c>
      <c r="E1433" s="3"/>
      <c r="F1433" s="3"/>
      <c r="G1433" s="7"/>
      <c r="H1433" s="7"/>
      <c r="I1433" s="7"/>
      <c r="J1433" s="60"/>
      <c r="K1433" s="60" t="str">
        <f t="shared" si="2"/>
        <v/>
      </c>
    </row>
    <row r="1434">
      <c r="A1434" s="61" t="str">
        <f t="shared" si="1"/>
        <v/>
      </c>
      <c r="B1434" s="73"/>
      <c r="C1434" s="76"/>
      <c r="D1434" s="76" t="str">
        <f>VLOOKUP(B1434,'HEAD OF THE FAMILY'!B1934:J2431,9,FALSE)</f>
        <v>#REF!</v>
      </c>
      <c r="E1434" s="3"/>
      <c r="F1434" s="3"/>
      <c r="G1434" s="7"/>
      <c r="H1434" s="7"/>
      <c r="I1434" s="7"/>
      <c r="J1434" s="60"/>
      <c r="K1434" s="60" t="str">
        <f t="shared" si="2"/>
        <v/>
      </c>
    </row>
    <row r="1435">
      <c r="A1435" s="61" t="str">
        <f t="shared" si="1"/>
        <v/>
      </c>
      <c r="B1435" s="73"/>
      <c r="C1435" s="76"/>
      <c r="D1435" s="76" t="str">
        <f>VLOOKUP(B1435,'HEAD OF THE FAMILY'!B1934:J2432,9,FALSE)</f>
        <v>#REF!</v>
      </c>
      <c r="E1435" s="3"/>
      <c r="F1435" s="3"/>
      <c r="G1435" s="7"/>
      <c r="H1435" s="7"/>
      <c r="I1435" s="7"/>
      <c r="J1435" s="60"/>
      <c r="K1435" s="60" t="str">
        <f t="shared" si="2"/>
        <v/>
      </c>
    </row>
    <row r="1436">
      <c r="A1436" s="61" t="str">
        <f t="shared" si="1"/>
        <v/>
      </c>
      <c r="B1436" s="73"/>
      <c r="C1436" s="76"/>
      <c r="D1436" s="76" t="str">
        <f>VLOOKUP(B1436,'HEAD OF THE FAMILY'!B1934:J2433,9,FALSE)</f>
        <v>#REF!</v>
      </c>
      <c r="E1436" s="3"/>
      <c r="F1436" s="3"/>
      <c r="G1436" s="7"/>
      <c r="H1436" s="7"/>
      <c r="I1436" s="7"/>
      <c r="J1436" s="60"/>
      <c r="K1436" s="60" t="str">
        <f t="shared" si="2"/>
        <v/>
      </c>
    </row>
    <row r="1437">
      <c r="A1437" s="61" t="str">
        <f t="shared" si="1"/>
        <v/>
      </c>
      <c r="B1437" s="73"/>
      <c r="C1437" s="76"/>
      <c r="D1437" s="76" t="str">
        <f>VLOOKUP(B1437,'HEAD OF THE FAMILY'!B1934:J2434,9,FALSE)</f>
        <v>#REF!</v>
      </c>
      <c r="E1437" s="3"/>
      <c r="F1437" s="3"/>
      <c r="G1437" s="7"/>
      <c r="H1437" s="7"/>
      <c r="I1437" s="7"/>
      <c r="J1437" s="60"/>
      <c r="K1437" s="60" t="str">
        <f t="shared" si="2"/>
        <v/>
      </c>
    </row>
    <row r="1438">
      <c r="A1438" s="61" t="str">
        <f t="shared" si="1"/>
        <v/>
      </c>
      <c r="B1438" s="73"/>
      <c r="C1438" s="76"/>
      <c r="D1438" s="76" t="str">
        <f>VLOOKUP(B1438,'HEAD OF THE FAMILY'!B1934:J2435,9,FALSE)</f>
        <v>#REF!</v>
      </c>
      <c r="E1438" s="3"/>
      <c r="F1438" s="3"/>
      <c r="G1438" s="7"/>
      <c r="H1438" s="7"/>
      <c r="I1438" s="7"/>
      <c r="J1438" s="60"/>
      <c r="K1438" s="60" t="str">
        <f t="shared" si="2"/>
        <v/>
      </c>
    </row>
    <row r="1439">
      <c r="A1439" s="61" t="str">
        <f t="shared" si="1"/>
        <v/>
      </c>
      <c r="B1439" s="73"/>
      <c r="C1439" s="76"/>
      <c r="D1439" s="76" t="str">
        <f>VLOOKUP(B1439,'HEAD OF THE FAMILY'!B1934:J2436,9,FALSE)</f>
        <v>#REF!</v>
      </c>
      <c r="E1439" s="3"/>
      <c r="F1439" s="3"/>
      <c r="G1439" s="7"/>
      <c r="H1439" s="7"/>
      <c r="I1439" s="7"/>
      <c r="J1439" s="60"/>
      <c r="K1439" s="60" t="str">
        <f t="shared" si="2"/>
        <v/>
      </c>
    </row>
    <row r="1440">
      <c r="A1440" s="61" t="str">
        <f t="shared" si="1"/>
        <v/>
      </c>
      <c r="B1440" s="73"/>
      <c r="C1440" s="76"/>
      <c r="D1440" s="76" t="str">
        <f>VLOOKUP(B1440,'HEAD OF THE FAMILY'!B1934:J2437,9,FALSE)</f>
        <v>#REF!</v>
      </c>
      <c r="E1440" s="3"/>
      <c r="F1440" s="3"/>
      <c r="G1440" s="7"/>
      <c r="H1440" s="7"/>
      <c r="I1440" s="7"/>
      <c r="J1440" s="60"/>
      <c r="K1440" s="60" t="str">
        <f t="shared" si="2"/>
        <v/>
      </c>
    </row>
    <row r="1441">
      <c r="A1441" s="61" t="str">
        <f t="shared" si="1"/>
        <v/>
      </c>
      <c r="B1441" s="73"/>
      <c r="C1441" s="76"/>
      <c r="D1441" s="76" t="str">
        <f>VLOOKUP(B1441,'HEAD OF THE FAMILY'!B1934:J2438,9,FALSE)</f>
        <v>#REF!</v>
      </c>
      <c r="E1441" s="3"/>
      <c r="F1441" s="3"/>
      <c r="G1441" s="7"/>
      <c r="H1441" s="7"/>
      <c r="I1441" s="7"/>
      <c r="J1441" s="60"/>
      <c r="K1441" s="60" t="str">
        <f t="shared" si="2"/>
        <v/>
      </c>
    </row>
    <row r="1442">
      <c r="A1442" s="61" t="str">
        <f t="shared" si="1"/>
        <v/>
      </c>
      <c r="B1442" s="73"/>
      <c r="C1442" s="76"/>
      <c r="D1442" s="76" t="str">
        <f>VLOOKUP(B1442,'HEAD OF THE FAMILY'!B1934:J2439,9,FALSE)</f>
        <v>#REF!</v>
      </c>
      <c r="E1442" s="3"/>
      <c r="F1442" s="3"/>
      <c r="G1442" s="7"/>
      <c r="H1442" s="7"/>
      <c r="I1442" s="7"/>
      <c r="J1442" s="60"/>
      <c r="K1442" s="60" t="str">
        <f t="shared" si="2"/>
        <v/>
      </c>
    </row>
    <row r="1443">
      <c r="A1443" s="61" t="str">
        <f t="shared" si="1"/>
        <v/>
      </c>
      <c r="B1443" s="73"/>
      <c r="C1443" s="76"/>
      <c r="D1443" s="76" t="str">
        <f>VLOOKUP(B1443,'HEAD OF THE FAMILY'!B1934:J2440,9,FALSE)</f>
        <v>#REF!</v>
      </c>
      <c r="E1443" s="3"/>
      <c r="F1443" s="3"/>
      <c r="G1443" s="7"/>
      <c r="H1443" s="7"/>
      <c r="I1443" s="7"/>
      <c r="J1443" s="60"/>
      <c r="K1443" s="60" t="str">
        <f t="shared" si="2"/>
        <v/>
      </c>
    </row>
    <row r="1444">
      <c r="A1444" s="61" t="str">
        <f t="shared" si="1"/>
        <v/>
      </c>
      <c r="B1444" s="73"/>
      <c r="C1444" s="76"/>
      <c r="D1444" s="76" t="str">
        <f>VLOOKUP(B1444,'HEAD OF THE FAMILY'!B1934:J2441,9,FALSE)</f>
        <v>#REF!</v>
      </c>
      <c r="E1444" s="3"/>
      <c r="F1444" s="3"/>
      <c r="G1444" s="7"/>
      <c r="H1444" s="7"/>
      <c r="I1444" s="7"/>
      <c r="J1444" s="60"/>
      <c r="K1444" s="60" t="str">
        <f t="shared" si="2"/>
        <v/>
      </c>
    </row>
    <row r="1445">
      <c r="A1445" s="61" t="str">
        <f t="shared" si="1"/>
        <v/>
      </c>
      <c r="B1445" s="73"/>
      <c r="C1445" s="76"/>
      <c r="D1445" s="76" t="str">
        <f>VLOOKUP(B1445,'HEAD OF THE FAMILY'!B1934:J2442,9,FALSE)</f>
        <v>#REF!</v>
      </c>
      <c r="E1445" s="3"/>
      <c r="F1445" s="3"/>
      <c r="G1445" s="7"/>
      <c r="H1445" s="7"/>
      <c r="I1445" s="7"/>
      <c r="J1445" s="60"/>
      <c r="K1445" s="60" t="str">
        <f t="shared" si="2"/>
        <v/>
      </c>
    </row>
    <row r="1446">
      <c r="A1446" s="61" t="str">
        <f t="shared" si="1"/>
        <v/>
      </c>
      <c r="B1446" s="73"/>
      <c r="C1446" s="76"/>
      <c r="D1446" s="76" t="str">
        <f>VLOOKUP(B1446,'HEAD OF THE FAMILY'!B1934:J2443,9,FALSE)</f>
        <v>#REF!</v>
      </c>
      <c r="E1446" s="3"/>
      <c r="F1446" s="3"/>
      <c r="G1446" s="7"/>
      <c r="H1446" s="7"/>
      <c r="I1446" s="7"/>
      <c r="J1446" s="60"/>
      <c r="K1446" s="60" t="str">
        <f t="shared" si="2"/>
        <v/>
      </c>
    </row>
    <row r="1447">
      <c r="A1447" s="61" t="str">
        <f t="shared" si="1"/>
        <v/>
      </c>
      <c r="B1447" s="73"/>
      <c r="C1447" s="76"/>
      <c r="D1447" s="76" t="str">
        <f>VLOOKUP(B1447,'HEAD OF THE FAMILY'!B1934:J2444,9,FALSE)</f>
        <v>#REF!</v>
      </c>
      <c r="E1447" s="3"/>
      <c r="F1447" s="3"/>
      <c r="G1447" s="7"/>
      <c r="H1447" s="7"/>
      <c r="I1447" s="7"/>
      <c r="J1447" s="60"/>
      <c r="K1447" s="60" t="str">
        <f t="shared" si="2"/>
        <v/>
      </c>
    </row>
    <row r="1448">
      <c r="A1448" s="61" t="str">
        <f t="shared" si="1"/>
        <v/>
      </c>
      <c r="B1448" s="73"/>
      <c r="C1448" s="76"/>
      <c r="D1448" s="76" t="str">
        <f>VLOOKUP(B1448,'HEAD OF THE FAMILY'!B1934:J2445,9,FALSE)</f>
        <v>#REF!</v>
      </c>
      <c r="E1448" s="3"/>
      <c r="F1448" s="3"/>
      <c r="G1448" s="7"/>
      <c r="H1448" s="7"/>
      <c r="I1448" s="7"/>
      <c r="J1448" s="60"/>
      <c r="K1448" s="60" t="str">
        <f t="shared" si="2"/>
        <v/>
      </c>
    </row>
    <row r="1449">
      <c r="A1449" s="61" t="str">
        <f t="shared" si="1"/>
        <v/>
      </c>
      <c r="B1449" s="73"/>
      <c r="C1449" s="76"/>
      <c r="D1449" s="76" t="str">
        <f>VLOOKUP(B1449,'HEAD OF THE FAMILY'!B1934:J2446,9,FALSE)</f>
        <v>#REF!</v>
      </c>
      <c r="E1449" s="3"/>
      <c r="F1449" s="3"/>
      <c r="G1449" s="7"/>
      <c r="H1449" s="7"/>
      <c r="I1449" s="7"/>
      <c r="J1449" s="60"/>
      <c r="K1449" s="60" t="str">
        <f t="shared" si="2"/>
        <v/>
      </c>
    </row>
    <row r="1450">
      <c r="A1450" s="61" t="str">
        <f t="shared" si="1"/>
        <v/>
      </c>
      <c r="B1450" s="73"/>
      <c r="C1450" s="76"/>
      <c r="D1450" s="76" t="str">
        <f>VLOOKUP(B1450,'HEAD OF THE FAMILY'!B1934:J2447,9,FALSE)</f>
        <v>#REF!</v>
      </c>
      <c r="E1450" s="3"/>
      <c r="F1450" s="3"/>
      <c r="G1450" s="7"/>
      <c r="H1450" s="7"/>
      <c r="I1450" s="7"/>
      <c r="J1450" s="60"/>
      <c r="K1450" s="60" t="str">
        <f t="shared" si="2"/>
        <v/>
      </c>
    </row>
    <row r="1451">
      <c r="A1451" s="61" t="str">
        <f t="shared" si="1"/>
        <v/>
      </c>
      <c r="B1451" s="73"/>
      <c r="C1451" s="76"/>
      <c r="D1451" s="76" t="str">
        <f>VLOOKUP(B1451,'HEAD OF THE FAMILY'!B1934:J2448,9,FALSE)</f>
        <v>#REF!</v>
      </c>
      <c r="E1451" s="3"/>
      <c r="F1451" s="3"/>
      <c r="G1451" s="7"/>
      <c r="H1451" s="7"/>
      <c r="I1451" s="7"/>
      <c r="J1451" s="60"/>
      <c r="K1451" s="60" t="str">
        <f t="shared" si="2"/>
        <v/>
      </c>
    </row>
    <row r="1452">
      <c r="A1452" s="61" t="str">
        <f t="shared" si="1"/>
        <v/>
      </c>
      <c r="B1452" s="73"/>
      <c r="C1452" s="76"/>
      <c r="D1452" s="76" t="str">
        <f>VLOOKUP(B1452,'HEAD OF THE FAMILY'!B1934:J2449,9,FALSE)</f>
        <v>#REF!</v>
      </c>
      <c r="E1452" s="3"/>
      <c r="F1452" s="3"/>
      <c r="G1452" s="7"/>
      <c r="H1452" s="7"/>
      <c r="I1452" s="7"/>
      <c r="J1452" s="60"/>
      <c r="K1452" s="60" t="str">
        <f t="shared" si="2"/>
        <v/>
      </c>
    </row>
    <row r="1453">
      <c r="A1453" s="61" t="str">
        <f t="shared" si="1"/>
        <v/>
      </c>
      <c r="B1453" s="73"/>
      <c r="C1453" s="76"/>
      <c r="D1453" s="76" t="str">
        <f>VLOOKUP(B1453,'HEAD OF THE FAMILY'!B1934:J2450,9,FALSE)</f>
        <v>#REF!</v>
      </c>
      <c r="E1453" s="3"/>
      <c r="F1453" s="3"/>
      <c r="G1453" s="7"/>
      <c r="H1453" s="7"/>
      <c r="I1453" s="7"/>
      <c r="J1453" s="60"/>
      <c r="K1453" s="60" t="str">
        <f t="shared" si="2"/>
        <v/>
      </c>
    </row>
    <row r="1454">
      <c r="A1454" s="61" t="str">
        <f t="shared" si="1"/>
        <v/>
      </c>
      <c r="B1454" s="73"/>
      <c r="C1454" s="76"/>
      <c r="D1454" s="76" t="str">
        <f>VLOOKUP(B1454,'HEAD OF THE FAMILY'!B1934:J2451,9,FALSE)</f>
        <v>#REF!</v>
      </c>
      <c r="E1454" s="3"/>
      <c r="F1454" s="3"/>
      <c r="G1454" s="7"/>
      <c r="H1454" s="7"/>
      <c r="I1454" s="7"/>
      <c r="J1454" s="60"/>
      <c r="K1454" s="60" t="str">
        <f t="shared" si="2"/>
        <v/>
      </c>
    </row>
    <row r="1455">
      <c r="A1455" s="61" t="str">
        <f t="shared" si="1"/>
        <v/>
      </c>
      <c r="B1455" s="73"/>
      <c r="C1455" s="76"/>
      <c r="D1455" s="76" t="str">
        <f>VLOOKUP(B1455,'HEAD OF THE FAMILY'!B1934:J2452,9,FALSE)</f>
        <v>#REF!</v>
      </c>
      <c r="E1455" s="3"/>
      <c r="F1455" s="3"/>
      <c r="G1455" s="7"/>
      <c r="H1455" s="7"/>
      <c r="I1455" s="7"/>
      <c r="J1455" s="60"/>
      <c r="K1455" s="60" t="str">
        <f t="shared" si="2"/>
        <v/>
      </c>
    </row>
    <row r="1456">
      <c r="A1456" s="61" t="str">
        <f t="shared" si="1"/>
        <v/>
      </c>
      <c r="B1456" s="73"/>
      <c r="C1456" s="76"/>
      <c r="D1456" s="76" t="str">
        <f>VLOOKUP(B1456,'HEAD OF THE FAMILY'!B1934:J2453,9,FALSE)</f>
        <v>#REF!</v>
      </c>
      <c r="E1456" s="3"/>
      <c r="F1456" s="3"/>
      <c r="G1456" s="7"/>
      <c r="H1456" s="7"/>
      <c r="I1456" s="7"/>
      <c r="J1456" s="60"/>
      <c r="K1456" s="60" t="str">
        <f t="shared" si="2"/>
        <v/>
      </c>
    </row>
    <row r="1457">
      <c r="A1457" s="61" t="str">
        <f t="shared" si="1"/>
        <v/>
      </c>
      <c r="B1457" s="73"/>
      <c r="C1457" s="76"/>
      <c r="D1457" s="76" t="str">
        <f>VLOOKUP(B1457,'HEAD OF THE FAMILY'!B1934:J2454,9,FALSE)</f>
        <v>#REF!</v>
      </c>
      <c r="E1457" s="3"/>
      <c r="F1457" s="3"/>
      <c r="G1457" s="7"/>
      <c r="H1457" s="7"/>
      <c r="I1457" s="7"/>
      <c r="J1457" s="60"/>
      <c r="K1457" s="60" t="str">
        <f t="shared" si="2"/>
        <v/>
      </c>
    </row>
    <row r="1458">
      <c r="A1458" s="61" t="str">
        <f t="shared" si="1"/>
        <v/>
      </c>
      <c r="B1458" s="73"/>
      <c r="C1458" s="76"/>
      <c r="D1458" s="76" t="str">
        <f>VLOOKUP(B1458,'HEAD OF THE FAMILY'!B1934:J2455,9,FALSE)</f>
        <v>#REF!</v>
      </c>
      <c r="E1458" s="3"/>
      <c r="F1458" s="3"/>
      <c r="G1458" s="7"/>
      <c r="H1458" s="7"/>
      <c r="I1458" s="7"/>
      <c r="J1458" s="60"/>
      <c r="K1458" s="60" t="str">
        <f t="shared" si="2"/>
        <v/>
      </c>
    </row>
    <row r="1459">
      <c r="A1459" s="61" t="str">
        <f t="shared" si="1"/>
        <v/>
      </c>
      <c r="B1459" s="73"/>
      <c r="C1459" s="76"/>
      <c r="D1459" s="76" t="str">
        <f>VLOOKUP(B1459,'HEAD OF THE FAMILY'!B1934:J2456,9,FALSE)</f>
        <v>#REF!</v>
      </c>
      <c r="E1459" s="3"/>
      <c r="F1459" s="3"/>
      <c r="G1459" s="7"/>
      <c r="H1459" s="7"/>
      <c r="I1459" s="7"/>
      <c r="J1459" s="60"/>
      <c r="K1459" s="60" t="str">
        <f t="shared" si="2"/>
        <v/>
      </c>
    </row>
    <row r="1460">
      <c r="A1460" s="61" t="str">
        <f t="shared" si="1"/>
        <v/>
      </c>
      <c r="B1460" s="73"/>
      <c r="C1460" s="76"/>
      <c r="D1460" s="76" t="str">
        <f>VLOOKUP(B1460,'HEAD OF THE FAMILY'!B1934:J2457,9,FALSE)</f>
        <v>#REF!</v>
      </c>
      <c r="E1460" s="3"/>
      <c r="F1460" s="3"/>
      <c r="G1460" s="7"/>
      <c r="H1460" s="7"/>
      <c r="I1460" s="7"/>
      <c r="J1460" s="60"/>
      <c r="K1460" s="60" t="str">
        <f t="shared" si="2"/>
        <v/>
      </c>
    </row>
    <row r="1461">
      <c r="A1461" s="61" t="str">
        <f t="shared" si="1"/>
        <v/>
      </c>
      <c r="B1461" s="73"/>
      <c r="C1461" s="76"/>
      <c r="D1461" s="76" t="str">
        <f>VLOOKUP(B1461,'HEAD OF THE FAMILY'!B1934:J2458,9,FALSE)</f>
        <v>#REF!</v>
      </c>
      <c r="E1461" s="3"/>
      <c r="F1461" s="3"/>
      <c r="G1461" s="7"/>
      <c r="H1461" s="7"/>
      <c r="I1461" s="7"/>
      <c r="J1461" s="60"/>
      <c r="K1461" s="60" t="str">
        <f t="shared" si="2"/>
        <v/>
      </c>
    </row>
    <row r="1462">
      <c r="A1462" s="61" t="str">
        <f t="shared" si="1"/>
        <v/>
      </c>
      <c r="B1462" s="73"/>
      <c r="C1462" s="76"/>
      <c r="D1462" s="76" t="str">
        <f>VLOOKUP(B1462,'HEAD OF THE FAMILY'!B1934:J2459,9,FALSE)</f>
        <v>#REF!</v>
      </c>
      <c r="E1462" s="3"/>
      <c r="F1462" s="3"/>
      <c r="G1462" s="7"/>
      <c r="H1462" s="7"/>
      <c r="I1462" s="7"/>
      <c r="J1462" s="60"/>
      <c r="K1462" s="60" t="str">
        <f t="shared" si="2"/>
        <v/>
      </c>
    </row>
    <row r="1463">
      <c r="A1463" s="61" t="str">
        <f t="shared" si="1"/>
        <v/>
      </c>
      <c r="B1463" s="73"/>
      <c r="C1463" s="76"/>
      <c r="D1463" s="76" t="str">
        <f>VLOOKUP(B1463,'HEAD OF THE FAMILY'!B1934:J2460,9,FALSE)</f>
        <v>#REF!</v>
      </c>
      <c r="E1463" s="3"/>
      <c r="F1463" s="3"/>
      <c r="G1463" s="7"/>
      <c r="H1463" s="7"/>
      <c r="I1463" s="7"/>
      <c r="J1463" s="60"/>
      <c r="K1463" s="60" t="str">
        <f t="shared" si="2"/>
        <v/>
      </c>
    </row>
    <row r="1464">
      <c r="A1464" s="61" t="str">
        <f t="shared" si="1"/>
        <v/>
      </c>
      <c r="B1464" s="73"/>
      <c r="C1464" s="76"/>
      <c r="D1464" s="76" t="str">
        <f>VLOOKUP(B1464,'HEAD OF THE FAMILY'!B1934:J2461,9,FALSE)</f>
        <v>#REF!</v>
      </c>
      <c r="E1464" s="3"/>
      <c r="F1464" s="3"/>
      <c r="G1464" s="7"/>
      <c r="H1464" s="7"/>
      <c r="I1464" s="7"/>
      <c r="J1464" s="60"/>
      <c r="K1464" s="60" t="str">
        <f t="shared" si="2"/>
        <v/>
      </c>
    </row>
    <row r="1465">
      <c r="A1465" s="61" t="str">
        <f t="shared" si="1"/>
        <v/>
      </c>
      <c r="B1465" s="73"/>
      <c r="C1465" s="76"/>
      <c r="D1465" s="76" t="str">
        <f>VLOOKUP(B1465,'HEAD OF THE FAMILY'!B1934:J2462,9,FALSE)</f>
        <v>#REF!</v>
      </c>
      <c r="E1465" s="3"/>
      <c r="F1465" s="3"/>
      <c r="G1465" s="7"/>
      <c r="H1465" s="7"/>
      <c r="I1465" s="7"/>
      <c r="J1465" s="60"/>
      <c r="K1465" s="60" t="str">
        <f t="shared" si="2"/>
        <v/>
      </c>
    </row>
    <row r="1466">
      <c r="A1466" s="61" t="str">
        <f t="shared" si="1"/>
        <v/>
      </c>
      <c r="B1466" s="73"/>
      <c r="C1466" s="76"/>
      <c r="D1466" s="76" t="str">
        <f>VLOOKUP(B1466,'HEAD OF THE FAMILY'!B1934:J2463,9,FALSE)</f>
        <v>#REF!</v>
      </c>
      <c r="E1466" s="3"/>
      <c r="F1466" s="3"/>
      <c r="G1466" s="7"/>
      <c r="H1466" s="7"/>
      <c r="I1466" s="7"/>
      <c r="J1466" s="60"/>
      <c r="K1466" s="60" t="str">
        <f t="shared" si="2"/>
        <v/>
      </c>
    </row>
    <row r="1467">
      <c r="A1467" s="61" t="str">
        <f t="shared" si="1"/>
        <v/>
      </c>
      <c r="B1467" s="73"/>
      <c r="C1467" s="76"/>
      <c r="D1467" s="76" t="str">
        <f>VLOOKUP(B1467,'HEAD OF THE FAMILY'!B1934:J2464,9,FALSE)</f>
        <v>#REF!</v>
      </c>
      <c r="E1467" s="3"/>
      <c r="F1467" s="3"/>
      <c r="G1467" s="7"/>
      <c r="H1467" s="7"/>
      <c r="I1467" s="7"/>
      <c r="J1467" s="60"/>
      <c r="K1467" s="60" t="str">
        <f t="shared" si="2"/>
        <v/>
      </c>
    </row>
    <row r="1468">
      <c r="A1468" s="61" t="str">
        <f t="shared" si="1"/>
        <v/>
      </c>
      <c r="B1468" s="73"/>
      <c r="C1468" s="76"/>
      <c r="D1468" s="76" t="str">
        <f>VLOOKUP(B1468,'HEAD OF THE FAMILY'!B1934:J2465,9,FALSE)</f>
        <v>#REF!</v>
      </c>
      <c r="E1468" s="3"/>
      <c r="F1468" s="3"/>
      <c r="G1468" s="7"/>
      <c r="H1468" s="7"/>
      <c r="I1468" s="7"/>
      <c r="J1468" s="60"/>
      <c r="K1468" s="60" t="str">
        <f t="shared" si="2"/>
        <v/>
      </c>
    </row>
    <row r="1469">
      <c r="A1469" s="61" t="str">
        <f t="shared" si="1"/>
        <v/>
      </c>
      <c r="B1469" s="73"/>
      <c r="C1469" s="76"/>
      <c r="D1469" s="76" t="str">
        <f>VLOOKUP(B1469,'HEAD OF THE FAMILY'!B1934:J2466,9,FALSE)</f>
        <v>#REF!</v>
      </c>
      <c r="E1469" s="3"/>
      <c r="F1469" s="3"/>
      <c r="G1469" s="7"/>
      <c r="H1469" s="7"/>
      <c r="I1469" s="7"/>
      <c r="J1469" s="60"/>
      <c r="K1469" s="60" t="str">
        <f t="shared" si="2"/>
        <v/>
      </c>
    </row>
    <row r="1470">
      <c r="A1470" s="61" t="str">
        <f t="shared" si="1"/>
        <v/>
      </c>
      <c r="B1470" s="73"/>
      <c r="C1470" s="76"/>
      <c r="D1470" s="76" t="str">
        <f>VLOOKUP(B1470,'HEAD OF THE FAMILY'!B1934:J2467,9,FALSE)</f>
        <v>#REF!</v>
      </c>
      <c r="E1470" s="3"/>
      <c r="F1470" s="3"/>
      <c r="G1470" s="7"/>
      <c r="H1470" s="7"/>
      <c r="I1470" s="7"/>
      <c r="J1470" s="60"/>
      <c r="K1470" s="60" t="str">
        <f t="shared" si="2"/>
        <v/>
      </c>
    </row>
    <row r="1471">
      <c r="A1471" s="61" t="str">
        <f t="shared" si="1"/>
        <v/>
      </c>
      <c r="B1471" s="73"/>
      <c r="C1471" s="76"/>
      <c r="D1471" s="76" t="str">
        <f>VLOOKUP(B1471,'HEAD OF THE FAMILY'!B1934:J2468,9,FALSE)</f>
        <v>#REF!</v>
      </c>
      <c r="E1471" s="3"/>
      <c r="F1471" s="3"/>
      <c r="G1471" s="7"/>
      <c r="H1471" s="7"/>
      <c r="I1471" s="7"/>
      <c r="J1471" s="60"/>
      <c r="K1471" s="60" t="str">
        <f t="shared" si="2"/>
        <v/>
      </c>
    </row>
    <row r="1472">
      <c r="A1472" s="61" t="str">
        <f t="shared" si="1"/>
        <v/>
      </c>
      <c r="B1472" s="73"/>
      <c r="C1472" s="76"/>
      <c r="D1472" s="76" t="str">
        <f>VLOOKUP(B1472,'HEAD OF THE FAMILY'!B1934:J2469,9,FALSE)</f>
        <v>#REF!</v>
      </c>
      <c r="E1472" s="3"/>
      <c r="F1472" s="3"/>
      <c r="G1472" s="7"/>
      <c r="H1472" s="7"/>
      <c r="I1472" s="7"/>
      <c r="J1472" s="60"/>
      <c r="K1472" s="60" t="str">
        <f t="shared" si="2"/>
        <v/>
      </c>
    </row>
    <row r="1473">
      <c r="A1473" s="61" t="str">
        <f t="shared" si="1"/>
        <v/>
      </c>
      <c r="B1473" s="73"/>
      <c r="C1473" s="76"/>
      <c r="D1473" s="76" t="str">
        <f>VLOOKUP(B1473,'HEAD OF THE FAMILY'!B1934:J2470,9,FALSE)</f>
        <v>#REF!</v>
      </c>
      <c r="E1473" s="3"/>
      <c r="F1473" s="3"/>
      <c r="G1473" s="7"/>
      <c r="H1473" s="7"/>
      <c r="I1473" s="7"/>
      <c r="J1473" s="60"/>
      <c r="K1473" s="60" t="str">
        <f t="shared" si="2"/>
        <v/>
      </c>
    </row>
    <row r="1474">
      <c r="A1474" s="61" t="str">
        <f t="shared" si="1"/>
        <v/>
      </c>
      <c r="B1474" s="73"/>
      <c r="C1474" s="76"/>
      <c r="D1474" s="76" t="str">
        <f>VLOOKUP(B1474,'HEAD OF THE FAMILY'!B1934:J2471,9,FALSE)</f>
        <v>#REF!</v>
      </c>
      <c r="E1474" s="3"/>
      <c r="F1474" s="3"/>
      <c r="G1474" s="7"/>
      <c r="H1474" s="7"/>
      <c r="I1474" s="7"/>
      <c r="J1474" s="60"/>
      <c r="K1474" s="60" t="str">
        <f t="shared" si="2"/>
        <v/>
      </c>
    </row>
    <row r="1475">
      <c r="A1475" s="61" t="str">
        <f t="shared" si="1"/>
        <v/>
      </c>
      <c r="B1475" s="73"/>
      <c r="C1475" s="76"/>
      <c r="D1475" s="76" t="str">
        <f>VLOOKUP(B1475,'HEAD OF THE FAMILY'!B1934:J2472,9,FALSE)</f>
        <v>#REF!</v>
      </c>
      <c r="E1475" s="3"/>
      <c r="F1475" s="3"/>
      <c r="G1475" s="7"/>
      <c r="H1475" s="7"/>
      <c r="I1475" s="7"/>
      <c r="J1475" s="60"/>
      <c r="K1475" s="60" t="str">
        <f t="shared" si="2"/>
        <v/>
      </c>
    </row>
    <row r="1476">
      <c r="A1476" s="61" t="str">
        <f t="shared" si="1"/>
        <v/>
      </c>
      <c r="B1476" s="73"/>
      <c r="C1476" s="76"/>
      <c r="D1476" s="76" t="str">
        <f>VLOOKUP(B1476,'HEAD OF THE FAMILY'!B1934:J2473,9,FALSE)</f>
        <v>#REF!</v>
      </c>
      <c r="E1476" s="3"/>
      <c r="F1476" s="3"/>
      <c r="G1476" s="7"/>
      <c r="H1476" s="7"/>
      <c r="I1476" s="7"/>
      <c r="J1476" s="60"/>
      <c r="K1476" s="60" t="str">
        <f t="shared" si="2"/>
        <v/>
      </c>
    </row>
    <row r="1477">
      <c r="A1477" s="61" t="str">
        <f t="shared" si="1"/>
        <v/>
      </c>
      <c r="B1477" s="73"/>
      <c r="C1477" s="76"/>
      <c r="D1477" s="76" t="str">
        <f>VLOOKUP(B1477,'HEAD OF THE FAMILY'!B1934:J2474,9,FALSE)</f>
        <v>#REF!</v>
      </c>
      <c r="E1477" s="3"/>
      <c r="F1477" s="3"/>
      <c r="G1477" s="7"/>
      <c r="H1477" s="7"/>
      <c r="I1477" s="7"/>
      <c r="J1477" s="60"/>
      <c r="K1477" s="60" t="str">
        <f t="shared" si="2"/>
        <v/>
      </c>
    </row>
    <row r="1478">
      <c r="A1478" s="61" t="str">
        <f t="shared" si="1"/>
        <v/>
      </c>
      <c r="B1478" s="73"/>
      <c r="C1478" s="76"/>
      <c r="D1478" s="76" t="str">
        <f>VLOOKUP(B1478,'HEAD OF THE FAMILY'!B1934:J2475,9,FALSE)</f>
        <v>#REF!</v>
      </c>
      <c r="E1478" s="3"/>
      <c r="F1478" s="3"/>
      <c r="G1478" s="7"/>
      <c r="H1478" s="7"/>
      <c r="I1478" s="7"/>
      <c r="J1478" s="60"/>
      <c r="K1478" s="60" t="str">
        <f t="shared" si="2"/>
        <v/>
      </c>
    </row>
    <row r="1479">
      <c r="A1479" s="61" t="str">
        <f t="shared" si="1"/>
        <v/>
      </c>
      <c r="B1479" s="73"/>
      <c r="C1479" s="76"/>
      <c r="D1479" s="76" t="str">
        <f>VLOOKUP(B1479,'HEAD OF THE FAMILY'!B1934:J2476,9,FALSE)</f>
        <v>#REF!</v>
      </c>
      <c r="E1479" s="3"/>
      <c r="F1479" s="3"/>
      <c r="G1479" s="7"/>
      <c r="H1479" s="7"/>
      <c r="I1479" s="7"/>
      <c r="J1479" s="60"/>
      <c r="K1479" s="60" t="str">
        <f t="shared" si="2"/>
        <v/>
      </c>
    </row>
    <row r="1480">
      <c r="A1480" s="61" t="str">
        <f t="shared" si="1"/>
        <v/>
      </c>
      <c r="B1480" s="73"/>
      <c r="C1480" s="76"/>
      <c r="D1480" s="76" t="str">
        <f>VLOOKUP(B1480,'HEAD OF THE FAMILY'!B1934:J2477,9,FALSE)</f>
        <v>#REF!</v>
      </c>
      <c r="E1480" s="3"/>
      <c r="F1480" s="3"/>
      <c r="G1480" s="7"/>
      <c r="H1480" s="7"/>
      <c r="I1480" s="7"/>
      <c r="J1480" s="60"/>
      <c r="K1480" s="60" t="str">
        <f t="shared" si="2"/>
        <v/>
      </c>
    </row>
    <row r="1481">
      <c r="A1481" s="61" t="str">
        <f t="shared" si="1"/>
        <v/>
      </c>
      <c r="B1481" s="73"/>
      <c r="C1481" s="76"/>
      <c r="D1481" s="76" t="str">
        <f>VLOOKUP(B1481,'HEAD OF THE FAMILY'!B1934:J2478,9,FALSE)</f>
        <v>#REF!</v>
      </c>
      <c r="E1481" s="3"/>
      <c r="F1481" s="3"/>
      <c r="G1481" s="7"/>
      <c r="H1481" s="7"/>
      <c r="I1481" s="7"/>
      <c r="J1481" s="60"/>
      <c r="K1481" s="60" t="str">
        <f t="shared" si="2"/>
        <v/>
      </c>
    </row>
    <row r="1482">
      <c r="A1482" s="61" t="str">
        <f t="shared" si="1"/>
        <v/>
      </c>
      <c r="B1482" s="73"/>
      <c r="C1482" s="76"/>
      <c r="D1482" s="76" t="str">
        <f>VLOOKUP(B1482,'HEAD OF THE FAMILY'!B1934:J2479,9,FALSE)</f>
        <v>#REF!</v>
      </c>
      <c r="E1482" s="3"/>
      <c r="F1482" s="3"/>
      <c r="G1482" s="7"/>
      <c r="H1482" s="7"/>
      <c r="I1482" s="7"/>
      <c r="J1482" s="60"/>
      <c r="K1482" s="60" t="str">
        <f t="shared" si="2"/>
        <v/>
      </c>
    </row>
    <row r="1483">
      <c r="A1483" s="61" t="str">
        <f t="shared" si="1"/>
        <v/>
      </c>
      <c r="B1483" s="73"/>
      <c r="C1483" s="76"/>
      <c r="D1483" s="76" t="str">
        <f>VLOOKUP(B1483,'HEAD OF THE FAMILY'!B1934:J2480,9,FALSE)</f>
        <v>#REF!</v>
      </c>
      <c r="E1483" s="3"/>
      <c r="F1483" s="3"/>
      <c r="G1483" s="7"/>
      <c r="H1483" s="7"/>
      <c r="I1483" s="7"/>
      <c r="J1483" s="60"/>
      <c r="K1483" s="60" t="str">
        <f t="shared" si="2"/>
        <v/>
      </c>
    </row>
    <row r="1484">
      <c r="A1484" s="61" t="str">
        <f t="shared" si="1"/>
        <v/>
      </c>
      <c r="B1484" s="73"/>
      <c r="C1484" s="76"/>
      <c r="D1484" s="76" t="str">
        <f>VLOOKUP(B1484,'HEAD OF THE FAMILY'!B1934:J2481,9,FALSE)</f>
        <v>#REF!</v>
      </c>
      <c r="E1484" s="3"/>
      <c r="F1484" s="3"/>
      <c r="G1484" s="7"/>
      <c r="H1484" s="7"/>
      <c r="I1484" s="7"/>
      <c r="J1484" s="60"/>
      <c r="K1484" s="60" t="str">
        <f t="shared" si="2"/>
        <v/>
      </c>
    </row>
    <row r="1485">
      <c r="A1485" s="61" t="str">
        <f t="shared" si="1"/>
        <v/>
      </c>
      <c r="B1485" s="73"/>
      <c r="C1485" s="76"/>
      <c r="D1485" s="76" t="str">
        <f>VLOOKUP(B1485,'HEAD OF THE FAMILY'!B1934:J2482,9,FALSE)</f>
        <v>#REF!</v>
      </c>
      <c r="E1485" s="3"/>
      <c r="F1485" s="3"/>
      <c r="G1485" s="7"/>
      <c r="H1485" s="7"/>
      <c r="I1485" s="7"/>
      <c r="J1485" s="60"/>
      <c r="K1485" s="60" t="str">
        <f t="shared" si="2"/>
        <v/>
      </c>
    </row>
    <row r="1486">
      <c r="A1486" s="61" t="str">
        <f t="shared" si="1"/>
        <v/>
      </c>
      <c r="B1486" s="73"/>
      <c r="C1486" s="76"/>
      <c r="D1486" s="76" t="str">
        <f>VLOOKUP(B1486,'HEAD OF THE FAMILY'!B1934:J2483,9,FALSE)</f>
        <v>#REF!</v>
      </c>
      <c r="E1486" s="3"/>
      <c r="F1486" s="3"/>
      <c r="G1486" s="7"/>
      <c r="H1486" s="7"/>
      <c r="I1486" s="7"/>
      <c r="J1486" s="60"/>
      <c r="K1486" s="60" t="str">
        <f t="shared" si="2"/>
        <v/>
      </c>
    </row>
    <row r="1487">
      <c r="A1487" s="61" t="str">
        <f t="shared" si="1"/>
        <v/>
      </c>
      <c r="B1487" s="73"/>
      <c r="C1487" s="76"/>
      <c r="D1487" s="76" t="str">
        <f>VLOOKUP(B1487,'HEAD OF THE FAMILY'!B1934:J2484,9,FALSE)</f>
        <v>#REF!</v>
      </c>
      <c r="E1487" s="3"/>
      <c r="F1487" s="3"/>
      <c r="G1487" s="7"/>
      <c r="H1487" s="7"/>
      <c r="I1487" s="7"/>
      <c r="J1487" s="60"/>
      <c r="K1487" s="60" t="str">
        <f t="shared" si="2"/>
        <v/>
      </c>
    </row>
    <row r="1488">
      <c r="A1488" s="61" t="str">
        <f t="shared" si="1"/>
        <v/>
      </c>
      <c r="B1488" s="73"/>
      <c r="C1488" s="76"/>
      <c r="D1488" s="76" t="str">
        <f>VLOOKUP(B1488,'HEAD OF THE FAMILY'!B1934:J2485,9,FALSE)</f>
        <v>#REF!</v>
      </c>
      <c r="E1488" s="3"/>
      <c r="F1488" s="3"/>
      <c r="G1488" s="7"/>
      <c r="H1488" s="7"/>
      <c r="I1488" s="7"/>
      <c r="J1488" s="60"/>
      <c r="K1488" s="60" t="str">
        <f t="shared" si="2"/>
        <v/>
      </c>
    </row>
    <row r="1489">
      <c r="A1489" s="61" t="str">
        <f t="shared" si="1"/>
        <v/>
      </c>
      <c r="B1489" s="73"/>
      <c r="C1489" s="76"/>
      <c r="D1489" s="76" t="str">
        <f>VLOOKUP(B1489,'HEAD OF THE FAMILY'!B1934:J2486,9,FALSE)</f>
        <v>#REF!</v>
      </c>
      <c r="E1489" s="3"/>
      <c r="F1489" s="3"/>
      <c r="G1489" s="7"/>
      <c r="H1489" s="7"/>
      <c r="I1489" s="7"/>
      <c r="J1489" s="60"/>
      <c r="K1489" s="60" t="str">
        <f t="shared" si="2"/>
        <v/>
      </c>
    </row>
    <row r="1490">
      <c r="A1490" s="61" t="str">
        <f t="shared" si="1"/>
        <v/>
      </c>
      <c r="B1490" s="73"/>
      <c r="C1490" s="76"/>
      <c r="D1490" s="76" t="str">
        <f>VLOOKUP(B1490,'HEAD OF THE FAMILY'!B1934:J2487,9,FALSE)</f>
        <v>#REF!</v>
      </c>
      <c r="E1490" s="3"/>
      <c r="F1490" s="3"/>
      <c r="G1490" s="7"/>
      <c r="H1490" s="7"/>
      <c r="I1490" s="7"/>
      <c r="J1490" s="60"/>
      <c r="K1490" s="60" t="str">
        <f t="shared" si="2"/>
        <v/>
      </c>
    </row>
    <row r="1491">
      <c r="A1491" s="61" t="str">
        <f t="shared" si="1"/>
        <v/>
      </c>
      <c r="B1491" s="73"/>
      <c r="C1491" s="76"/>
      <c r="D1491" s="76" t="str">
        <f>VLOOKUP(B1491,'HEAD OF THE FAMILY'!B1934:J2488,9,FALSE)</f>
        <v>#REF!</v>
      </c>
      <c r="E1491" s="3"/>
      <c r="F1491" s="3"/>
      <c r="G1491" s="7"/>
      <c r="H1491" s="7"/>
      <c r="I1491" s="7"/>
      <c r="J1491" s="60"/>
      <c r="K1491" s="60" t="str">
        <f t="shared" si="2"/>
        <v/>
      </c>
    </row>
    <row r="1492">
      <c r="A1492" s="61" t="str">
        <f t="shared" si="1"/>
        <v/>
      </c>
      <c r="B1492" s="73"/>
      <c r="C1492" s="76"/>
      <c r="D1492" s="76" t="str">
        <f>VLOOKUP(B1492,'HEAD OF THE FAMILY'!B1934:J2489,9,FALSE)</f>
        <v>#REF!</v>
      </c>
      <c r="E1492" s="3"/>
      <c r="F1492" s="3"/>
      <c r="G1492" s="7"/>
      <c r="H1492" s="7"/>
      <c r="I1492" s="7"/>
      <c r="J1492" s="60"/>
      <c r="K1492" s="60" t="str">
        <f t="shared" si="2"/>
        <v/>
      </c>
    </row>
    <row r="1493">
      <c r="A1493" s="61" t="str">
        <f t="shared" si="1"/>
        <v/>
      </c>
      <c r="B1493" s="73"/>
      <c r="C1493" s="76"/>
      <c r="D1493" s="76" t="str">
        <f>VLOOKUP(B1493,'HEAD OF THE FAMILY'!B1934:J2490,9,FALSE)</f>
        <v>#REF!</v>
      </c>
      <c r="E1493" s="3"/>
      <c r="F1493" s="3"/>
      <c r="G1493" s="7"/>
      <c r="H1493" s="7"/>
      <c r="I1493" s="7"/>
      <c r="J1493" s="60"/>
      <c r="K1493" s="60" t="str">
        <f t="shared" si="2"/>
        <v/>
      </c>
    </row>
    <row r="1494">
      <c r="A1494" s="61" t="str">
        <f t="shared" si="1"/>
        <v/>
      </c>
      <c r="B1494" s="73"/>
      <c r="C1494" s="76"/>
      <c r="D1494" s="76" t="str">
        <f>VLOOKUP(B1494,'HEAD OF THE FAMILY'!B1934:J2491,9,FALSE)</f>
        <v>#REF!</v>
      </c>
      <c r="E1494" s="3"/>
      <c r="F1494" s="3"/>
      <c r="G1494" s="7"/>
      <c r="H1494" s="7"/>
      <c r="I1494" s="7"/>
      <c r="J1494" s="60"/>
      <c r="K1494" s="60" t="str">
        <f t="shared" si="2"/>
        <v/>
      </c>
    </row>
    <row r="1495">
      <c r="A1495" s="61" t="str">
        <f t="shared" si="1"/>
        <v/>
      </c>
      <c r="B1495" s="73"/>
      <c r="C1495" s="76"/>
      <c r="D1495" s="76" t="str">
        <f>VLOOKUP(B1495,'HEAD OF THE FAMILY'!B1934:J2492,9,FALSE)</f>
        <v>#REF!</v>
      </c>
      <c r="E1495" s="3"/>
      <c r="F1495" s="3"/>
      <c r="G1495" s="7"/>
      <c r="H1495" s="7"/>
      <c r="I1495" s="7"/>
      <c r="J1495" s="60"/>
      <c r="K1495" s="60" t="str">
        <f t="shared" si="2"/>
        <v/>
      </c>
    </row>
    <row r="1496">
      <c r="A1496" s="61" t="str">
        <f t="shared" si="1"/>
        <v/>
      </c>
      <c r="B1496" s="73"/>
      <c r="C1496" s="76"/>
      <c r="D1496" s="76" t="str">
        <f>VLOOKUP(B1496,'HEAD OF THE FAMILY'!B1934:J2493,9,FALSE)</f>
        <v>#REF!</v>
      </c>
      <c r="E1496" s="3"/>
      <c r="F1496" s="3"/>
      <c r="G1496" s="7"/>
      <c r="H1496" s="7"/>
      <c r="I1496" s="7"/>
      <c r="J1496" s="60"/>
      <c r="K1496" s="60" t="str">
        <f t="shared" si="2"/>
        <v/>
      </c>
    </row>
    <row r="1497">
      <c r="A1497" s="61" t="str">
        <f t="shared" si="1"/>
        <v/>
      </c>
      <c r="B1497" s="73"/>
      <c r="C1497" s="76"/>
      <c r="D1497" s="76" t="str">
        <f>VLOOKUP(B1497,'HEAD OF THE FAMILY'!B1934:J2494,9,FALSE)</f>
        <v>#REF!</v>
      </c>
      <c r="E1497" s="3"/>
      <c r="F1497" s="3"/>
      <c r="G1497" s="7"/>
      <c r="H1497" s="7"/>
      <c r="I1497" s="7"/>
      <c r="J1497" s="60"/>
      <c r="K1497" s="60" t="str">
        <f t="shared" si="2"/>
        <v/>
      </c>
    </row>
    <row r="1498">
      <c r="A1498" s="61" t="str">
        <f t="shared" si="1"/>
        <v/>
      </c>
      <c r="B1498" s="73"/>
      <c r="C1498" s="76"/>
      <c r="D1498" s="76" t="str">
        <f>VLOOKUP(B1498,'HEAD OF THE FAMILY'!B1934:J2495,9,FALSE)</f>
        <v>#REF!</v>
      </c>
      <c r="E1498" s="3"/>
      <c r="F1498" s="3"/>
      <c r="G1498" s="7"/>
      <c r="H1498" s="7"/>
      <c r="I1498" s="7"/>
      <c r="J1498" s="60"/>
      <c r="K1498" s="60" t="str">
        <f t="shared" si="2"/>
        <v/>
      </c>
    </row>
    <row r="1499">
      <c r="A1499" s="61" t="str">
        <f t="shared" si="1"/>
        <v/>
      </c>
      <c r="B1499" s="73"/>
      <c r="C1499" s="76"/>
      <c r="D1499" s="76" t="str">
        <f>VLOOKUP(B1499,'HEAD OF THE FAMILY'!B1934:J2496,9,FALSE)</f>
        <v>#REF!</v>
      </c>
      <c r="E1499" s="3"/>
      <c r="F1499" s="3"/>
      <c r="G1499" s="7"/>
      <c r="H1499" s="7"/>
      <c r="I1499" s="7"/>
      <c r="J1499" s="60"/>
      <c r="K1499" s="60" t="str">
        <f t="shared" si="2"/>
        <v/>
      </c>
    </row>
    <row r="1500">
      <c r="A1500" s="61" t="str">
        <f t="shared" si="1"/>
        <v/>
      </c>
      <c r="B1500" s="73"/>
      <c r="C1500" s="76"/>
      <c r="D1500" s="76" t="str">
        <f>VLOOKUP(B1500,'HEAD OF THE FAMILY'!B1934:J2497,9,FALSE)</f>
        <v>#REF!</v>
      </c>
      <c r="E1500" s="3"/>
      <c r="F1500" s="3"/>
      <c r="G1500" s="7"/>
      <c r="H1500" s="7"/>
      <c r="I1500" s="7"/>
      <c r="J1500" s="60"/>
      <c r="K1500" s="60" t="str">
        <f t="shared" si="2"/>
        <v/>
      </c>
    </row>
    <row r="1501">
      <c r="A1501" s="61" t="str">
        <f t="shared" si="1"/>
        <v/>
      </c>
      <c r="B1501" s="73"/>
      <c r="C1501" s="76"/>
      <c r="D1501" s="76" t="str">
        <f>VLOOKUP(B1501,'HEAD OF THE FAMILY'!B1934:J2498,9,FALSE)</f>
        <v>#REF!</v>
      </c>
      <c r="E1501" s="3"/>
      <c r="F1501" s="3"/>
      <c r="G1501" s="7"/>
      <c r="H1501" s="7"/>
      <c r="I1501" s="7"/>
      <c r="J1501" s="60"/>
      <c r="K1501" s="60" t="str">
        <f t="shared" si="2"/>
        <v/>
      </c>
    </row>
    <row r="1502">
      <c r="A1502" s="61" t="str">
        <f t="shared" si="1"/>
        <v/>
      </c>
      <c r="B1502" s="73"/>
      <c r="C1502" s="76"/>
      <c r="D1502" s="76" t="str">
        <f>VLOOKUP(B1502,'HEAD OF THE FAMILY'!B1934:J2499,9,FALSE)</f>
        <v>#REF!</v>
      </c>
      <c r="E1502" s="3"/>
      <c r="F1502" s="3"/>
      <c r="G1502" s="7"/>
      <c r="H1502" s="7"/>
      <c r="I1502" s="7"/>
      <c r="J1502" s="60"/>
      <c r="K1502" s="60" t="str">
        <f t="shared" si="2"/>
        <v/>
      </c>
    </row>
    <row r="1503">
      <c r="A1503" s="61" t="str">
        <f t="shared" si="1"/>
        <v/>
      </c>
      <c r="B1503" s="73"/>
      <c r="C1503" s="76"/>
      <c r="D1503" s="76" t="str">
        <f>VLOOKUP(B1503,'HEAD OF THE FAMILY'!B1934:J2500,9,FALSE)</f>
        <v>#REF!</v>
      </c>
      <c r="E1503" s="3"/>
      <c r="F1503" s="3"/>
      <c r="G1503" s="7"/>
      <c r="H1503" s="7"/>
      <c r="I1503" s="7"/>
      <c r="J1503" s="60"/>
      <c r="K1503" s="60" t="str">
        <f t="shared" si="2"/>
        <v/>
      </c>
    </row>
    <row r="1504">
      <c r="A1504" s="61" t="str">
        <f t="shared" si="1"/>
        <v/>
      </c>
      <c r="B1504" s="73"/>
      <c r="C1504" s="76"/>
      <c r="D1504" s="76" t="str">
        <f>VLOOKUP(B1504,'HEAD OF THE FAMILY'!B1934:J2501,9,FALSE)</f>
        <v>#REF!</v>
      </c>
      <c r="E1504" s="3"/>
      <c r="F1504" s="3"/>
      <c r="G1504" s="7"/>
      <c r="H1504" s="7"/>
      <c r="I1504" s="7"/>
      <c r="J1504" s="60"/>
      <c r="K1504" s="60" t="str">
        <f t="shared" si="2"/>
        <v/>
      </c>
    </row>
    <row r="1505">
      <c r="A1505" s="61" t="str">
        <f t="shared" si="1"/>
        <v/>
      </c>
      <c r="B1505" s="73"/>
      <c r="C1505" s="76"/>
      <c r="D1505" s="76" t="str">
        <f>VLOOKUP(B1505,'HEAD OF THE FAMILY'!B1934:J2502,9,FALSE)</f>
        <v>#REF!</v>
      </c>
      <c r="E1505" s="3"/>
      <c r="F1505" s="3"/>
      <c r="G1505" s="7"/>
      <c r="H1505" s="7"/>
      <c r="I1505" s="7"/>
      <c r="J1505" s="60"/>
      <c r="K1505" s="60" t="str">
        <f t="shared" si="2"/>
        <v/>
      </c>
    </row>
    <row r="1506">
      <c r="A1506" s="61" t="str">
        <f t="shared" si="1"/>
        <v/>
      </c>
      <c r="B1506" s="73"/>
      <c r="C1506" s="76"/>
      <c r="D1506" s="76" t="str">
        <f>VLOOKUP(B1506,'HEAD OF THE FAMILY'!B1934:J2503,9,FALSE)</f>
        <v>#REF!</v>
      </c>
      <c r="E1506" s="3"/>
      <c r="F1506" s="3"/>
      <c r="G1506" s="7"/>
      <c r="H1506" s="7"/>
      <c r="I1506" s="7"/>
      <c r="J1506" s="60"/>
      <c r="K1506" s="60" t="str">
        <f t="shared" si="2"/>
        <v/>
      </c>
    </row>
    <row r="1507">
      <c r="A1507" s="61" t="str">
        <f t="shared" si="1"/>
        <v/>
      </c>
      <c r="B1507" s="73"/>
      <c r="C1507" s="76"/>
      <c r="D1507" s="76" t="str">
        <f>VLOOKUP(B1507,'HEAD OF THE FAMILY'!B1934:J2504,9,FALSE)</f>
        <v>#REF!</v>
      </c>
      <c r="E1507" s="3"/>
      <c r="F1507" s="3"/>
      <c r="G1507" s="7"/>
      <c r="H1507" s="7"/>
      <c r="I1507" s="7"/>
      <c r="J1507" s="60"/>
      <c r="K1507" s="60" t="str">
        <f t="shared" si="2"/>
        <v/>
      </c>
    </row>
    <row r="1508">
      <c r="A1508" s="61" t="str">
        <f t="shared" si="1"/>
        <v/>
      </c>
      <c r="B1508" s="73"/>
      <c r="C1508" s="76"/>
      <c r="D1508" s="76" t="str">
        <f>VLOOKUP(B1508,'HEAD OF THE FAMILY'!B1934:J2505,9,FALSE)</f>
        <v>#REF!</v>
      </c>
      <c r="E1508" s="3"/>
      <c r="F1508" s="3"/>
      <c r="G1508" s="7"/>
      <c r="H1508" s="7"/>
      <c r="I1508" s="7"/>
      <c r="J1508" s="60"/>
      <c r="K1508" s="60" t="str">
        <f t="shared" si="2"/>
        <v/>
      </c>
    </row>
    <row r="1509">
      <c r="A1509" s="61" t="str">
        <f t="shared" si="1"/>
        <v/>
      </c>
      <c r="B1509" s="73"/>
      <c r="C1509" s="76"/>
      <c r="D1509" s="76" t="str">
        <f>VLOOKUP(B1509,'HEAD OF THE FAMILY'!B1934:J2506,9,FALSE)</f>
        <v>#REF!</v>
      </c>
      <c r="E1509" s="3"/>
      <c r="F1509" s="3"/>
      <c r="G1509" s="7"/>
      <c r="H1509" s="7"/>
      <c r="I1509" s="7"/>
      <c r="J1509" s="60"/>
      <c r="K1509" s="60" t="str">
        <f t="shared" si="2"/>
        <v/>
      </c>
    </row>
    <row r="1510">
      <c r="A1510" s="61" t="str">
        <f t="shared" si="1"/>
        <v/>
      </c>
      <c r="B1510" s="73"/>
      <c r="C1510" s="76"/>
      <c r="D1510" s="76" t="str">
        <f>VLOOKUP(B1510,'HEAD OF THE FAMILY'!B1934:J2507,9,FALSE)</f>
        <v>#REF!</v>
      </c>
      <c r="E1510" s="3"/>
      <c r="F1510" s="3"/>
      <c r="G1510" s="7"/>
      <c r="H1510" s="7"/>
      <c r="I1510" s="7"/>
      <c r="J1510" s="60"/>
      <c r="K1510" s="60" t="str">
        <f t="shared" si="2"/>
        <v/>
      </c>
    </row>
    <row r="1511">
      <c r="A1511" s="61" t="str">
        <f t="shared" si="1"/>
        <v/>
      </c>
      <c r="B1511" s="73"/>
      <c r="C1511" s="76"/>
      <c r="D1511" s="76" t="str">
        <f>VLOOKUP(B1511,'HEAD OF THE FAMILY'!B1934:J2508,9,FALSE)</f>
        <v>#REF!</v>
      </c>
      <c r="E1511" s="3"/>
      <c r="F1511" s="3"/>
      <c r="G1511" s="7"/>
      <c r="H1511" s="7"/>
      <c r="I1511" s="7"/>
      <c r="J1511" s="60"/>
      <c r="K1511" s="60" t="str">
        <f t="shared" si="2"/>
        <v/>
      </c>
    </row>
    <row r="1512">
      <c r="A1512" s="61" t="str">
        <f t="shared" si="1"/>
        <v/>
      </c>
      <c r="B1512" s="73"/>
      <c r="C1512" s="76"/>
      <c r="D1512" s="76" t="str">
        <f>VLOOKUP(B1512,'HEAD OF THE FAMILY'!B1934:J2509,9,FALSE)</f>
        <v>#REF!</v>
      </c>
      <c r="E1512" s="3"/>
      <c r="F1512" s="3"/>
      <c r="G1512" s="7"/>
      <c r="H1512" s="7"/>
      <c r="I1512" s="7"/>
      <c r="J1512" s="60"/>
      <c r="K1512" s="60" t="str">
        <f t="shared" si="2"/>
        <v/>
      </c>
    </row>
    <row r="1513">
      <c r="A1513" s="61" t="str">
        <f t="shared" si="1"/>
        <v/>
      </c>
      <c r="B1513" s="73"/>
      <c r="C1513" s="76"/>
      <c r="D1513" s="76" t="str">
        <f>VLOOKUP(B1513,'HEAD OF THE FAMILY'!B1934:J2510,9,FALSE)</f>
        <v>#REF!</v>
      </c>
      <c r="E1513" s="3"/>
      <c r="F1513" s="3"/>
      <c r="G1513" s="7"/>
      <c r="H1513" s="7"/>
      <c r="I1513" s="7"/>
      <c r="J1513" s="60"/>
      <c r="K1513" s="60" t="str">
        <f t="shared" si="2"/>
        <v/>
      </c>
    </row>
    <row r="1514">
      <c r="A1514" s="61" t="str">
        <f t="shared" si="1"/>
        <v/>
      </c>
      <c r="B1514" s="73"/>
      <c r="C1514" s="76"/>
      <c r="D1514" s="76" t="str">
        <f>VLOOKUP(B1514,'HEAD OF THE FAMILY'!B1934:J2511,9,FALSE)</f>
        <v>#REF!</v>
      </c>
      <c r="E1514" s="3"/>
      <c r="F1514" s="3"/>
      <c r="G1514" s="7"/>
      <c r="H1514" s="7"/>
      <c r="I1514" s="7"/>
      <c r="J1514" s="60"/>
      <c r="K1514" s="60" t="str">
        <f t="shared" si="2"/>
        <v/>
      </c>
    </row>
    <row r="1515">
      <c r="A1515" s="61" t="str">
        <f t="shared" si="1"/>
        <v/>
      </c>
      <c r="B1515" s="73"/>
      <c r="C1515" s="76"/>
      <c r="D1515" s="76" t="str">
        <f>VLOOKUP(B1515,'HEAD OF THE FAMILY'!B1934:J2512,9,FALSE)</f>
        <v>#REF!</v>
      </c>
      <c r="E1515" s="3"/>
      <c r="F1515" s="3"/>
      <c r="G1515" s="7"/>
      <c r="H1515" s="7"/>
      <c r="I1515" s="7"/>
      <c r="J1515" s="60"/>
      <c r="K1515" s="60" t="str">
        <f t="shared" si="2"/>
        <v/>
      </c>
    </row>
    <row r="1516">
      <c r="A1516" s="61" t="str">
        <f t="shared" si="1"/>
        <v/>
      </c>
      <c r="B1516" s="73"/>
      <c r="C1516" s="76"/>
      <c r="D1516" s="76" t="str">
        <f>VLOOKUP(B1516,'HEAD OF THE FAMILY'!B1934:J2513,9,FALSE)</f>
        <v>#REF!</v>
      </c>
      <c r="E1516" s="3"/>
      <c r="F1516" s="3"/>
      <c r="G1516" s="7"/>
      <c r="H1516" s="7"/>
      <c r="I1516" s="7"/>
      <c r="J1516" s="60"/>
      <c r="K1516" s="60" t="str">
        <f t="shared" si="2"/>
        <v/>
      </c>
    </row>
    <row r="1517">
      <c r="A1517" s="61" t="str">
        <f t="shared" si="1"/>
        <v/>
      </c>
      <c r="B1517" s="73"/>
      <c r="C1517" s="76"/>
      <c r="D1517" s="76" t="str">
        <f>VLOOKUP(B1517,'HEAD OF THE FAMILY'!B1934:J2514,9,FALSE)</f>
        <v>#REF!</v>
      </c>
      <c r="E1517" s="3"/>
      <c r="F1517" s="3"/>
      <c r="G1517" s="7"/>
      <c r="H1517" s="7"/>
      <c r="I1517" s="7"/>
      <c r="J1517" s="60"/>
      <c r="K1517" s="60" t="str">
        <f t="shared" si="2"/>
        <v/>
      </c>
    </row>
    <row r="1518">
      <c r="A1518" s="61" t="str">
        <f t="shared" si="1"/>
        <v/>
      </c>
      <c r="B1518" s="73"/>
      <c r="C1518" s="76"/>
      <c r="D1518" s="76" t="str">
        <f>VLOOKUP(B1518,'HEAD OF THE FAMILY'!B1934:J2515,9,FALSE)</f>
        <v>#REF!</v>
      </c>
      <c r="E1518" s="3"/>
      <c r="F1518" s="3"/>
      <c r="G1518" s="7"/>
      <c r="H1518" s="7"/>
      <c r="I1518" s="7"/>
      <c r="J1518" s="60"/>
      <c r="K1518" s="60" t="str">
        <f t="shared" si="2"/>
        <v/>
      </c>
    </row>
    <row r="1519">
      <c r="A1519" s="61" t="str">
        <f t="shared" si="1"/>
        <v/>
      </c>
      <c r="B1519" s="73"/>
      <c r="C1519" s="76"/>
      <c r="D1519" s="76" t="str">
        <f>VLOOKUP(B1519,'HEAD OF THE FAMILY'!B1934:J2516,9,FALSE)</f>
        <v>#REF!</v>
      </c>
      <c r="E1519" s="3"/>
      <c r="F1519" s="3"/>
      <c r="G1519" s="7"/>
      <c r="H1519" s="7"/>
      <c r="I1519" s="7"/>
      <c r="J1519" s="60"/>
      <c r="K1519" s="60" t="str">
        <f t="shared" si="2"/>
        <v/>
      </c>
    </row>
    <row r="1520">
      <c r="A1520" s="61" t="str">
        <f t="shared" si="1"/>
        <v/>
      </c>
      <c r="B1520" s="73"/>
      <c r="C1520" s="76"/>
      <c r="D1520" s="76" t="str">
        <f>VLOOKUP(B1520,'HEAD OF THE FAMILY'!B1934:J2517,9,FALSE)</f>
        <v>#REF!</v>
      </c>
      <c r="E1520" s="3"/>
      <c r="F1520" s="3"/>
      <c r="G1520" s="7"/>
      <c r="H1520" s="7"/>
      <c r="I1520" s="7"/>
      <c r="J1520" s="60"/>
      <c r="K1520" s="60" t="str">
        <f t="shared" si="2"/>
        <v/>
      </c>
    </row>
    <row r="1521">
      <c r="A1521" s="61" t="str">
        <f t="shared" si="1"/>
        <v/>
      </c>
      <c r="B1521" s="73"/>
      <c r="C1521" s="76"/>
      <c r="D1521" s="76" t="str">
        <f>VLOOKUP(B1521,'HEAD OF THE FAMILY'!B1934:J2518,9,FALSE)</f>
        <v>#REF!</v>
      </c>
      <c r="E1521" s="3"/>
      <c r="F1521" s="3"/>
      <c r="G1521" s="7"/>
      <c r="H1521" s="7"/>
      <c r="I1521" s="7"/>
      <c r="J1521" s="60"/>
      <c r="K1521" s="60" t="str">
        <f t="shared" si="2"/>
        <v/>
      </c>
    </row>
    <row r="1522">
      <c r="A1522" s="61" t="str">
        <f t="shared" si="1"/>
        <v/>
      </c>
      <c r="B1522" s="73"/>
      <c r="C1522" s="76"/>
      <c r="D1522" s="76" t="str">
        <f>VLOOKUP(B1522,'HEAD OF THE FAMILY'!B1934:J2519,9,FALSE)</f>
        <v>#REF!</v>
      </c>
      <c r="E1522" s="3"/>
      <c r="F1522" s="3"/>
      <c r="G1522" s="7"/>
      <c r="H1522" s="7"/>
      <c r="I1522" s="7"/>
      <c r="J1522" s="60"/>
      <c r="K1522" s="60" t="str">
        <f t="shared" si="2"/>
        <v/>
      </c>
    </row>
    <row r="1523">
      <c r="A1523" s="61" t="str">
        <f t="shared" si="1"/>
        <v/>
      </c>
      <c r="B1523" s="73"/>
      <c r="C1523" s="76"/>
      <c r="D1523" s="76" t="str">
        <f>VLOOKUP(B1523,'HEAD OF THE FAMILY'!B1934:J2520,9,FALSE)</f>
        <v>#REF!</v>
      </c>
      <c r="E1523" s="3"/>
      <c r="F1523" s="3"/>
      <c r="G1523" s="7"/>
      <c r="H1523" s="7"/>
      <c r="I1523" s="7"/>
      <c r="J1523" s="60"/>
      <c r="K1523" s="60" t="str">
        <f t="shared" si="2"/>
        <v/>
      </c>
    </row>
    <row r="1524">
      <c r="A1524" s="61" t="str">
        <f t="shared" si="1"/>
        <v/>
      </c>
      <c r="B1524" s="73"/>
      <c r="C1524" s="76"/>
      <c r="D1524" s="76" t="str">
        <f>VLOOKUP(B1524,'HEAD OF THE FAMILY'!B1934:J2521,9,FALSE)</f>
        <v>#REF!</v>
      </c>
      <c r="E1524" s="3"/>
      <c r="F1524" s="3"/>
      <c r="G1524" s="7"/>
      <c r="H1524" s="7"/>
      <c r="I1524" s="7"/>
      <c r="J1524" s="60"/>
      <c r="K1524" s="60" t="str">
        <f t="shared" si="2"/>
        <v/>
      </c>
    </row>
    <row r="1525">
      <c r="A1525" s="61" t="str">
        <f t="shared" si="1"/>
        <v/>
      </c>
      <c r="B1525" s="73"/>
      <c r="C1525" s="76"/>
      <c r="D1525" s="76" t="str">
        <f>VLOOKUP(B1525,'HEAD OF THE FAMILY'!B1934:J2522,9,FALSE)</f>
        <v>#REF!</v>
      </c>
      <c r="E1525" s="3"/>
      <c r="F1525" s="3"/>
      <c r="G1525" s="7"/>
      <c r="H1525" s="7"/>
      <c r="I1525" s="7"/>
      <c r="J1525" s="60"/>
      <c r="K1525" s="60" t="str">
        <f t="shared" si="2"/>
        <v/>
      </c>
    </row>
    <row r="1526">
      <c r="A1526" s="61" t="str">
        <f t="shared" si="1"/>
        <v/>
      </c>
      <c r="B1526" s="73"/>
      <c r="C1526" s="76"/>
      <c r="D1526" s="76" t="str">
        <f>VLOOKUP(B1526,'HEAD OF THE FAMILY'!B1934:J2523,9,FALSE)</f>
        <v>#REF!</v>
      </c>
      <c r="E1526" s="3"/>
      <c r="F1526" s="3"/>
      <c r="G1526" s="7"/>
      <c r="H1526" s="7"/>
      <c r="I1526" s="7"/>
      <c r="J1526" s="60"/>
      <c r="K1526" s="60" t="str">
        <f t="shared" si="2"/>
        <v/>
      </c>
    </row>
    <row r="1527">
      <c r="A1527" s="61" t="str">
        <f t="shared" si="1"/>
        <v/>
      </c>
      <c r="B1527" s="73"/>
      <c r="C1527" s="76"/>
      <c r="D1527" s="76" t="str">
        <f>VLOOKUP(B1527,'HEAD OF THE FAMILY'!B1934:J2524,9,FALSE)</f>
        <v>#REF!</v>
      </c>
      <c r="E1527" s="3"/>
      <c r="F1527" s="3"/>
      <c r="G1527" s="7"/>
      <c r="H1527" s="7"/>
      <c r="I1527" s="7"/>
      <c r="J1527" s="60"/>
      <c r="K1527" s="60" t="str">
        <f t="shared" si="2"/>
        <v/>
      </c>
    </row>
    <row r="1528">
      <c r="A1528" s="61" t="str">
        <f t="shared" si="1"/>
        <v/>
      </c>
      <c r="B1528" s="73"/>
      <c r="C1528" s="76"/>
      <c r="D1528" s="76" t="str">
        <f>VLOOKUP(B1528,'HEAD OF THE FAMILY'!B1934:J2525,9,FALSE)</f>
        <v>#REF!</v>
      </c>
      <c r="E1528" s="3"/>
      <c r="F1528" s="3"/>
      <c r="G1528" s="7"/>
      <c r="H1528" s="7"/>
      <c r="I1528" s="7"/>
      <c r="J1528" s="60"/>
      <c r="K1528" s="60" t="str">
        <f t="shared" si="2"/>
        <v/>
      </c>
    </row>
    <row r="1529">
      <c r="A1529" s="61" t="str">
        <f t="shared" si="1"/>
        <v/>
      </c>
      <c r="B1529" s="73"/>
      <c r="C1529" s="76"/>
      <c r="D1529" s="76" t="str">
        <f>VLOOKUP(B1529,'HEAD OF THE FAMILY'!B1934:J2526,9,FALSE)</f>
        <v>#REF!</v>
      </c>
      <c r="E1529" s="3"/>
      <c r="F1529" s="3"/>
      <c r="G1529" s="7"/>
      <c r="H1529" s="7"/>
      <c r="I1529" s="7"/>
      <c r="J1529" s="60"/>
      <c r="K1529" s="60" t="str">
        <f t="shared" si="2"/>
        <v/>
      </c>
    </row>
    <row r="1530">
      <c r="A1530" s="61" t="str">
        <f t="shared" si="1"/>
        <v/>
      </c>
      <c r="B1530" s="73"/>
      <c r="C1530" s="76"/>
      <c r="D1530" s="76" t="str">
        <f>VLOOKUP(B1530,'HEAD OF THE FAMILY'!B1934:J2527,9,FALSE)</f>
        <v>#REF!</v>
      </c>
      <c r="E1530" s="3"/>
      <c r="F1530" s="3"/>
      <c r="G1530" s="7"/>
      <c r="H1530" s="7"/>
      <c r="I1530" s="7"/>
      <c r="J1530" s="60"/>
      <c r="K1530" s="60" t="str">
        <f t="shared" si="2"/>
        <v/>
      </c>
    </row>
    <row r="1531">
      <c r="A1531" s="61" t="str">
        <f t="shared" si="1"/>
        <v/>
      </c>
      <c r="B1531" s="73"/>
      <c r="C1531" s="76"/>
      <c r="D1531" s="76" t="str">
        <f>VLOOKUP(B1531,'HEAD OF THE FAMILY'!B1934:J2528,9,FALSE)</f>
        <v>#REF!</v>
      </c>
      <c r="E1531" s="3"/>
      <c r="F1531" s="3"/>
      <c r="G1531" s="7"/>
      <c r="H1531" s="7"/>
      <c r="I1531" s="7"/>
      <c r="J1531" s="60"/>
      <c r="K1531" s="60" t="str">
        <f t="shared" si="2"/>
        <v/>
      </c>
    </row>
    <row r="1532">
      <c r="A1532" s="61" t="str">
        <f t="shared" si="1"/>
        <v/>
      </c>
      <c r="B1532" s="73"/>
      <c r="C1532" s="76"/>
      <c r="D1532" s="76" t="str">
        <f>VLOOKUP(B1532,'HEAD OF THE FAMILY'!B1934:J2529,9,FALSE)</f>
        <v>#REF!</v>
      </c>
      <c r="E1532" s="3"/>
      <c r="F1532" s="3"/>
      <c r="G1532" s="7"/>
      <c r="H1532" s="7"/>
      <c r="I1532" s="7"/>
      <c r="J1532" s="60"/>
      <c r="K1532" s="60" t="str">
        <f t="shared" si="2"/>
        <v/>
      </c>
    </row>
    <row r="1533">
      <c r="A1533" s="61" t="str">
        <f t="shared" si="1"/>
        <v/>
      </c>
      <c r="B1533" s="73"/>
      <c r="C1533" s="76"/>
      <c r="D1533" s="76" t="str">
        <f>VLOOKUP(B1533,'HEAD OF THE FAMILY'!B1934:J2530,9,FALSE)</f>
        <v>#REF!</v>
      </c>
      <c r="E1533" s="3"/>
      <c r="F1533" s="3"/>
      <c r="G1533" s="7"/>
      <c r="H1533" s="7"/>
      <c r="I1533" s="7"/>
      <c r="J1533" s="60"/>
      <c r="K1533" s="60" t="str">
        <f t="shared" si="2"/>
        <v/>
      </c>
    </row>
    <row r="1534">
      <c r="A1534" s="61" t="str">
        <f t="shared" si="1"/>
        <v/>
      </c>
      <c r="B1534" s="73"/>
      <c r="C1534" s="76"/>
      <c r="D1534" s="76" t="str">
        <f>VLOOKUP(B1534,'HEAD OF THE FAMILY'!B1934:J2531,9,FALSE)</f>
        <v>#REF!</v>
      </c>
      <c r="E1534" s="3"/>
      <c r="F1534" s="3"/>
      <c r="G1534" s="7"/>
      <c r="H1534" s="7"/>
      <c r="I1534" s="7"/>
      <c r="J1534" s="60"/>
      <c r="K1534" s="60" t="str">
        <f t="shared" si="2"/>
        <v/>
      </c>
    </row>
    <row r="1535">
      <c r="A1535" s="61" t="str">
        <f t="shared" si="1"/>
        <v/>
      </c>
      <c r="B1535" s="73"/>
      <c r="C1535" s="76"/>
      <c r="D1535" s="76" t="str">
        <f>VLOOKUP(B1535,'HEAD OF THE FAMILY'!B1934:J2532,9,FALSE)</f>
        <v>#REF!</v>
      </c>
      <c r="E1535" s="3"/>
      <c r="F1535" s="3"/>
      <c r="G1535" s="7"/>
      <c r="H1535" s="7"/>
      <c r="I1535" s="7"/>
      <c r="J1535" s="60"/>
      <c r="K1535" s="60" t="str">
        <f t="shared" si="2"/>
        <v/>
      </c>
    </row>
    <row r="1536">
      <c r="A1536" s="61" t="str">
        <f t="shared" si="1"/>
        <v/>
      </c>
      <c r="B1536" s="73"/>
      <c r="C1536" s="76"/>
      <c r="D1536" s="76" t="str">
        <f>VLOOKUP(B1536,'HEAD OF THE FAMILY'!B1934:J2533,9,FALSE)</f>
        <v>#REF!</v>
      </c>
      <c r="E1536" s="3"/>
      <c r="F1536" s="3"/>
      <c r="G1536" s="7"/>
      <c r="H1536" s="7"/>
      <c r="I1536" s="7"/>
      <c r="J1536" s="60"/>
      <c r="K1536" s="60" t="str">
        <f t="shared" si="2"/>
        <v/>
      </c>
    </row>
    <row r="1537">
      <c r="A1537" s="61" t="str">
        <f t="shared" si="1"/>
        <v/>
      </c>
      <c r="B1537" s="73"/>
      <c r="C1537" s="76"/>
      <c r="D1537" s="76" t="str">
        <f>VLOOKUP(B1537,'HEAD OF THE FAMILY'!B1934:J2534,9,FALSE)</f>
        <v>#REF!</v>
      </c>
      <c r="E1537" s="3"/>
      <c r="F1537" s="3"/>
      <c r="G1537" s="7"/>
      <c r="H1537" s="7"/>
      <c r="I1537" s="7"/>
      <c r="J1537" s="60"/>
      <c r="K1537" s="60" t="str">
        <f t="shared" si="2"/>
        <v/>
      </c>
    </row>
    <row r="1538">
      <c r="A1538" s="61" t="str">
        <f t="shared" si="1"/>
        <v/>
      </c>
      <c r="B1538" s="73"/>
      <c r="C1538" s="76"/>
      <c r="D1538" s="76" t="str">
        <f>VLOOKUP(B1538,'HEAD OF THE FAMILY'!B1934:J2535,9,FALSE)</f>
        <v>#REF!</v>
      </c>
      <c r="E1538" s="3"/>
      <c r="F1538" s="3"/>
      <c r="G1538" s="7"/>
      <c r="H1538" s="7"/>
      <c r="I1538" s="7"/>
      <c r="J1538" s="60"/>
      <c r="K1538" s="60" t="str">
        <f t="shared" si="2"/>
        <v/>
      </c>
    </row>
    <row r="1539">
      <c r="A1539" s="61" t="str">
        <f t="shared" si="1"/>
        <v/>
      </c>
      <c r="B1539" s="73"/>
      <c r="C1539" s="76"/>
      <c r="D1539" s="76" t="str">
        <f>VLOOKUP(B1539,'HEAD OF THE FAMILY'!B1934:J2536,9,FALSE)</f>
        <v>#REF!</v>
      </c>
      <c r="E1539" s="3"/>
      <c r="F1539" s="3"/>
      <c r="G1539" s="7"/>
      <c r="H1539" s="7"/>
      <c r="I1539" s="7"/>
      <c r="J1539" s="60"/>
      <c r="K1539" s="60" t="str">
        <f t="shared" si="2"/>
        <v/>
      </c>
    </row>
    <row r="1540">
      <c r="A1540" s="61" t="str">
        <f t="shared" si="1"/>
        <v/>
      </c>
      <c r="B1540" s="73"/>
      <c r="C1540" s="76"/>
      <c r="D1540" s="76" t="str">
        <f>VLOOKUP(B1540,'HEAD OF THE FAMILY'!B1934:J2537,9,FALSE)</f>
        <v>#REF!</v>
      </c>
      <c r="E1540" s="3"/>
      <c r="F1540" s="3"/>
      <c r="G1540" s="7"/>
      <c r="H1540" s="7"/>
      <c r="I1540" s="7"/>
      <c r="J1540" s="60"/>
      <c r="K1540" s="60" t="str">
        <f t="shared" si="2"/>
        <v/>
      </c>
    </row>
    <row r="1541">
      <c r="A1541" s="61" t="str">
        <f t="shared" si="1"/>
        <v/>
      </c>
      <c r="B1541" s="73"/>
      <c r="C1541" s="76"/>
      <c r="D1541" s="76" t="str">
        <f>VLOOKUP(B1541,'HEAD OF THE FAMILY'!B1934:J2538,9,FALSE)</f>
        <v>#REF!</v>
      </c>
      <c r="E1541" s="3"/>
      <c r="F1541" s="3"/>
      <c r="G1541" s="7"/>
      <c r="H1541" s="7"/>
      <c r="I1541" s="7"/>
      <c r="J1541" s="60"/>
      <c r="K1541" s="60" t="str">
        <f t="shared" si="2"/>
        <v/>
      </c>
    </row>
    <row r="1542">
      <c r="A1542" s="61" t="str">
        <f t="shared" si="1"/>
        <v/>
      </c>
      <c r="B1542" s="73"/>
      <c r="C1542" s="76"/>
      <c r="D1542" s="76" t="str">
        <f>VLOOKUP(B1542,'HEAD OF THE FAMILY'!B1934:J2539,9,FALSE)</f>
        <v>#REF!</v>
      </c>
      <c r="E1542" s="3"/>
      <c r="F1542" s="3"/>
      <c r="G1542" s="7"/>
      <c r="H1542" s="7"/>
      <c r="I1542" s="7"/>
      <c r="J1542" s="60"/>
      <c r="K1542" s="60" t="str">
        <f t="shared" si="2"/>
        <v/>
      </c>
    </row>
    <row r="1543">
      <c r="A1543" s="61" t="str">
        <f t="shared" si="1"/>
        <v/>
      </c>
      <c r="B1543" s="73"/>
      <c r="C1543" s="76"/>
      <c r="D1543" s="76" t="str">
        <f>VLOOKUP(B1543,'HEAD OF THE FAMILY'!B1934:J2540,9,FALSE)</f>
        <v>#REF!</v>
      </c>
      <c r="E1543" s="3"/>
      <c r="F1543" s="3"/>
      <c r="G1543" s="7"/>
      <c r="H1543" s="7"/>
      <c r="I1543" s="7"/>
      <c r="J1543" s="60"/>
      <c r="K1543" s="60" t="str">
        <f t="shared" si="2"/>
        <v/>
      </c>
    </row>
    <row r="1544">
      <c r="A1544" s="61" t="str">
        <f t="shared" si="1"/>
        <v/>
      </c>
      <c r="B1544" s="73"/>
      <c r="C1544" s="76"/>
      <c r="D1544" s="76" t="str">
        <f>VLOOKUP(B1544,'HEAD OF THE FAMILY'!B1934:J2541,9,FALSE)</f>
        <v>#REF!</v>
      </c>
      <c r="E1544" s="3"/>
      <c r="F1544" s="3"/>
      <c r="G1544" s="7"/>
      <c r="H1544" s="7"/>
      <c r="I1544" s="7"/>
      <c r="J1544" s="60"/>
      <c r="K1544" s="60" t="str">
        <f t="shared" si="2"/>
        <v/>
      </c>
    </row>
    <row r="1545">
      <c r="A1545" s="61" t="str">
        <f t="shared" si="1"/>
        <v/>
      </c>
      <c r="B1545" s="73"/>
      <c r="C1545" s="76"/>
      <c r="D1545" s="76" t="str">
        <f>VLOOKUP(B1545,'HEAD OF THE FAMILY'!B1934:J2542,9,FALSE)</f>
        <v>#REF!</v>
      </c>
      <c r="E1545" s="3"/>
      <c r="F1545" s="3"/>
      <c r="G1545" s="7"/>
      <c r="H1545" s="7"/>
      <c r="I1545" s="7"/>
      <c r="J1545" s="60"/>
      <c r="K1545" s="60" t="str">
        <f t="shared" si="2"/>
        <v/>
      </c>
    </row>
    <row r="1546">
      <c r="A1546" s="61" t="str">
        <f t="shared" si="1"/>
        <v/>
      </c>
      <c r="B1546" s="73"/>
      <c r="C1546" s="76"/>
      <c r="D1546" s="76" t="str">
        <f>VLOOKUP(B1546,'HEAD OF THE FAMILY'!B1934:J2543,9,FALSE)</f>
        <v>#REF!</v>
      </c>
      <c r="E1546" s="3"/>
      <c r="F1546" s="3"/>
      <c r="G1546" s="7"/>
      <c r="H1546" s="7"/>
      <c r="I1546" s="7"/>
      <c r="J1546" s="60"/>
      <c r="K1546" s="60" t="str">
        <f t="shared" si="2"/>
        <v/>
      </c>
    </row>
    <row r="1547">
      <c r="A1547" s="61" t="str">
        <f t="shared" si="1"/>
        <v/>
      </c>
      <c r="B1547" s="73"/>
      <c r="C1547" s="76"/>
      <c r="D1547" s="76" t="str">
        <f>VLOOKUP(B1547,'HEAD OF THE FAMILY'!B1934:J2544,9,FALSE)</f>
        <v>#REF!</v>
      </c>
      <c r="E1547" s="3"/>
      <c r="F1547" s="3"/>
      <c r="G1547" s="7"/>
      <c r="H1547" s="7"/>
      <c r="I1547" s="7"/>
      <c r="J1547" s="60"/>
      <c r="K1547" s="60" t="str">
        <f t="shared" si="2"/>
        <v/>
      </c>
    </row>
    <row r="1548">
      <c r="A1548" s="61" t="str">
        <f t="shared" si="1"/>
        <v/>
      </c>
      <c r="B1548" s="73"/>
      <c r="C1548" s="76"/>
      <c r="D1548" s="76" t="str">
        <f>VLOOKUP(B1548,'HEAD OF THE FAMILY'!B1934:J2545,9,FALSE)</f>
        <v>#REF!</v>
      </c>
      <c r="E1548" s="3"/>
      <c r="F1548" s="3"/>
      <c r="G1548" s="7"/>
      <c r="H1548" s="7"/>
      <c r="I1548" s="7"/>
      <c r="J1548" s="60"/>
      <c r="K1548" s="60" t="str">
        <f t="shared" si="2"/>
        <v/>
      </c>
    </row>
    <row r="1549">
      <c r="A1549" s="61" t="str">
        <f t="shared" si="1"/>
        <v/>
      </c>
      <c r="B1549" s="73"/>
      <c r="C1549" s="76"/>
      <c r="D1549" s="76" t="str">
        <f>VLOOKUP(B1549,'HEAD OF THE FAMILY'!B1934:J2546,9,FALSE)</f>
        <v>#REF!</v>
      </c>
      <c r="E1549" s="3"/>
      <c r="F1549" s="3"/>
      <c r="G1549" s="7"/>
      <c r="H1549" s="7"/>
      <c r="I1549" s="7"/>
      <c r="J1549" s="60"/>
      <c r="K1549" s="60" t="str">
        <f t="shared" si="2"/>
        <v/>
      </c>
    </row>
    <row r="1550">
      <c r="A1550" s="61" t="str">
        <f t="shared" si="1"/>
        <v/>
      </c>
      <c r="B1550" s="73"/>
      <c r="C1550" s="76"/>
      <c r="D1550" s="76" t="str">
        <f>VLOOKUP(B1550,'HEAD OF THE FAMILY'!B1934:J2547,9,FALSE)</f>
        <v>#REF!</v>
      </c>
      <c r="E1550" s="3"/>
      <c r="F1550" s="3"/>
      <c r="G1550" s="7"/>
      <c r="H1550" s="7"/>
      <c r="I1550" s="7"/>
      <c r="J1550" s="60"/>
      <c r="K1550" s="60" t="str">
        <f t="shared" si="2"/>
        <v/>
      </c>
    </row>
    <row r="1551">
      <c r="A1551" s="61" t="str">
        <f t="shared" si="1"/>
        <v/>
      </c>
      <c r="B1551" s="73"/>
      <c r="C1551" s="76"/>
      <c r="D1551" s="76" t="str">
        <f>VLOOKUP(B1551,'HEAD OF THE FAMILY'!B1934:J2548,9,FALSE)</f>
        <v>#REF!</v>
      </c>
      <c r="E1551" s="3"/>
      <c r="F1551" s="3"/>
      <c r="G1551" s="7"/>
      <c r="H1551" s="7"/>
      <c r="I1551" s="7"/>
      <c r="J1551" s="60"/>
      <c r="K1551" s="60" t="str">
        <f t="shared" si="2"/>
        <v/>
      </c>
    </row>
    <row r="1552">
      <c r="A1552" s="61" t="str">
        <f t="shared" si="1"/>
        <v/>
      </c>
      <c r="B1552" s="73"/>
      <c r="C1552" s="76"/>
      <c r="D1552" s="76" t="str">
        <f>VLOOKUP(B1552,'HEAD OF THE FAMILY'!B1934:J2549,9,FALSE)</f>
        <v>#REF!</v>
      </c>
      <c r="E1552" s="3"/>
      <c r="F1552" s="3"/>
      <c r="G1552" s="7"/>
      <c r="H1552" s="7"/>
      <c r="I1552" s="7"/>
      <c r="J1552" s="60"/>
      <c r="K1552" s="60" t="str">
        <f t="shared" si="2"/>
        <v/>
      </c>
    </row>
    <row r="1553">
      <c r="A1553" s="61" t="str">
        <f t="shared" si="1"/>
        <v/>
      </c>
      <c r="B1553" s="73"/>
      <c r="C1553" s="76"/>
      <c r="D1553" s="76" t="str">
        <f>VLOOKUP(B1553,'HEAD OF THE FAMILY'!B1934:J2550,9,FALSE)</f>
        <v>#REF!</v>
      </c>
      <c r="E1553" s="3"/>
      <c r="F1553" s="3"/>
      <c r="G1553" s="7"/>
      <c r="H1553" s="7"/>
      <c r="I1553" s="7"/>
      <c r="J1553" s="60"/>
      <c r="K1553" s="60" t="str">
        <f t="shared" si="2"/>
        <v/>
      </c>
    </row>
    <row r="1554">
      <c r="A1554" s="61" t="str">
        <f t="shared" si="1"/>
        <v/>
      </c>
      <c r="B1554" s="73"/>
      <c r="C1554" s="76"/>
      <c r="D1554" s="76" t="str">
        <f>VLOOKUP(B1554,'HEAD OF THE FAMILY'!B1934:J2551,9,FALSE)</f>
        <v>#REF!</v>
      </c>
      <c r="E1554" s="3"/>
      <c r="F1554" s="3"/>
      <c r="G1554" s="7"/>
      <c r="H1554" s="7"/>
      <c r="I1554" s="7"/>
      <c r="J1554" s="60"/>
      <c r="K1554" s="60" t="str">
        <f t="shared" si="2"/>
        <v/>
      </c>
    </row>
    <row r="1555">
      <c r="A1555" s="61" t="str">
        <f t="shared" si="1"/>
        <v/>
      </c>
      <c r="B1555" s="73"/>
      <c r="C1555" s="76"/>
      <c r="D1555" s="76" t="str">
        <f>VLOOKUP(B1555,'HEAD OF THE FAMILY'!B1934:J2552,9,FALSE)</f>
        <v>#REF!</v>
      </c>
      <c r="E1555" s="3"/>
      <c r="F1555" s="3"/>
      <c r="G1555" s="7"/>
      <c r="H1555" s="7"/>
      <c r="I1555" s="7"/>
      <c r="J1555" s="60"/>
      <c r="K1555" s="60" t="str">
        <f t="shared" si="2"/>
        <v/>
      </c>
    </row>
    <row r="1556">
      <c r="A1556" s="61" t="str">
        <f t="shared" si="1"/>
        <v/>
      </c>
      <c r="B1556" s="73"/>
      <c r="C1556" s="76"/>
      <c r="D1556" s="76" t="str">
        <f>VLOOKUP(B1556,'HEAD OF THE FAMILY'!B1934:J2553,9,FALSE)</f>
        <v>#REF!</v>
      </c>
      <c r="E1556" s="3"/>
      <c r="F1556" s="3"/>
      <c r="G1556" s="7"/>
      <c r="H1556" s="7"/>
      <c r="I1556" s="7"/>
      <c r="J1556" s="60"/>
      <c r="K1556" s="60" t="str">
        <f t="shared" si="2"/>
        <v/>
      </c>
    </row>
    <row r="1557">
      <c r="A1557" s="61" t="str">
        <f t="shared" si="1"/>
        <v/>
      </c>
      <c r="B1557" s="73"/>
      <c r="C1557" s="76"/>
      <c r="D1557" s="76" t="str">
        <f>VLOOKUP(B1557,'HEAD OF THE FAMILY'!B1934:J2554,9,FALSE)</f>
        <v>#REF!</v>
      </c>
      <c r="E1557" s="3"/>
      <c r="F1557" s="3"/>
      <c r="G1557" s="7"/>
      <c r="H1557" s="7"/>
      <c r="I1557" s="7"/>
      <c r="J1557" s="60"/>
      <c r="K1557" s="60" t="str">
        <f t="shared" si="2"/>
        <v/>
      </c>
    </row>
    <row r="1558">
      <c r="A1558" s="61" t="str">
        <f t="shared" si="1"/>
        <v/>
      </c>
      <c r="B1558" s="73"/>
      <c r="C1558" s="76"/>
      <c r="D1558" s="76" t="str">
        <f>VLOOKUP(B1558,'HEAD OF THE FAMILY'!B1934:J2555,9,FALSE)</f>
        <v>#REF!</v>
      </c>
      <c r="E1558" s="3"/>
      <c r="F1558" s="3"/>
      <c r="G1558" s="7"/>
      <c r="H1558" s="7"/>
      <c r="I1558" s="7"/>
      <c r="J1558" s="60"/>
      <c r="K1558" s="60" t="str">
        <f t="shared" si="2"/>
        <v/>
      </c>
    </row>
    <row r="1559">
      <c r="A1559" s="61" t="str">
        <f t="shared" si="1"/>
        <v/>
      </c>
      <c r="B1559" s="73"/>
      <c r="C1559" s="76"/>
      <c r="D1559" s="76" t="str">
        <f>VLOOKUP(B1559,'HEAD OF THE FAMILY'!B1934:J2556,9,FALSE)</f>
        <v>#REF!</v>
      </c>
      <c r="E1559" s="3"/>
      <c r="F1559" s="3"/>
      <c r="G1559" s="7"/>
      <c r="H1559" s="7"/>
      <c r="I1559" s="7"/>
      <c r="J1559" s="60"/>
      <c r="K1559" s="60" t="str">
        <f t="shared" si="2"/>
        <v/>
      </c>
    </row>
    <row r="1560">
      <c r="A1560" s="61" t="str">
        <f t="shared" si="1"/>
        <v/>
      </c>
      <c r="B1560" s="73"/>
      <c r="C1560" s="76"/>
      <c r="D1560" s="76" t="str">
        <f>VLOOKUP(B1560,'HEAD OF THE FAMILY'!B1934:J2557,9,FALSE)</f>
        <v>#REF!</v>
      </c>
      <c r="E1560" s="3"/>
      <c r="F1560" s="3"/>
      <c r="G1560" s="7"/>
      <c r="H1560" s="7"/>
      <c r="I1560" s="7"/>
      <c r="J1560" s="60"/>
      <c r="K1560" s="60" t="str">
        <f t="shared" si="2"/>
        <v/>
      </c>
    </row>
    <row r="1561">
      <c r="A1561" s="61" t="str">
        <f t="shared" si="1"/>
        <v/>
      </c>
      <c r="B1561" s="73"/>
      <c r="C1561" s="76"/>
      <c r="D1561" s="76" t="str">
        <f>VLOOKUP(B1561,'HEAD OF THE FAMILY'!B1934:J2558,9,FALSE)</f>
        <v>#REF!</v>
      </c>
      <c r="E1561" s="3"/>
      <c r="F1561" s="3"/>
      <c r="G1561" s="7"/>
      <c r="H1561" s="7"/>
      <c r="I1561" s="7"/>
      <c r="J1561" s="60"/>
      <c r="K1561" s="60" t="str">
        <f t="shared" si="2"/>
        <v/>
      </c>
    </row>
    <row r="1562">
      <c r="A1562" s="61" t="str">
        <f t="shared" si="1"/>
        <v/>
      </c>
      <c r="B1562" s="73"/>
      <c r="C1562" s="76"/>
      <c r="D1562" s="76" t="str">
        <f>VLOOKUP(B1562,'HEAD OF THE FAMILY'!B1934:J2559,9,FALSE)</f>
        <v>#REF!</v>
      </c>
      <c r="E1562" s="3"/>
      <c r="F1562" s="3"/>
      <c r="G1562" s="7"/>
      <c r="H1562" s="7"/>
      <c r="I1562" s="7"/>
      <c r="J1562" s="60"/>
      <c r="K1562" s="60" t="str">
        <f t="shared" si="2"/>
        <v/>
      </c>
    </row>
    <row r="1563">
      <c r="A1563" s="61" t="str">
        <f t="shared" si="1"/>
        <v/>
      </c>
      <c r="B1563" s="73"/>
      <c r="C1563" s="76"/>
      <c r="D1563" s="76" t="str">
        <f>VLOOKUP(B1563,'HEAD OF THE FAMILY'!B1934:J2560,9,FALSE)</f>
        <v>#REF!</v>
      </c>
      <c r="E1563" s="3"/>
      <c r="F1563" s="3"/>
      <c r="G1563" s="7"/>
      <c r="H1563" s="7"/>
      <c r="I1563" s="7"/>
      <c r="J1563" s="60"/>
      <c r="K1563" s="60" t="str">
        <f t="shared" si="2"/>
        <v/>
      </c>
    </row>
    <row r="1564">
      <c r="A1564" s="61" t="str">
        <f t="shared" si="1"/>
        <v/>
      </c>
      <c r="B1564" s="73"/>
      <c r="C1564" s="76"/>
      <c r="D1564" s="76" t="str">
        <f>VLOOKUP(B1564,'HEAD OF THE FAMILY'!B1934:J2561,9,FALSE)</f>
        <v>#REF!</v>
      </c>
      <c r="E1564" s="3"/>
      <c r="F1564" s="3"/>
      <c r="G1564" s="7"/>
      <c r="H1564" s="7"/>
      <c r="I1564" s="7"/>
      <c r="J1564" s="60"/>
      <c r="K1564" s="60" t="str">
        <f t="shared" si="2"/>
        <v/>
      </c>
    </row>
    <row r="1565">
      <c r="A1565" s="61" t="str">
        <f t="shared" si="1"/>
        <v/>
      </c>
      <c r="B1565" s="73"/>
      <c r="C1565" s="76"/>
      <c r="D1565" s="76" t="str">
        <f>VLOOKUP(B1565,'HEAD OF THE FAMILY'!B1934:J2562,9,FALSE)</f>
        <v>#REF!</v>
      </c>
      <c r="E1565" s="3"/>
      <c r="F1565" s="3"/>
      <c r="G1565" s="7"/>
      <c r="H1565" s="7"/>
      <c r="I1565" s="7"/>
      <c r="J1565" s="60"/>
      <c r="K1565" s="60" t="str">
        <f t="shared" si="2"/>
        <v/>
      </c>
    </row>
    <row r="1566">
      <c r="A1566" s="61" t="str">
        <f t="shared" si="1"/>
        <v/>
      </c>
      <c r="B1566" s="73"/>
      <c r="C1566" s="76"/>
      <c r="D1566" s="76" t="str">
        <f>VLOOKUP(B1566,'HEAD OF THE FAMILY'!B1934:J2563,9,FALSE)</f>
        <v>#REF!</v>
      </c>
      <c r="E1566" s="3"/>
      <c r="F1566" s="3"/>
      <c r="G1566" s="7"/>
      <c r="H1566" s="7"/>
      <c r="I1566" s="7"/>
      <c r="J1566" s="60"/>
      <c r="K1566" s="60" t="str">
        <f t="shared" si="2"/>
        <v/>
      </c>
    </row>
    <row r="1567">
      <c r="A1567" s="61" t="str">
        <f t="shared" si="1"/>
        <v/>
      </c>
      <c r="B1567" s="73"/>
      <c r="C1567" s="76"/>
      <c r="D1567" s="76" t="str">
        <f>VLOOKUP(B1567,'HEAD OF THE FAMILY'!B1934:J2564,9,FALSE)</f>
        <v>#REF!</v>
      </c>
      <c r="E1567" s="3"/>
      <c r="F1567" s="3"/>
      <c r="G1567" s="7"/>
      <c r="H1567" s="7"/>
      <c r="I1567" s="7"/>
      <c r="J1567" s="60"/>
      <c r="K1567" s="60" t="str">
        <f t="shared" si="2"/>
        <v/>
      </c>
    </row>
    <row r="1568">
      <c r="A1568" s="61" t="str">
        <f t="shared" si="1"/>
        <v/>
      </c>
      <c r="B1568" s="73"/>
      <c r="C1568" s="76"/>
      <c r="D1568" s="76" t="str">
        <f>VLOOKUP(B1568,'HEAD OF THE FAMILY'!B1934:J2565,9,FALSE)</f>
        <v>#REF!</v>
      </c>
      <c r="E1568" s="3"/>
      <c r="F1568" s="3"/>
      <c r="G1568" s="7"/>
      <c r="H1568" s="7"/>
      <c r="I1568" s="7"/>
      <c r="J1568" s="60"/>
      <c r="K1568" s="60" t="str">
        <f t="shared" si="2"/>
        <v/>
      </c>
    </row>
    <row r="1569">
      <c r="A1569" s="61" t="str">
        <f t="shared" si="1"/>
        <v/>
      </c>
      <c r="B1569" s="73"/>
      <c r="C1569" s="76"/>
      <c r="D1569" s="76" t="str">
        <f>VLOOKUP(B1569,'HEAD OF THE FAMILY'!B1934:J2566,9,FALSE)</f>
        <v>#REF!</v>
      </c>
      <c r="E1569" s="3"/>
      <c r="F1569" s="3"/>
      <c r="G1569" s="7"/>
      <c r="H1569" s="7"/>
      <c r="I1569" s="7"/>
      <c r="J1569" s="60"/>
      <c r="K1569" s="60" t="str">
        <f t="shared" si="2"/>
        <v/>
      </c>
    </row>
    <row r="1570">
      <c r="A1570" s="61" t="str">
        <f t="shared" si="1"/>
        <v/>
      </c>
      <c r="B1570" s="73"/>
      <c r="C1570" s="76"/>
      <c r="D1570" s="76" t="str">
        <f>VLOOKUP(B1570,'HEAD OF THE FAMILY'!B1934:J2567,9,FALSE)</f>
        <v>#REF!</v>
      </c>
      <c r="E1570" s="3"/>
      <c r="F1570" s="3"/>
      <c r="G1570" s="7"/>
      <c r="H1570" s="7"/>
      <c r="I1570" s="7"/>
      <c r="J1570" s="60"/>
      <c r="K1570" s="60" t="str">
        <f t="shared" si="2"/>
        <v/>
      </c>
    </row>
    <row r="1571">
      <c r="A1571" s="61" t="str">
        <f t="shared" si="1"/>
        <v/>
      </c>
      <c r="B1571" s="73"/>
      <c r="C1571" s="76"/>
      <c r="D1571" s="76" t="str">
        <f>VLOOKUP(B1571,'HEAD OF THE FAMILY'!B1934:J2568,9,FALSE)</f>
        <v>#REF!</v>
      </c>
      <c r="E1571" s="3"/>
      <c r="F1571" s="3"/>
      <c r="G1571" s="7"/>
      <c r="H1571" s="7"/>
      <c r="I1571" s="7"/>
      <c r="J1571" s="60"/>
      <c r="K1571" s="60" t="str">
        <f t="shared" si="2"/>
        <v/>
      </c>
    </row>
    <row r="1572">
      <c r="A1572" s="61" t="str">
        <f t="shared" si="1"/>
        <v/>
      </c>
      <c r="B1572" s="73"/>
      <c r="C1572" s="76"/>
      <c r="D1572" s="76" t="str">
        <f>VLOOKUP(B1572,'HEAD OF THE FAMILY'!B1934:J2569,9,FALSE)</f>
        <v>#REF!</v>
      </c>
      <c r="E1572" s="3"/>
      <c r="F1572" s="3"/>
      <c r="G1572" s="7"/>
      <c r="H1572" s="7"/>
      <c r="I1572" s="7"/>
      <c r="J1572" s="60"/>
      <c r="K1572" s="60" t="str">
        <f t="shared" si="2"/>
        <v/>
      </c>
    </row>
    <row r="1573">
      <c r="A1573" s="61" t="str">
        <f t="shared" si="1"/>
        <v/>
      </c>
      <c r="B1573" s="73"/>
      <c r="C1573" s="76"/>
      <c r="D1573" s="76" t="str">
        <f>VLOOKUP(B1573,'HEAD OF THE FAMILY'!B1934:J2570,9,FALSE)</f>
        <v>#REF!</v>
      </c>
      <c r="E1573" s="3"/>
      <c r="F1573" s="3"/>
      <c r="G1573" s="7"/>
      <c r="H1573" s="7"/>
      <c r="I1573" s="7"/>
      <c r="J1573" s="60"/>
      <c r="K1573" s="60" t="str">
        <f t="shared" si="2"/>
        <v/>
      </c>
    </row>
    <row r="1574">
      <c r="A1574" s="61" t="str">
        <f t="shared" si="1"/>
        <v/>
      </c>
      <c r="B1574" s="73"/>
      <c r="C1574" s="76"/>
      <c r="D1574" s="76" t="str">
        <f>VLOOKUP(B1574,'HEAD OF THE FAMILY'!B1934:J2571,9,FALSE)</f>
        <v>#REF!</v>
      </c>
      <c r="E1574" s="3"/>
      <c r="F1574" s="3"/>
      <c r="G1574" s="7"/>
      <c r="H1574" s="7"/>
      <c r="I1574" s="7"/>
      <c r="J1574" s="60"/>
      <c r="K1574" s="60" t="str">
        <f t="shared" si="2"/>
        <v/>
      </c>
    </row>
    <row r="1575">
      <c r="A1575" s="61" t="str">
        <f t="shared" si="1"/>
        <v/>
      </c>
      <c r="B1575" s="73"/>
      <c r="C1575" s="76"/>
      <c r="D1575" s="76" t="str">
        <f>VLOOKUP(B1575,'HEAD OF THE FAMILY'!B1934:J2572,9,FALSE)</f>
        <v>#REF!</v>
      </c>
      <c r="E1575" s="3"/>
      <c r="F1575" s="3"/>
      <c r="G1575" s="7"/>
      <c r="H1575" s="7"/>
      <c r="I1575" s="7"/>
      <c r="J1575" s="60"/>
      <c r="K1575" s="60" t="str">
        <f t="shared" si="2"/>
        <v/>
      </c>
    </row>
    <row r="1576">
      <c r="A1576" s="61" t="str">
        <f t="shared" si="1"/>
        <v/>
      </c>
      <c r="B1576" s="73"/>
      <c r="C1576" s="76"/>
      <c r="D1576" s="76" t="str">
        <f>VLOOKUP(B1576,'HEAD OF THE FAMILY'!B1934:J2573,9,FALSE)</f>
        <v>#REF!</v>
      </c>
      <c r="E1576" s="3"/>
      <c r="F1576" s="3"/>
      <c r="G1576" s="7"/>
      <c r="H1576" s="7"/>
      <c r="I1576" s="7"/>
      <c r="J1576" s="60"/>
      <c r="K1576" s="60" t="str">
        <f t="shared" si="2"/>
        <v/>
      </c>
    </row>
    <row r="1577">
      <c r="A1577" s="61" t="str">
        <f t="shared" si="1"/>
        <v/>
      </c>
      <c r="B1577" s="73"/>
      <c r="C1577" s="76"/>
      <c r="D1577" s="76" t="str">
        <f>VLOOKUP(B1577,'HEAD OF THE FAMILY'!B1934:J2574,9,FALSE)</f>
        <v>#REF!</v>
      </c>
      <c r="E1577" s="3"/>
      <c r="F1577" s="3"/>
      <c r="G1577" s="7"/>
      <c r="H1577" s="7"/>
      <c r="I1577" s="7"/>
      <c r="J1577" s="60"/>
      <c r="K1577" s="60" t="str">
        <f t="shared" si="2"/>
        <v/>
      </c>
    </row>
    <row r="1578">
      <c r="A1578" s="61" t="str">
        <f t="shared" si="1"/>
        <v/>
      </c>
      <c r="B1578" s="73"/>
      <c r="C1578" s="76"/>
      <c r="D1578" s="76" t="str">
        <f>VLOOKUP(B1578,'HEAD OF THE FAMILY'!B1934:J2575,9,FALSE)</f>
        <v>#REF!</v>
      </c>
      <c r="E1578" s="3"/>
      <c r="F1578" s="3"/>
      <c r="G1578" s="7"/>
      <c r="H1578" s="7"/>
      <c r="I1578" s="7"/>
      <c r="J1578" s="60"/>
      <c r="K1578" s="60" t="str">
        <f t="shared" si="2"/>
        <v/>
      </c>
    </row>
    <row r="1579">
      <c r="A1579" s="61" t="str">
        <f t="shared" si="1"/>
        <v/>
      </c>
      <c r="B1579" s="73"/>
      <c r="C1579" s="76"/>
      <c r="D1579" s="76" t="str">
        <f>VLOOKUP(B1579,'HEAD OF THE FAMILY'!B1934:J2576,9,FALSE)</f>
        <v>#REF!</v>
      </c>
      <c r="E1579" s="3"/>
      <c r="F1579" s="3"/>
      <c r="G1579" s="7"/>
      <c r="H1579" s="7"/>
      <c r="I1579" s="7"/>
      <c r="J1579" s="60"/>
      <c r="K1579" s="60" t="str">
        <f t="shared" si="2"/>
        <v/>
      </c>
    </row>
    <row r="1580">
      <c r="A1580" s="61" t="str">
        <f t="shared" si="1"/>
        <v/>
      </c>
      <c r="B1580" s="73"/>
      <c r="C1580" s="76"/>
      <c r="D1580" s="76" t="str">
        <f>VLOOKUP(B1580,'HEAD OF THE FAMILY'!B1934:J2577,9,FALSE)</f>
        <v>#REF!</v>
      </c>
      <c r="E1580" s="3"/>
      <c r="F1580" s="3"/>
      <c r="G1580" s="7"/>
      <c r="H1580" s="7"/>
      <c r="I1580" s="7"/>
      <c r="J1580" s="60"/>
      <c r="K1580" s="60" t="str">
        <f t="shared" si="2"/>
        <v/>
      </c>
    </row>
    <row r="1581">
      <c r="A1581" s="61" t="str">
        <f t="shared" si="1"/>
        <v/>
      </c>
      <c r="B1581" s="73"/>
      <c r="C1581" s="76"/>
      <c r="D1581" s="76" t="str">
        <f>VLOOKUP(B1581,'HEAD OF THE FAMILY'!B1934:J2578,9,FALSE)</f>
        <v>#REF!</v>
      </c>
      <c r="E1581" s="3"/>
      <c r="F1581" s="3"/>
      <c r="G1581" s="7"/>
      <c r="H1581" s="7"/>
      <c r="I1581" s="7"/>
      <c r="J1581" s="60"/>
      <c r="K1581" s="60" t="str">
        <f t="shared" si="2"/>
        <v/>
      </c>
    </row>
    <row r="1582">
      <c r="A1582" s="61" t="str">
        <f t="shared" si="1"/>
        <v/>
      </c>
      <c r="B1582" s="73"/>
      <c r="C1582" s="76"/>
      <c r="D1582" s="76" t="str">
        <f>VLOOKUP(B1582,'HEAD OF THE FAMILY'!B1934:J2579,9,FALSE)</f>
        <v>#REF!</v>
      </c>
      <c r="E1582" s="3"/>
      <c r="F1582" s="3"/>
      <c r="G1582" s="7"/>
      <c r="H1582" s="7"/>
      <c r="I1582" s="7"/>
      <c r="J1582" s="60"/>
      <c r="K1582" s="60" t="str">
        <f t="shared" si="2"/>
        <v/>
      </c>
    </row>
    <row r="1583">
      <c r="A1583" s="61" t="str">
        <f t="shared" si="1"/>
        <v/>
      </c>
      <c r="B1583" s="73"/>
      <c r="C1583" s="76"/>
      <c r="D1583" s="76" t="str">
        <f>VLOOKUP(B1583,'HEAD OF THE FAMILY'!B1934:J2580,9,FALSE)</f>
        <v>#REF!</v>
      </c>
      <c r="E1583" s="3"/>
      <c r="F1583" s="3"/>
      <c r="G1583" s="7"/>
      <c r="H1583" s="7"/>
      <c r="I1583" s="7"/>
      <c r="J1583" s="60"/>
      <c r="K1583" s="60" t="str">
        <f t="shared" si="2"/>
        <v/>
      </c>
    </row>
    <row r="1584">
      <c r="A1584" s="61" t="str">
        <f t="shared" si="1"/>
        <v/>
      </c>
      <c r="B1584" s="73"/>
      <c r="C1584" s="76"/>
      <c r="D1584" s="76" t="str">
        <f>VLOOKUP(B1584,'HEAD OF THE FAMILY'!B1934:J2581,9,FALSE)</f>
        <v>#REF!</v>
      </c>
      <c r="E1584" s="3"/>
      <c r="F1584" s="3"/>
      <c r="G1584" s="7"/>
      <c r="H1584" s="7"/>
      <c r="I1584" s="7"/>
      <c r="J1584" s="60"/>
      <c r="K1584" s="60" t="str">
        <f t="shared" si="2"/>
        <v/>
      </c>
    </row>
    <row r="1585">
      <c r="A1585" s="61" t="str">
        <f t="shared" si="1"/>
        <v/>
      </c>
      <c r="B1585" s="73"/>
      <c r="C1585" s="76"/>
      <c r="D1585" s="76" t="str">
        <f>VLOOKUP(B1585,'HEAD OF THE FAMILY'!B1934:J2582,9,FALSE)</f>
        <v>#REF!</v>
      </c>
      <c r="E1585" s="3"/>
      <c r="F1585" s="3"/>
      <c r="G1585" s="7"/>
      <c r="H1585" s="7"/>
      <c r="I1585" s="7"/>
      <c r="J1585" s="60"/>
      <c r="K1585" s="60" t="str">
        <f t="shared" si="2"/>
        <v/>
      </c>
    </row>
    <row r="1586">
      <c r="A1586" s="61" t="str">
        <f t="shared" si="1"/>
        <v/>
      </c>
      <c r="B1586" s="73"/>
      <c r="C1586" s="76"/>
      <c r="D1586" s="76" t="str">
        <f>VLOOKUP(B1586,'HEAD OF THE FAMILY'!B1934:J2583,9,FALSE)</f>
        <v>#REF!</v>
      </c>
      <c r="E1586" s="3"/>
      <c r="F1586" s="3"/>
      <c r="G1586" s="7"/>
      <c r="H1586" s="7"/>
      <c r="I1586" s="7"/>
      <c r="J1586" s="60"/>
      <c r="K1586" s="60" t="str">
        <f t="shared" si="2"/>
        <v/>
      </c>
    </row>
    <row r="1587">
      <c r="A1587" s="61" t="str">
        <f t="shared" si="1"/>
        <v/>
      </c>
      <c r="B1587" s="73"/>
      <c r="C1587" s="76"/>
      <c r="D1587" s="76" t="str">
        <f>VLOOKUP(B1587,'HEAD OF THE FAMILY'!B1934:J2584,9,FALSE)</f>
        <v>#REF!</v>
      </c>
      <c r="E1587" s="3"/>
      <c r="F1587" s="3"/>
      <c r="G1587" s="7"/>
      <c r="H1587" s="7"/>
      <c r="I1587" s="7"/>
      <c r="J1587" s="60"/>
      <c r="K1587" s="60" t="str">
        <f t="shared" si="2"/>
        <v/>
      </c>
    </row>
    <row r="1588">
      <c r="A1588" s="61" t="str">
        <f t="shared" si="1"/>
        <v/>
      </c>
      <c r="B1588" s="73"/>
      <c r="C1588" s="76"/>
      <c r="D1588" s="76" t="str">
        <f>VLOOKUP(B1588,'HEAD OF THE FAMILY'!B1934:J2585,9,FALSE)</f>
        <v>#REF!</v>
      </c>
      <c r="E1588" s="3"/>
      <c r="F1588" s="3"/>
      <c r="G1588" s="7"/>
      <c r="H1588" s="7"/>
      <c r="I1588" s="7"/>
      <c r="J1588" s="60"/>
      <c r="K1588" s="60" t="str">
        <f t="shared" si="2"/>
        <v/>
      </c>
    </row>
    <row r="1589">
      <c r="A1589" s="61" t="str">
        <f t="shared" si="1"/>
        <v/>
      </c>
      <c r="B1589" s="73"/>
      <c r="C1589" s="76"/>
      <c r="D1589" s="76" t="str">
        <f>VLOOKUP(B1589,'HEAD OF THE FAMILY'!B1934:J2586,9,FALSE)</f>
        <v>#REF!</v>
      </c>
      <c r="E1589" s="3"/>
      <c r="F1589" s="3"/>
      <c r="G1589" s="7"/>
      <c r="H1589" s="7"/>
      <c r="I1589" s="7"/>
      <c r="J1589" s="60"/>
      <c r="K1589" s="60" t="str">
        <f t="shared" si="2"/>
        <v/>
      </c>
    </row>
    <row r="1590">
      <c r="A1590" s="61" t="str">
        <f t="shared" si="1"/>
        <v/>
      </c>
      <c r="B1590" s="73"/>
      <c r="C1590" s="76"/>
      <c r="D1590" s="76" t="str">
        <f>VLOOKUP(B1590,'HEAD OF THE FAMILY'!B1934:J2587,9,FALSE)</f>
        <v>#REF!</v>
      </c>
      <c r="E1590" s="3"/>
      <c r="F1590" s="3"/>
      <c r="G1590" s="7"/>
      <c r="H1590" s="7"/>
      <c r="I1590" s="7"/>
      <c r="J1590" s="60"/>
      <c r="K1590" s="60" t="str">
        <f t="shared" si="2"/>
        <v/>
      </c>
    </row>
    <row r="1591">
      <c r="A1591" s="61" t="str">
        <f t="shared" si="1"/>
        <v/>
      </c>
      <c r="B1591" s="73"/>
      <c r="C1591" s="76"/>
      <c r="D1591" s="76" t="str">
        <f>VLOOKUP(B1591,'HEAD OF THE FAMILY'!B1934:J2588,9,FALSE)</f>
        <v>#REF!</v>
      </c>
      <c r="E1591" s="3"/>
      <c r="F1591" s="3"/>
      <c r="G1591" s="7"/>
      <c r="H1591" s="7"/>
      <c r="I1591" s="7"/>
      <c r="J1591" s="60"/>
      <c r="K1591" s="60" t="str">
        <f t="shared" si="2"/>
        <v/>
      </c>
    </row>
    <row r="1592">
      <c r="A1592" s="61" t="str">
        <f t="shared" si="1"/>
        <v/>
      </c>
      <c r="B1592" s="73"/>
      <c r="C1592" s="76"/>
      <c r="D1592" s="76" t="str">
        <f>VLOOKUP(B1592,'HEAD OF THE FAMILY'!B1934:J2589,9,FALSE)</f>
        <v>#REF!</v>
      </c>
      <c r="E1592" s="3"/>
      <c r="F1592" s="3"/>
      <c r="G1592" s="7"/>
      <c r="H1592" s="7"/>
      <c r="I1592" s="7"/>
      <c r="J1592" s="60"/>
      <c r="K1592" s="60" t="str">
        <f t="shared" si="2"/>
        <v/>
      </c>
    </row>
    <row r="1593">
      <c r="A1593" s="61" t="str">
        <f t="shared" si="1"/>
        <v/>
      </c>
      <c r="B1593" s="73"/>
      <c r="C1593" s="76"/>
      <c r="D1593" s="76" t="str">
        <f>VLOOKUP(B1593,'HEAD OF THE FAMILY'!B1934:J2590,9,FALSE)</f>
        <v>#REF!</v>
      </c>
      <c r="E1593" s="3"/>
      <c r="F1593" s="3"/>
      <c r="G1593" s="7"/>
      <c r="H1593" s="7"/>
      <c r="I1593" s="7"/>
      <c r="J1593" s="60"/>
      <c r="K1593" s="60" t="str">
        <f t="shared" si="2"/>
        <v/>
      </c>
    </row>
    <row r="1594">
      <c r="A1594" s="61" t="str">
        <f t="shared" si="1"/>
        <v/>
      </c>
      <c r="B1594" s="73"/>
      <c r="C1594" s="76"/>
      <c r="D1594" s="76" t="str">
        <f>VLOOKUP(B1594,'HEAD OF THE FAMILY'!B1934:J2591,9,FALSE)</f>
        <v>#REF!</v>
      </c>
      <c r="E1594" s="3"/>
      <c r="F1594" s="3"/>
      <c r="G1594" s="7"/>
      <c r="H1594" s="7"/>
      <c r="I1594" s="7"/>
      <c r="J1594" s="60"/>
      <c r="K1594" s="60" t="str">
        <f t="shared" si="2"/>
        <v/>
      </c>
    </row>
    <row r="1595">
      <c r="A1595" s="61" t="str">
        <f t="shared" si="1"/>
        <v/>
      </c>
      <c r="B1595" s="73"/>
      <c r="C1595" s="76"/>
      <c r="D1595" s="76" t="str">
        <f>VLOOKUP(B1595,'HEAD OF THE FAMILY'!B1934:J2592,9,FALSE)</f>
        <v>#REF!</v>
      </c>
      <c r="E1595" s="3"/>
      <c r="F1595" s="3"/>
      <c r="G1595" s="7"/>
      <c r="H1595" s="7"/>
      <c r="I1595" s="7"/>
      <c r="J1595" s="60"/>
      <c r="K1595" s="60" t="str">
        <f t="shared" si="2"/>
        <v/>
      </c>
    </row>
    <row r="1596">
      <c r="A1596" s="61" t="str">
        <f t="shared" si="1"/>
        <v/>
      </c>
      <c r="B1596" s="73"/>
      <c r="C1596" s="76"/>
      <c r="D1596" s="76" t="str">
        <f>VLOOKUP(B1596,'HEAD OF THE FAMILY'!B1934:J2593,9,FALSE)</f>
        <v>#REF!</v>
      </c>
      <c r="E1596" s="3"/>
      <c r="F1596" s="3"/>
      <c r="G1596" s="7"/>
      <c r="H1596" s="7"/>
      <c r="I1596" s="7"/>
      <c r="J1596" s="60"/>
      <c r="K1596" s="60" t="str">
        <f t="shared" si="2"/>
        <v/>
      </c>
    </row>
    <row r="1597">
      <c r="A1597" s="61" t="str">
        <f t="shared" si="1"/>
        <v/>
      </c>
      <c r="B1597" s="73"/>
      <c r="C1597" s="76"/>
      <c r="D1597" s="76" t="str">
        <f>VLOOKUP(B1597,'HEAD OF THE FAMILY'!B1934:J2594,9,FALSE)</f>
        <v>#REF!</v>
      </c>
      <c r="E1597" s="3"/>
      <c r="F1597" s="3"/>
      <c r="G1597" s="7"/>
      <c r="H1597" s="7"/>
      <c r="I1597" s="7"/>
      <c r="J1597" s="60"/>
      <c r="K1597" s="60" t="str">
        <f t="shared" si="2"/>
        <v/>
      </c>
    </row>
    <row r="1598">
      <c r="A1598" s="61" t="str">
        <f t="shared" si="1"/>
        <v/>
      </c>
      <c r="B1598" s="73"/>
      <c r="C1598" s="76"/>
      <c r="D1598" s="76" t="str">
        <f>VLOOKUP(B1598,'HEAD OF THE FAMILY'!B1934:J2595,9,FALSE)</f>
        <v>#REF!</v>
      </c>
      <c r="E1598" s="3"/>
      <c r="F1598" s="3"/>
      <c r="G1598" s="7"/>
      <c r="H1598" s="7"/>
      <c r="I1598" s="7"/>
      <c r="J1598" s="60"/>
      <c r="K1598" s="60" t="str">
        <f t="shared" si="2"/>
        <v/>
      </c>
    </row>
    <row r="1599">
      <c r="A1599" s="61" t="str">
        <f t="shared" si="1"/>
        <v/>
      </c>
      <c r="B1599" s="73"/>
      <c r="C1599" s="76"/>
      <c r="D1599" s="76" t="str">
        <f>VLOOKUP(B1599,'HEAD OF THE FAMILY'!B1934:J2596,9,FALSE)</f>
        <v>#REF!</v>
      </c>
      <c r="E1599" s="3"/>
      <c r="F1599" s="3"/>
      <c r="G1599" s="7"/>
      <c r="H1599" s="7"/>
      <c r="I1599" s="7"/>
      <c r="J1599" s="60"/>
      <c r="K1599" s="60" t="str">
        <f t="shared" si="2"/>
        <v/>
      </c>
    </row>
    <row r="1600">
      <c r="A1600" s="61" t="str">
        <f t="shared" si="1"/>
        <v/>
      </c>
      <c r="B1600" s="73"/>
      <c r="C1600" s="76"/>
      <c r="D1600" s="76" t="str">
        <f>VLOOKUP(B1600,'HEAD OF THE FAMILY'!B1934:J2597,9,FALSE)</f>
        <v>#REF!</v>
      </c>
      <c r="E1600" s="3"/>
      <c r="F1600" s="3"/>
      <c r="G1600" s="7"/>
      <c r="H1600" s="7"/>
      <c r="I1600" s="7"/>
      <c r="J1600" s="60"/>
      <c r="K1600" s="60" t="str">
        <f t="shared" si="2"/>
        <v/>
      </c>
    </row>
    <row r="1601">
      <c r="A1601" s="61" t="str">
        <f t="shared" si="1"/>
        <v/>
      </c>
      <c r="B1601" s="73"/>
      <c r="C1601" s="76"/>
      <c r="D1601" s="76" t="str">
        <f>VLOOKUP(B1601,'HEAD OF THE FAMILY'!B1934:J2598,9,FALSE)</f>
        <v>#REF!</v>
      </c>
      <c r="E1601" s="3"/>
      <c r="F1601" s="3"/>
      <c r="G1601" s="7"/>
      <c r="H1601" s="7"/>
      <c r="I1601" s="7"/>
      <c r="J1601" s="60"/>
      <c r="K1601" s="60" t="str">
        <f t="shared" si="2"/>
        <v/>
      </c>
    </row>
    <row r="1602">
      <c r="A1602" s="61" t="str">
        <f t="shared" si="1"/>
        <v/>
      </c>
      <c r="B1602" s="73"/>
      <c r="C1602" s="76"/>
      <c r="D1602" s="76" t="str">
        <f>VLOOKUP(B1602,'HEAD OF THE FAMILY'!B1934:J2599,9,FALSE)</f>
        <v>#REF!</v>
      </c>
      <c r="E1602" s="3"/>
      <c r="F1602" s="3"/>
      <c r="G1602" s="7"/>
      <c r="H1602" s="7"/>
      <c r="I1602" s="7"/>
      <c r="J1602" s="60"/>
      <c r="K1602" s="60" t="str">
        <f t="shared" si="2"/>
        <v/>
      </c>
    </row>
    <row r="1603">
      <c r="A1603" s="61" t="str">
        <f t="shared" si="1"/>
        <v/>
      </c>
      <c r="B1603" s="73"/>
      <c r="C1603" s="76"/>
      <c r="D1603" s="76" t="str">
        <f>VLOOKUP(B1603,'HEAD OF THE FAMILY'!B1934:J2600,9,FALSE)</f>
        <v>#REF!</v>
      </c>
      <c r="E1603" s="3"/>
      <c r="F1603" s="3"/>
      <c r="G1603" s="7"/>
      <c r="H1603" s="7"/>
      <c r="I1603" s="7"/>
      <c r="J1603" s="60"/>
      <c r="K1603" s="60" t="str">
        <f t="shared" si="2"/>
        <v/>
      </c>
    </row>
    <row r="1604">
      <c r="A1604" s="61" t="str">
        <f t="shared" si="1"/>
        <v/>
      </c>
      <c r="B1604" s="73"/>
      <c r="C1604" s="76"/>
      <c r="D1604" s="76" t="str">
        <f>VLOOKUP(B1604,'HEAD OF THE FAMILY'!B1934:J2601,9,FALSE)</f>
        <v>#REF!</v>
      </c>
      <c r="E1604" s="3"/>
      <c r="F1604" s="3"/>
      <c r="G1604" s="7"/>
      <c r="H1604" s="7"/>
      <c r="I1604" s="7"/>
      <c r="J1604" s="60"/>
      <c r="K1604" s="60" t="str">
        <f t="shared" si="2"/>
        <v/>
      </c>
    </row>
    <row r="1605">
      <c r="A1605" s="61" t="str">
        <f t="shared" si="1"/>
        <v/>
      </c>
      <c r="B1605" s="73"/>
      <c r="C1605" s="76"/>
      <c r="D1605" s="76" t="str">
        <f>VLOOKUP(B1605,'HEAD OF THE FAMILY'!B1934:J2602,9,FALSE)</f>
        <v>#REF!</v>
      </c>
      <c r="E1605" s="3"/>
      <c r="F1605" s="3"/>
      <c r="G1605" s="7"/>
      <c r="H1605" s="7"/>
      <c r="I1605" s="7"/>
      <c r="J1605" s="60"/>
      <c r="K1605" s="60" t="str">
        <f t="shared" si="2"/>
        <v/>
      </c>
    </row>
    <row r="1606">
      <c r="A1606" s="61" t="str">
        <f t="shared" si="1"/>
        <v/>
      </c>
      <c r="B1606" s="73"/>
      <c r="C1606" s="76"/>
      <c r="D1606" s="76" t="str">
        <f>VLOOKUP(B1606,'HEAD OF THE FAMILY'!B1934:J2603,9,FALSE)</f>
        <v>#REF!</v>
      </c>
      <c r="E1606" s="3"/>
      <c r="F1606" s="3"/>
      <c r="G1606" s="7"/>
      <c r="H1606" s="7"/>
      <c r="I1606" s="7"/>
      <c r="J1606" s="60"/>
      <c r="K1606" s="60" t="str">
        <f t="shared" si="2"/>
        <v/>
      </c>
    </row>
    <row r="1607">
      <c r="A1607" s="61" t="str">
        <f t="shared" si="1"/>
        <v/>
      </c>
      <c r="B1607" s="73"/>
      <c r="C1607" s="76"/>
      <c r="D1607" s="76" t="str">
        <f>VLOOKUP(B1607,'HEAD OF THE FAMILY'!B1934:J2604,9,FALSE)</f>
        <v>#REF!</v>
      </c>
      <c r="E1607" s="3"/>
      <c r="F1607" s="3"/>
      <c r="G1607" s="7"/>
      <c r="H1607" s="7"/>
      <c r="I1607" s="7"/>
      <c r="J1607" s="60"/>
      <c r="K1607" s="60" t="str">
        <f t="shared" si="2"/>
        <v/>
      </c>
    </row>
    <row r="1608">
      <c r="A1608" s="61" t="str">
        <f t="shared" si="1"/>
        <v/>
      </c>
      <c r="B1608" s="73"/>
      <c r="C1608" s="76"/>
      <c r="D1608" s="76" t="str">
        <f>VLOOKUP(B1608,'HEAD OF THE FAMILY'!B1934:J2605,9,FALSE)</f>
        <v>#REF!</v>
      </c>
      <c r="E1608" s="3"/>
      <c r="F1608" s="3"/>
      <c r="G1608" s="7"/>
      <c r="H1608" s="7"/>
      <c r="I1608" s="7"/>
      <c r="J1608" s="60"/>
      <c r="K1608" s="60" t="str">
        <f t="shared" si="2"/>
        <v/>
      </c>
    </row>
    <row r="1609">
      <c r="A1609" s="61" t="str">
        <f t="shared" si="1"/>
        <v/>
      </c>
      <c r="B1609" s="73"/>
      <c r="C1609" s="76"/>
      <c r="D1609" s="76" t="str">
        <f>VLOOKUP(B1609,'HEAD OF THE FAMILY'!B1934:J2606,9,FALSE)</f>
        <v>#REF!</v>
      </c>
      <c r="E1609" s="3"/>
      <c r="F1609" s="3"/>
      <c r="G1609" s="7"/>
      <c r="H1609" s="7"/>
      <c r="I1609" s="7"/>
      <c r="J1609" s="60"/>
      <c r="K1609" s="60" t="str">
        <f t="shared" si="2"/>
        <v/>
      </c>
    </row>
    <row r="1610">
      <c r="A1610" s="61" t="str">
        <f t="shared" si="1"/>
        <v/>
      </c>
      <c r="B1610" s="73"/>
      <c r="C1610" s="76"/>
      <c r="D1610" s="76" t="str">
        <f>VLOOKUP(B1610,'HEAD OF THE FAMILY'!B1934:J2607,9,FALSE)</f>
        <v>#REF!</v>
      </c>
      <c r="E1610" s="3"/>
      <c r="F1610" s="3"/>
      <c r="G1610" s="7"/>
      <c r="H1610" s="7"/>
      <c r="I1610" s="7"/>
      <c r="J1610" s="60"/>
      <c r="K1610" s="60" t="str">
        <f t="shared" si="2"/>
        <v/>
      </c>
    </row>
    <row r="1611">
      <c r="A1611" s="61" t="str">
        <f t="shared" si="1"/>
        <v/>
      </c>
      <c r="B1611" s="73"/>
      <c r="C1611" s="76"/>
      <c r="D1611" s="76" t="str">
        <f>VLOOKUP(B1611,'HEAD OF THE FAMILY'!B1934:J2608,9,FALSE)</f>
        <v>#REF!</v>
      </c>
      <c r="E1611" s="3"/>
      <c r="F1611" s="3"/>
      <c r="G1611" s="7"/>
      <c r="H1611" s="7"/>
      <c r="I1611" s="7"/>
      <c r="J1611" s="60"/>
      <c r="K1611" s="60" t="str">
        <f t="shared" si="2"/>
        <v/>
      </c>
    </row>
    <row r="1612">
      <c r="A1612" s="61" t="str">
        <f t="shared" si="1"/>
        <v/>
      </c>
      <c r="B1612" s="73"/>
      <c r="C1612" s="76"/>
      <c r="D1612" s="76" t="str">
        <f>VLOOKUP(B1612,'HEAD OF THE FAMILY'!B1934:J2609,9,FALSE)</f>
        <v>#REF!</v>
      </c>
      <c r="E1612" s="3"/>
      <c r="F1612" s="3"/>
      <c r="G1612" s="7"/>
      <c r="H1612" s="7"/>
      <c r="I1612" s="7"/>
      <c r="J1612" s="60"/>
      <c r="K1612" s="60" t="str">
        <f t="shared" si="2"/>
        <v/>
      </c>
    </row>
    <row r="1613">
      <c r="A1613" s="61" t="str">
        <f t="shared" si="1"/>
        <v/>
      </c>
      <c r="B1613" s="73"/>
      <c r="C1613" s="76"/>
      <c r="D1613" s="76" t="str">
        <f>VLOOKUP(B1613,'HEAD OF THE FAMILY'!B1934:J2610,9,FALSE)</f>
        <v>#REF!</v>
      </c>
      <c r="E1613" s="3"/>
      <c r="F1613" s="3"/>
      <c r="G1613" s="7"/>
      <c r="H1613" s="7"/>
      <c r="I1613" s="7"/>
      <c r="J1613" s="60"/>
      <c r="K1613" s="60" t="str">
        <f t="shared" si="2"/>
        <v/>
      </c>
    </row>
    <row r="1614">
      <c r="A1614" s="61" t="str">
        <f t="shared" si="1"/>
        <v/>
      </c>
      <c r="B1614" s="73"/>
      <c r="C1614" s="76"/>
      <c r="D1614" s="76" t="str">
        <f>VLOOKUP(B1614,'HEAD OF THE FAMILY'!B1934:J2611,9,FALSE)</f>
        <v>#REF!</v>
      </c>
      <c r="E1614" s="3"/>
      <c r="F1614" s="3"/>
      <c r="G1614" s="7"/>
      <c r="H1614" s="7"/>
      <c r="I1614" s="7"/>
      <c r="J1614" s="60"/>
      <c r="K1614" s="60" t="str">
        <f t="shared" si="2"/>
        <v/>
      </c>
    </row>
    <row r="1615">
      <c r="A1615" s="61" t="str">
        <f t="shared" si="1"/>
        <v/>
      </c>
      <c r="B1615" s="73"/>
      <c r="C1615" s="76"/>
      <c r="D1615" s="76" t="str">
        <f>VLOOKUP(B1615,'HEAD OF THE FAMILY'!B1934:J2612,9,FALSE)</f>
        <v>#REF!</v>
      </c>
      <c r="E1615" s="3"/>
      <c r="F1615" s="3"/>
      <c r="G1615" s="7"/>
      <c r="H1615" s="7"/>
      <c r="I1615" s="7"/>
      <c r="J1615" s="60"/>
      <c r="K1615" s="60" t="str">
        <f t="shared" si="2"/>
        <v/>
      </c>
    </row>
    <row r="1616">
      <c r="A1616" s="61" t="str">
        <f t="shared" si="1"/>
        <v/>
      </c>
      <c r="B1616" s="73"/>
      <c r="C1616" s="76"/>
      <c r="D1616" s="76" t="str">
        <f>VLOOKUP(B1616,'HEAD OF THE FAMILY'!B1934:J2613,9,FALSE)</f>
        <v>#REF!</v>
      </c>
      <c r="E1616" s="3"/>
      <c r="F1616" s="3"/>
      <c r="G1616" s="7"/>
      <c r="H1616" s="7"/>
      <c r="I1616" s="7"/>
      <c r="J1616" s="60"/>
      <c r="K1616" s="60" t="str">
        <f t="shared" si="2"/>
        <v/>
      </c>
    </row>
    <row r="1617">
      <c r="A1617" s="61" t="str">
        <f t="shared" si="1"/>
        <v/>
      </c>
      <c r="B1617" s="73"/>
      <c r="C1617" s="76"/>
      <c r="D1617" s="76" t="str">
        <f>VLOOKUP(B1617,'HEAD OF THE FAMILY'!B1934:J2614,9,FALSE)</f>
        <v>#REF!</v>
      </c>
      <c r="E1617" s="3"/>
      <c r="F1617" s="3"/>
      <c r="G1617" s="7"/>
      <c r="H1617" s="7"/>
      <c r="I1617" s="7"/>
      <c r="J1617" s="60"/>
      <c r="K1617" s="60" t="str">
        <f t="shared" si="2"/>
        <v/>
      </c>
    </row>
    <row r="1618">
      <c r="A1618" s="61" t="str">
        <f t="shared" si="1"/>
        <v/>
      </c>
      <c r="B1618" s="73"/>
      <c r="C1618" s="76"/>
      <c r="D1618" s="76" t="str">
        <f>VLOOKUP(B1618,'HEAD OF THE FAMILY'!B1934:J2615,9,FALSE)</f>
        <v>#REF!</v>
      </c>
      <c r="E1618" s="3"/>
      <c r="F1618" s="3"/>
      <c r="G1618" s="7"/>
      <c r="H1618" s="7"/>
      <c r="I1618" s="7"/>
      <c r="J1618" s="60"/>
      <c r="K1618" s="60" t="str">
        <f t="shared" si="2"/>
        <v/>
      </c>
    </row>
    <row r="1619">
      <c r="A1619" s="61" t="str">
        <f t="shared" si="1"/>
        <v/>
      </c>
      <c r="B1619" s="73"/>
      <c r="C1619" s="76"/>
      <c r="D1619" s="76" t="str">
        <f>VLOOKUP(B1619,'HEAD OF THE FAMILY'!B1934:J2616,9,FALSE)</f>
        <v>#REF!</v>
      </c>
      <c r="E1619" s="3"/>
      <c r="F1619" s="3"/>
      <c r="G1619" s="7"/>
      <c r="H1619" s="7"/>
      <c r="I1619" s="7"/>
      <c r="J1619" s="60"/>
      <c r="K1619" s="60" t="str">
        <f t="shared" si="2"/>
        <v/>
      </c>
    </row>
    <row r="1620">
      <c r="A1620" s="61" t="str">
        <f t="shared" si="1"/>
        <v/>
      </c>
      <c r="B1620" s="73"/>
      <c r="C1620" s="76"/>
      <c r="D1620" s="76" t="str">
        <f>VLOOKUP(B1620,'HEAD OF THE FAMILY'!B1934:J2617,9,FALSE)</f>
        <v>#REF!</v>
      </c>
      <c r="E1620" s="3"/>
      <c r="F1620" s="3"/>
      <c r="G1620" s="7"/>
      <c r="H1620" s="7"/>
      <c r="I1620" s="7"/>
      <c r="J1620" s="60"/>
      <c r="K1620" s="60" t="str">
        <f t="shared" si="2"/>
        <v/>
      </c>
    </row>
    <row r="1621">
      <c r="A1621" s="61" t="str">
        <f t="shared" si="1"/>
        <v/>
      </c>
      <c r="B1621" s="73"/>
      <c r="C1621" s="76"/>
      <c r="D1621" s="76" t="str">
        <f>VLOOKUP(B1621,'HEAD OF THE FAMILY'!B1934:J2618,9,FALSE)</f>
        <v>#REF!</v>
      </c>
      <c r="E1621" s="3"/>
      <c r="F1621" s="3"/>
      <c r="G1621" s="7"/>
      <c r="H1621" s="7"/>
      <c r="I1621" s="7"/>
      <c r="J1621" s="60"/>
      <c r="K1621" s="60" t="str">
        <f t="shared" si="2"/>
        <v/>
      </c>
    </row>
    <row r="1622">
      <c r="A1622" s="61" t="str">
        <f t="shared" si="1"/>
        <v/>
      </c>
      <c r="B1622" s="73"/>
      <c r="C1622" s="76"/>
      <c r="D1622" s="76" t="str">
        <f>VLOOKUP(B1622,'HEAD OF THE FAMILY'!B1934:J2619,9,FALSE)</f>
        <v>#REF!</v>
      </c>
      <c r="E1622" s="3"/>
      <c r="F1622" s="3"/>
      <c r="G1622" s="7"/>
      <c r="H1622" s="7"/>
      <c r="I1622" s="7"/>
      <c r="J1622" s="60"/>
      <c r="K1622" s="60" t="str">
        <f t="shared" si="2"/>
        <v/>
      </c>
    </row>
    <row r="1623">
      <c r="A1623" s="61" t="str">
        <f t="shared" si="1"/>
        <v/>
      </c>
      <c r="B1623" s="73"/>
      <c r="C1623" s="76"/>
      <c r="D1623" s="76" t="str">
        <f>VLOOKUP(B1623,'HEAD OF THE FAMILY'!B1934:J2620,9,FALSE)</f>
        <v>#REF!</v>
      </c>
      <c r="E1623" s="3"/>
      <c r="F1623" s="3"/>
      <c r="G1623" s="7"/>
      <c r="H1623" s="7"/>
      <c r="I1623" s="7"/>
      <c r="J1623" s="60"/>
      <c r="K1623" s="60" t="str">
        <f t="shared" si="2"/>
        <v/>
      </c>
    </row>
    <row r="1624">
      <c r="A1624" s="61" t="str">
        <f t="shared" si="1"/>
        <v/>
      </c>
      <c r="B1624" s="73"/>
      <c r="C1624" s="76"/>
      <c r="D1624" s="76" t="str">
        <f>VLOOKUP(B1624,'HEAD OF THE FAMILY'!B1934:J2621,9,FALSE)</f>
        <v>#REF!</v>
      </c>
      <c r="E1624" s="3"/>
      <c r="F1624" s="3"/>
      <c r="G1624" s="7"/>
      <c r="H1624" s="7"/>
      <c r="I1624" s="7"/>
      <c r="J1624" s="60"/>
      <c r="K1624" s="60" t="str">
        <f t="shared" si="2"/>
        <v/>
      </c>
    </row>
    <row r="1625">
      <c r="A1625" s="61" t="str">
        <f t="shared" si="1"/>
        <v/>
      </c>
      <c r="B1625" s="73"/>
      <c r="C1625" s="76"/>
      <c r="D1625" s="76" t="str">
        <f>VLOOKUP(B1625,'HEAD OF THE FAMILY'!B1934:J2622,9,FALSE)</f>
        <v>#REF!</v>
      </c>
      <c r="E1625" s="3"/>
      <c r="F1625" s="3"/>
      <c r="G1625" s="7"/>
      <c r="H1625" s="7"/>
      <c r="I1625" s="7"/>
      <c r="J1625" s="60"/>
      <c r="K1625" s="60" t="str">
        <f t="shared" si="2"/>
        <v/>
      </c>
    </row>
    <row r="1626">
      <c r="A1626" s="61" t="str">
        <f t="shared" si="1"/>
        <v/>
      </c>
      <c r="B1626" s="73"/>
      <c r="C1626" s="76"/>
      <c r="D1626" s="76" t="str">
        <f>VLOOKUP(B1626,'HEAD OF THE FAMILY'!B1934:J2623,9,FALSE)</f>
        <v>#REF!</v>
      </c>
      <c r="E1626" s="3"/>
      <c r="F1626" s="3"/>
      <c r="G1626" s="7"/>
      <c r="H1626" s="7"/>
      <c r="I1626" s="7"/>
      <c r="J1626" s="60"/>
      <c r="K1626" s="60" t="str">
        <f t="shared" si="2"/>
        <v/>
      </c>
    </row>
    <row r="1627">
      <c r="A1627" s="61" t="str">
        <f t="shared" si="1"/>
        <v/>
      </c>
      <c r="B1627" s="73"/>
      <c r="C1627" s="76"/>
      <c r="D1627" s="76" t="str">
        <f>VLOOKUP(B1627,'HEAD OF THE FAMILY'!B1934:J2624,9,FALSE)</f>
        <v>#REF!</v>
      </c>
      <c r="E1627" s="3"/>
      <c r="F1627" s="3"/>
      <c r="G1627" s="7"/>
      <c r="H1627" s="7"/>
      <c r="I1627" s="7"/>
      <c r="J1627" s="60"/>
      <c r="K1627" s="60" t="str">
        <f t="shared" si="2"/>
        <v/>
      </c>
    </row>
    <row r="1628">
      <c r="A1628" s="61" t="str">
        <f t="shared" si="1"/>
        <v/>
      </c>
      <c r="B1628" s="73"/>
      <c r="C1628" s="76"/>
      <c r="D1628" s="76" t="str">
        <f>VLOOKUP(B1628,'HEAD OF THE FAMILY'!B1934:J2625,9,FALSE)</f>
        <v>#REF!</v>
      </c>
      <c r="E1628" s="3"/>
      <c r="F1628" s="3"/>
      <c r="G1628" s="7"/>
      <c r="H1628" s="7"/>
      <c r="I1628" s="7"/>
      <c r="J1628" s="60"/>
      <c r="K1628" s="60" t="str">
        <f t="shared" si="2"/>
        <v/>
      </c>
    </row>
    <row r="1629">
      <c r="A1629" s="61" t="str">
        <f t="shared" si="1"/>
        <v/>
      </c>
      <c r="B1629" s="73"/>
      <c r="C1629" s="76"/>
      <c r="D1629" s="76" t="str">
        <f>VLOOKUP(B1629,'HEAD OF THE FAMILY'!B1934:J2626,9,FALSE)</f>
        <v>#REF!</v>
      </c>
      <c r="E1629" s="3"/>
      <c r="F1629" s="3"/>
      <c r="G1629" s="7"/>
      <c r="H1629" s="7"/>
      <c r="I1629" s="7"/>
      <c r="J1629" s="60"/>
      <c r="K1629" s="60" t="str">
        <f t="shared" si="2"/>
        <v/>
      </c>
    </row>
    <row r="1630">
      <c r="A1630" s="61" t="str">
        <f t="shared" si="1"/>
        <v/>
      </c>
      <c r="B1630" s="73"/>
      <c r="C1630" s="76"/>
      <c r="D1630" s="76" t="str">
        <f>VLOOKUP(B1630,'HEAD OF THE FAMILY'!B1934:J2627,9,FALSE)</f>
        <v>#REF!</v>
      </c>
      <c r="E1630" s="3"/>
      <c r="F1630" s="3"/>
      <c r="G1630" s="7"/>
      <c r="H1630" s="7"/>
      <c r="I1630" s="7"/>
      <c r="J1630" s="60"/>
      <c r="K1630" s="60" t="str">
        <f t="shared" si="2"/>
        <v/>
      </c>
    </row>
    <row r="1631">
      <c r="A1631" s="61" t="str">
        <f t="shared" si="1"/>
        <v/>
      </c>
      <c r="B1631" s="73"/>
      <c r="C1631" s="76"/>
      <c r="D1631" s="76" t="str">
        <f>VLOOKUP(B1631,'HEAD OF THE FAMILY'!B1934:J2628,9,FALSE)</f>
        <v>#REF!</v>
      </c>
      <c r="E1631" s="3"/>
      <c r="F1631" s="3"/>
      <c r="G1631" s="7"/>
      <c r="H1631" s="7"/>
      <c r="I1631" s="7"/>
      <c r="J1631" s="60"/>
      <c r="K1631" s="60" t="str">
        <f t="shared" si="2"/>
        <v/>
      </c>
    </row>
    <row r="1632">
      <c r="A1632" s="61" t="str">
        <f t="shared" si="1"/>
        <v/>
      </c>
      <c r="B1632" s="73"/>
      <c r="C1632" s="76"/>
      <c r="D1632" s="76" t="str">
        <f>VLOOKUP(B1632,'HEAD OF THE FAMILY'!B1934:J2629,9,FALSE)</f>
        <v>#REF!</v>
      </c>
      <c r="E1632" s="3"/>
      <c r="F1632" s="3"/>
      <c r="G1632" s="7"/>
      <c r="H1632" s="7"/>
      <c r="I1632" s="7"/>
      <c r="J1632" s="60"/>
      <c r="K1632" s="60" t="str">
        <f t="shared" si="2"/>
        <v/>
      </c>
    </row>
    <row r="1633">
      <c r="A1633" s="61" t="str">
        <f t="shared" si="1"/>
        <v/>
      </c>
      <c r="B1633" s="73"/>
      <c r="C1633" s="76"/>
      <c r="D1633" s="76" t="str">
        <f>VLOOKUP(B1633,'HEAD OF THE FAMILY'!B1934:J2630,9,FALSE)</f>
        <v>#REF!</v>
      </c>
      <c r="E1633" s="3"/>
      <c r="F1633" s="3"/>
      <c r="G1633" s="7"/>
      <c r="H1633" s="7"/>
      <c r="I1633" s="7"/>
      <c r="J1633" s="60"/>
      <c r="K1633" s="60" t="str">
        <f t="shared" si="2"/>
        <v/>
      </c>
    </row>
    <row r="1634">
      <c r="A1634" s="61" t="str">
        <f t="shared" si="1"/>
        <v/>
      </c>
      <c r="B1634" s="73"/>
      <c r="C1634" s="76"/>
      <c r="D1634" s="76" t="str">
        <f>VLOOKUP(B1634,'HEAD OF THE FAMILY'!B1934:J2631,9,FALSE)</f>
        <v>#REF!</v>
      </c>
      <c r="E1634" s="3"/>
      <c r="F1634" s="3"/>
      <c r="G1634" s="7"/>
      <c r="H1634" s="7"/>
      <c r="I1634" s="7"/>
      <c r="J1634" s="60"/>
      <c r="K1634" s="60" t="str">
        <f t="shared" si="2"/>
        <v/>
      </c>
    </row>
    <row r="1635">
      <c r="A1635" s="61" t="str">
        <f t="shared" si="1"/>
        <v/>
      </c>
      <c r="B1635" s="73"/>
      <c r="C1635" s="76"/>
      <c r="D1635" s="76" t="str">
        <f>VLOOKUP(B1635,'HEAD OF THE FAMILY'!B1934:J2632,9,FALSE)</f>
        <v>#REF!</v>
      </c>
      <c r="E1635" s="3"/>
      <c r="F1635" s="3"/>
      <c r="G1635" s="7"/>
      <c r="H1635" s="7"/>
      <c r="I1635" s="7"/>
      <c r="J1635" s="60"/>
      <c r="K1635" s="60" t="str">
        <f t="shared" si="2"/>
        <v/>
      </c>
    </row>
    <row r="1636">
      <c r="A1636" s="61" t="str">
        <f t="shared" si="1"/>
        <v/>
      </c>
      <c r="B1636" s="73"/>
      <c r="C1636" s="76"/>
      <c r="D1636" s="76" t="str">
        <f>VLOOKUP(B1636,'HEAD OF THE FAMILY'!B1934:J2633,9,FALSE)</f>
        <v>#REF!</v>
      </c>
      <c r="E1636" s="3"/>
      <c r="F1636" s="3"/>
      <c r="G1636" s="7"/>
      <c r="H1636" s="7"/>
      <c r="I1636" s="7"/>
      <c r="J1636" s="60"/>
      <c r="K1636" s="60" t="str">
        <f t="shared" si="2"/>
        <v/>
      </c>
    </row>
    <row r="1637">
      <c r="A1637" s="61" t="str">
        <f t="shared" si="1"/>
        <v/>
      </c>
      <c r="B1637" s="73"/>
      <c r="C1637" s="76"/>
      <c r="D1637" s="76" t="str">
        <f>VLOOKUP(B1637,'HEAD OF THE FAMILY'!B1934:J2634,9,FALSE)</f>
        <v>#REF!</v>
      </c>
      <c r="E1637" s="3"/>
      <c r="F1637" s="3"/>
      <c r="G1637" s="7"/>
      <c r="H1637" s="7"/>
      <c r="I1637" s="7"/>
      <c r="J1637" s="60"/>
      <c r="K1637" s="60" t="str">
        <f t="shared" si="2"/>
        <v/>
      </c>
    </row>
    <row r="1638">
      <c r="A1638" s="61" t="str">
        <f t="shared" si="1"/>
        <v/>
      </c>
      <c r="B1638" s="73"/>
      <c r="C1638" s="76"/>
      <c r="D1638" s="76" t="str">
        <f>VLOOKUP(B1638,'HEAD OF THE FAMILY'!B1934:J2635,9,FALSE)</f>
        <v>#REF!</v>
      </c>
      <c r="E1638" s="3"/>
      <c r="F1638" s="3"/>
      <c r="G1638" s="7"/>
      <c r="H1638" s="7"/>
      <c r="I1638" s="7"/>
      <c r="J1638" s="60"/>
      <c r="K1638" s="60" t="str">
        <f t="shared" si="2"/>
        <v/>
      </c>
    </row>
    <row r="1639">
      <c r="A1639" s="61" t="str">
        <f t="shared" si="1"/>
        <v/>
      </c>
      <c r="B1639" s="73"/>
      <c r="C1639" s="76"/>
      <c r="D1639" s="76" t="str">
        <f>VLOOKUP(B1639,'HEAD OF THE FAMILY'!B1934:J2636,9,FALSE)</f>
        <v>#REF!</v>
      </c>
      <c r="E1639" s="3"/>
      <c r="F1639" s="3"/>
      <c r="G1639" s="7"/>
      <c r="H1639" s="7"/>
      <c r="I1639" s="7"/>
      <c r="J1639" s="60"/>
      <c r="K1639" s="60" t="str">
        <f t="shared" si="2"/>
        <v/>
      </c>
    </row>
    <row r="1640">
      <c r="A1640" s="61" t="str">
        <f t="shared" si="1"/>
        <v/>
      </c>
      <c r="B1640" s="73"/>
      <c r="C1640" s="76"/>
      <c r="D1640" s="76" t="str">
        <f>VLOOKUP(B1640,'HEAD OF THE FAMILY'!B1934:J2637,9,FALSE)</f>
        <v>#REF!</v>
      </c>
      <c r="E1640" s="3"/>
      <c r="F1640" s="3"/>
      <c r="G1640" s="7"/>
      <c r="H1640" s="7"/>
      <c r="I1640" s="7"/>
      <c r="J1640" s="60"/>
      <c r="K1640" s="60" t="str">
        <f t="shared" si="2"/>
        <v/>
      </c>
    </row>
    <row r="1641">
      <c r="A1641" s="61" t="str">
        <f t="shared" si="1"/>
        <v/>
      </c>
      <c r="B1641" s="73"/>
      <c r="C1641" s="76"/>
      <c r="D1641" s="76" t="str">
        <f>VLOOKUP(B1641,'HEAD OF THE FAMILY'!B1934:J2638,9,FALSE)</f>
        <v>#REF!</v>
      </c>
      <c r="E1641" s="3"/>
      <c r="F1641" s="3"/>
      <c r="G1641" s="7"/>
      <c r="H1641" s="7"/>
      <c r="I1641" s="7"/>
      <c r="J1641" s="60"/>
      <c r="K1641" s="60" t="str">
        <f t="shared" si="2"/>
        <v/>
      </c>
    </row>
    <row r="1642">
      <c r="A1642" s="61" t="str">
        <f t="shared" si="1"/>
        <v/>
      </c>
      <c r="B1642" s="73"/>
      <c r="C1642" s="76"/>
      <c r="D1642" s="76" t="str">
        <f>VLOOKUP(B1642,'HEAD OF THE FAMILY'!B1934:J2639,9,FALSE)</f>
        <v>#REF!</v>
      </c>
      <c r="E1642" s="3"/>
      <c r="F1642" s="3"/>
      <c r="G1642" s="7"/>
      <c r="H1642" s="7"/>
      <c r="I1642" s="7"/>
      <c r="J1642" s="60"/>
      <c r="K1642" s="60" t="str">
        <f t="shared" si="2"/>
        <v/>
      </c>
    </row>
    <row r="1643">
      <c r="A1643" s="61" t="str">
        <f t="shared" si="1"/>
        <v/>
      </c>
      <c r="B1643" s="73"/>
      <c r="C1643" s="76"/>
      <c r="D1643" s="76" t="str">
        <f>VLOOKUP(B1643,'HEAD OF THE FAMILY'!B1934:J2640,9,FALSE)</f>
        <v>#REF!</v>
      </c>
      <c r="E1643" s="3"/>
      <c r="F1643" s="3"/>
      <c r="G1643" s="7"/>
      <c r="H1643" s="7"/>
      <c r="I1643" s="7"/>
      <c r="J1643" s="60"/>
      <c r="K1643" s="60" t="str">
        <f t="shared" si="2"/>
        <v/>
      </c>
    </row>
    <row r="1644">
      <c r="A1644" s="61" t="str">
        <f t="shared" si="1"/>
        <v/>
      </c>
      <c r="B1644" s="73"/>
      <c r="C1644" s="76"/>
      <c r="D1644" s="76" t="str">
        <f>VLOOKUP(B1644,'HEAD OF THE FAMILY'!B1934:J2641,9,FALSE)</f>
        <v>#REF!</v>
      </c>
      <c r="E1644" s="3"/>
      <c r="F1644" s="3"/>
      <c r="G1644" s="7"/>
      <c r="H1644" s="7"/>
      <c r="I1644" s="7"/>
      <c r="J1644" s="60"/>
      <c r="K1644" s="60" t="str">
        <f t="shared" si="2"/>
        <v/>
      </c>
    </row>
    <row r="1645">
      <c r="A1645" s="61" t="str">
        <f t="shared" si="1"/>
        <v/>
      </c>
      <c r="B1645" s="73"/>
      <c r="C1645" s="76"/>
      <c r="D1645" s="76" t="str">
        <f>VLOOKUP(B1645,'HEAD OF THE FAMILY'!B1934:J2642,9,FALSE)</f>
        <v>#REF!</v>
      </c>
      <c r="E1645" s="3"/>
      <c r="F1645" s="3"/>
      <c r="G1645" s="7"/>
      <c r="H1645" s="7"/>
      <c r="I1645" s="7"/>
      <c r="J1645" s="60"/>
      <c r="K1645" s="60" t="str">
        <f t="shared" si="2"/>
        <v/>
      </c>
    </row>
    <row r="1646">
      <c r="A1646" s="61" t="str">
        <f t="shared" si="1"/>
        <v/>
      </c>
      <c r="B1646" s="73"/>
      <c r="C1646" s="76"/>
      <c r="D1646" s="76" t="str">
        <f>VLOOKUP(B1646,'HEAD OF THE FAMILY'!B1934:J2643,9,FALSE)</f>
        <v>#REF!</v>
      </c>
      <c r="E1646" s="3"/>
      <c r="F1646" s="3"/>
      <c r="G1646" s="7"/>
      <c r="H1646" s="7"/>
      <c r="I1646" s="7"/>
      <c r="J1646" s="60"/>
      <c r="K1646" s="60" t="str">
        <f t="shared" si="2"/>
        <v/>
      </c>
    </row>
    <row r="1647">
      <c r="A1647" s="61" t="str">
        <f t="shared" si="1"/>
        <v/>
      </c>
      <c r="B1647" s="73"/>
      <c r="C1647" s="76"/>
      <c r="D1647" s="76" t="str">
        <f>VLOOKUP(B1647,'HEAD OF THE FAMILY'!B1934:J2644,9,FALSE)</f>
        <v>#REF!</v>
      </c>
      <c r="E1647" s="3"/>
      <c r="F1647" s="3"/>
      <c r="G1647" s="7"/>
      <c r="H1647" s="7"/>
      <c r="I1647" s="7"/>
      <c r="J1647" s="60"/>
      <c r="K1647" s="60" t="str">
        <f t="shared" si="2"/>
        <v/>
      </c>
    </row>
    <row r="1648">
      <c r="A1648" s="61" t="str">
        <f t="shared" si="1"/>
        <v/>
      </c>
      <c r="B1648" s="73"/>
      <c r="C1648" s="76"/>
      <c r="D1648" s="76" t="str">
        <f>VLOOKUP(B1648,'HEAD OF THE FAMILY'!B1934:J2645,9,FALSE)</f>
        <v>#REF!</v>
      </c>
      <c r="E1648" s="3"/>
      <c r="F1648" s="3"/>
      <c r="G1648" s="7"/>
      <c r="H1648" s="7"/>
      <c r="I1648" s="7"/>
      <c r="J1648" s="60"/>
      <c r="K1648" s="60" t="str">
        <f t="shared" si="2"/>
        <v/>
      </c>
    </row>
    <row r="1649">
      <c r="A1649" s="61" t="str">
        <f t="shared" si="1"/>
        <v/>
      </c>
      <c r="B1649" s="73"/>
      <c r="C1649" s="76"/>
      <c r="D1649" s="76" t="str">
        <f>VLOOKUP(B1649,'HEAD OF THE FAMILY'!B1934:J2646,9,FALSE)</f>
        <v>#REF!</v>
      </c>
      <c r="E1649" s="3"/>
      <c r="F1649" s="3"/>
      <c r="G1649" s="7"/>
      <c r="H1649" s="7"/>
      <c r="I1649" s="7"/>
      <c r="J1649" s="60"/>
      <c r="K1649" s="60" t="str">
        <f t="shared" si="2"/>
        <v/>
      </c>
    </row>
    <row r="1650">
      <c r="A1650" s="61" t="str">
        <f t="shared" si="1"/>
        <v/>
      </c>
      <c r="B1650" s="73"/>
      <c r="C1650" s="76"/>
      <c r="D1650" s="76" t="str">
        <f>VLOOKUP(B1650,'HEAD OF THE FAMILY'!B1934:J2647,9,FALSE)</f>
        <v>#REF!</v>
      </c>
      <c r="E1650" s="3"/>
      <c r="F1650" s="3"/>
      <c r="G1650" s="7"/>
      <c r="H1650" s="7"/>
      <c r="I1650" s="7"/>
      <c r="J1650" s="60"/>
      <c r="K1650" s="60" t="str">
        <f t="shared" si="2"/>
        <v/>
      </c>
    </row>
    <row r="1651">
      <c r="A1651" s="61" t="str">
        <f t="shared" si="1"/>
        <v/>
      </c>
      <c r="B1651" s="73"/>
      <c r="C1651" s="76"/>
      <c r="D1651" s="76" t="str">
        <f>VLOOKUP(B1651,'HEAD OF THE FAMILY'!B1934:J2648,9,FALSE)</f>
        <v>#REF!</v>
      </c>
      <c r="E1651" s="3"/>
      <c r="F1651" s="3"/>
      <c r="G1651" s="7"/>
      <c r="H1651" s="7"/>
      <c r="I1651" s="7"/>
      <c r="J1651" s="60"/>
      <c r="K1651" s="60" t="str">
        <f t="shared" si="2"/>
        <v/>
      </c>
    </row>
    <row r="1652">
      <c r="A1652" s="61" t="str">
        <f t="shared" si="1"/>
        <v/>
      </c>
      <c r="B1652" s="73"/>
      <c r="C1652" s="76"/>
      <c r="D1652" s="76" t="str">
        <f>VLOOKUP(B1652,'HEAD OF THE FAMILY'!B1934:J2649,9,FALSE)</f>
        <v>#REF!</v>
      </c>
      <c r="E1652" s="3"/>
      <c r="F1652" s="3"/>
      <c r="G1652" s="7"/>
      <c r="H1652" s="7"/>
      <c r="I1652" s="7"/>
      <c r="J1652" s="60"/>
      <c r="K1652" s="60" t="str">
        <f t="shared" si="2"/>
        <v/>
      </c>
    </row>
    <row r="1653">
      <c r="A1653" s="61" t="str">
        <f t="shared" si="1"/>
        <v/>
      </c>
      <c r="B1653" s="73"/>
      <c r="C1653" s="76"/>
      <c r="D1653" s="76" t="str">
        <f>VLOOKUP(B1653,'HEAD OF THE FAMILY'!B1934:J2650,9,FALSE)</f>
        <v>#REF!</v>
      </c>
      <c r="E1653" s="3"/>
      <c r="F1653" s="3"/>
      <c r="G1653" s="7"/>
      <c r="H1653" s="7"/>
      <c r="I1653" s="7"/>
      <c r="J1653" s="60"/>
      <c r="K1653" s="60" t="str">
        <f t="shared" si="2"/>
        <v/>
      </c>
    </row>
    <row r="1654">
      <c r="A1654" s="61" t="str">
        <f t="shared" si="1"/>
        <v/>
      </c>
      <c r="B1654" s="73"/>
      <c r="C1654" s="76"/>
      <c r="D1654" s="76" t="str">
        <f>VLOOKUP(B1654,'HEAD OF THE FAMILY'!B1934:J2651,9,FALSE)</f>
        <v>#REF!</v>
      </c>
      <c r="E1654" s="3"/>
      <c r="F1654" s="3"/>
      <c r="G1654" s="7"/>
      <c r="H1654" s="7"/>
      <c r="I1654" s="7"/>
      <c r="J1654" s="60"/>
      <c r="K1654" s="60" t="str">
        <f t="shared" si="2"/>
        <v/>
      </c>
    </row>
    <row r="1655">
      <c r="A1655" s="61" t="str">
        <f t="shared" si="1"/>
        <v/>
      </c>
      <c r="B1655" s="73"/>
      <c r="C1655" s="76"/>
      <c r="D1655" s="76" t="str">
        <f>VLOOKUP(B1655,'HEAD OF THE FAMILY'!B1934:J2652,9,FALSE)</f>
        <v>#REF!</v>
      </c>
      <c r="E1655" s="3"/>
      <c r="F1655" s="3"/>
      <c r="G1655" s="7"/>
      <c r="H1655" s="7"/>
      <c r="I1655" s="7"/>
      <c r="J1655" s="60"/>
      <c r="K1655" s="60" t="str">
        <f t="shared" si="2"/>
        <v/>
      </c>
    </row>
    <row r="1656">
      <c r="A1656" s="61" t="str">
        <f t="shared" si="1"/>
        <v/>
      </c>
      <c r="B1656" s="73"/>
      <c r="C1656" s="76"/>
      <c r="D1656" s="76" t="str">
        <f>VLOOKUP(B1656,'HEAD OF THE FAMILY'!B1934:J2653,9,FALSE)</f>
        <v>#REF!</v>
      </c>
      <c r="E1656" s="3"/>
      <c r="F1656" s="3"/>
      <c r="G1656" s="7"/>
      <c r="H1656" s="7"/>
      <c r="I1656" s="7"/>
      <c r="J1656" s="60"/>
      <c r="K1656" s="60" t="str">
        <f t="shared" si="2"/>
        <v/>
      </c>
    </row>
    <row r="1657">
      <c r="A1657" s="61" t="str">
        <f t="shared" si="1"/>
        <v/>
      </c>
      <c r="B1657" s="73"/>
      <c r="C1657" s="76"/>
      <c r="D1657" s="76" t="str">
        <f>VLOOKUP(B1657,'HEAD OF THE FAMILY'!B1934:J2654,9,FALSE)</f>
        <v>#REF!</v>
      </c>
      <c r="E1657" s="3"/>
      <c r="F1657" s="3"/>
      <c r="G1657" s="7"/>
      <c r="H1657" s="7"/>
      <c r="I1657" s="7"/>
      <c r="J1657" s="60"/>
      <c r="K1657" s="60" t="str">
        <f t="shared" si="2"/>
        <v/>
      </c>
    </row>
    <row r="1658">
      <c r="A1658" s="61" t="str">
        <f t="shared" si="1"/>
        <v/>
      </c>
      <c r="B1658" s="73"/>
      <c r="C1658" s="76"/>
      <c r="D1658" s="76" t="str">
        <f>VLOOKUP(B1658,'HEAD OF THE FAMILY'!B1934:J2655,9,FALSE)</f>
        <v>#REF!</v>
      </c>
      <c r="E1658" s="3"/>
      <c r="F1658" s="3"/>
      <c r="G1658" s="7"/>
      <c r="H1658" s="7"/>
      <c r="I1658" s="7"/>
      <c r="J1658" s="60"/>
      <c r="K1658" s="60" t="str">
        <f t="shared" si="2"/>
        <v/>
      </c>
    </row>
    <row r="1659">
      <c r="A1659" s="61" t="str">
        <f t="shared" si="1"/>
        <v/>
      </c>
      <c r="B1659" s="73"/>
      <c r="C1659" s="76"/>
      <c r="D1659" s="76" t="str">
        <f>VLOOKUP(B1659,'HEAD OF THE FAMILY'!B1934:J2656,9,FALSE)</f>
        <v>#REF!</v>
      </c>
      <c r="E1659" s="3"/>
      <c r="F1659" s="3"/>
      <c r="G1659" s="7"/>
      <c r="H1659" s="7"/>
      <c r="I1659" s="7"/>
      <c r="J1659" s="60"/>
      <c r="K1659" s="60" t="str">
        <f t="shared" si="2"/>
        <v/>
      </c>
    </row>
    <row r="1660">
      <c r="A1660" s="61" t="str">
        <f t="shared" si="1"/>
        <v/>
      </c>
      <c r="B1660" s="73"/>
      <c r="C1660" s="76"/>
      <c r="D1660" s="76" t="str">
        <f>VLOOKUP(B1660,'HEAD OF THE FAMILY'!B1934:J2657,9,FALSE)</f>
        <v>#REF!</v>
      </c>
      <c r="E1660" s="3"/>
      <c r="F1660" s="3"/>
      <c r="G1660" s="7"/>
      <c r="H1660" s="7"/>
      <c r="I1660" s="7"/>
      <c r="J1660" s="60"/>
      <c r="K1660" s="60" t="str">
        <f t="shared" si="2"/>
        <v/>
      </c>
    </row>
    <row r="1661">
      <c r="A1661" s="61" t="str">
        <f t="shared" si="1"/>
        <v/>
      </c>
      <c r="B1661" s="73"/>
      <c r="C1661" s="76"/>
      <c r="D1661" s="76" t="str">
        <f>VLOOKUP(B1661,'HEAD OF THE FAMILY'!B1934:J2658,9,FALSE)</f>
        <v>#REF!</v>
      </c>
      <c r="E1661" s="3"/>
      <c r="F1661" s="3"/>
      <c r="G1661" s="7"/>
      <c r="H1661" s="7"/>
      <c r="I1661" s="7"/>
      <c r="J1661" s="60"/>
      <c r="K1661" s="60" t="str">
        <f t="shared" si="2"/>
        <v/>
      </c>
    </row>
    <row r="1662">
      <c r="A1662" s="61" t="str">
        <f t="shared" si="1"/>
        <v/>
      </c>
      <c r="B1662" s="73"/>
      <c r="C1662" s="76"/>
      <c r="D1662" s="76" t="str">
        <f>VLOOKUP(B1662,'HEAD OF THE FAMILY'!B1934:J2659,9,FALSE)</f>
        <v>#REF!</v>
      </c>
      <c r="E1662" s="3"/>
      <c r="F1662" s="3"/>
      <c r="G1662" s="7"/>
      <c r="H1662" s="7"/>
      <c r="I1662" s="7"/>
      <c r="J1662" s="60"/>
      <c r="K1662" s="60" t="str">
        <f t="shared" si="2"/>
        <v/>
      </c>
    </row>
    <row r="1663">
      <c r="A1663" s="61" t="str">
        <f t="shared" si="1"/>
        <v/>
      </c>
      <c r="B1663" s="73"/>
      <c r="C1663" s="76"/>
      <c r="D1663" s="76" t="str">
        <f>VLOOKUP(B1663,'HEAD OF THE FAMILY'!B1934:J2660,9,FALSE)</f>
        <v>#REF!</v>
      </c>
      <c r="E1663" s="3"/>
      <c r="F1663" s="3"/>
      <c r="G1663" s="7"/>
      <c r="H1663" s="7"/>
      <c r="I1663" s="7"/>
      <c r="J1663" s="60"/>
      <c r="K1663" s="60" t="str">
        <f t="shared" si="2"/>
        <v/>
      </c>
    </row>
    <row r="1664">
      <c r="A1664" s="61" t="str">
        <f t="shared" si="1"/>
        <v/>
      </c>
      <c r="B1664" s="73"/>
      <c r="C1664" s="76"/>
      <c r="D1664" s="76" t="str">
        <f>VLOOKUP(B1664,'HEAD OF THE FAMILY'!B1934:J2661,9,FALSE)</f>
        <v>#REF!</v>
      </c>
      <c r="E1664" s="3"/>
      <c r="F1664" s="3"/>
      <c r="G1664" s="7"/>
      <c r="H1664" s="7"/>
      <c r="I1664" s="7"/>
      <c r="J1664" s="60"/>
      <c r="K1664" s="60" t="str">
        <f t="shared" si="2"/>
        <v/>
      </c>
    </row>
    <row r="1665">
      <c r="A1665" s="61" t="str">
        <f t="shared" si="1"/>
        <v/>
      </c>
      <c r="B1665" s="73"/>
      <c r="C1665" s="76"/>
      <c r="D1665" s="76" t="str">
        <f>VLOOKUP(B1665,'HEAD OF THE FAMILY'!B1934:J2662,9,FALSE)</f>
        <v>#REF!</v>
      </c>
      <c r="E1665" s="3"/>
      <c r="F1665" s="3"/>
      <c r="G1665" s="7"/>
      <c r="H1665" s="7"/>
      <c r="I1665" s="7"/>
      <c r="J1665" s="60"/>
      <c r="K1665" s="60" t="str">
        <f t="shared" si="2"/>
        <v/>
      </c>
    </row>
    <row r="1666">
      <c r="A1666" s="61" t="str">
        <f t="shared" si="1"/>
        <v/>
      </c>
      <c r="B1666" s="73"/>
      <c r="C1666" s="76"/>
      <c r="D1666" s="76" t="str">
        <f>VLOOKUP(B1666,'HEAD OF THE FAMILY'!B1934:J2663,9,FALSE)</f>
        <v>#REF!</v>
      </c>
      <c r="E1666" s="3"/>
      <c r="F1666" s="3"/>
      <c r="G1666" s="7"/>
      <c r="H1666" s="7"/>
      <c r="I1666" s="7"/>
      <c r="J1666" s="60"/>
      <c r="K1666" s="60" t="str">
        <f t="shared" si="2"/>
        <v/>
      </c>
    </row>
    <row r="1667">
      <c r="A1667" s="61" t="str">
        <f t="shared" si="1"/>
        <v/>
      </c>
      <c r="B1667" s="73"/>
      <c r="C1667" s="76"/>
      <c r="D1667" s="76" t="str">
        <f>VLOOKUP(B1667,'HEAD OF THE FAMILY'!B1934:J2664,9,FALSE)</f>
        <v>#REF!</v>
      </c>
      <c r="E1667" s="3"/>
      <c r="F1667" s="3"/>
      <c r="G1667" s="7"/>
      <c r="H1667" s="7"/>
      <c r="I1667" s="7"/>
      <c r="J1667" s="60"/>
      <c r="K1667" s="60" t="str">
        <f t="shared" si="2"/>
        <v/>
      </c>
    </row>
    <row r="1668">
      <c r="A1668" s="61" t="str">
        <f t="shared" si="1"/>
        <v/>
      </c>
      <c r="B1668" s="73"/>
      <c r="C1668" s="76"/>
      <c r="D1668" s="76" t="str">
        <f>VLOOKUP(B1668,'HEAD OF THE FAMILY'!B1934:J2665,9,FALSE)</f>
        <v>#REF!</v>
      </c>
      <c r="E1668" s="3"/>
      <c r="F1668" s="3"/>
      <c r="G1668" s="7"/>
      <c r="H1668" s="7"/>
      <c r="I1668" s="7"/>
      <c r="J1668" s="60"/>
      <c r="K1668" s="60" t="str">
        <f t="shared" si="2"/>
        <v/>
      </c>
    </row>
    <row r="1669">
      <c r="A1669" s="61" t="str">
        <f t="shared" si="1"/>
        <v/>
      </c>
      <c r="B1669" s="73"/>
      <c r="C1669" s="76"/>
      <c r="D1669" s="76" t="str">
        <f>VLOOKUP(B1669,'HEAD OF THE FAMILY'!B1934:J2666,9,FALSE)</f>
        <v>#REF!</v>
      </c>
      <c r="E1669" s="3"/>
      <c r="F1669" s="3"/>
      <c r="G1669" s="7"/>
      <c r="H1669" s="7"/>
      <c r="I1669" s="7"/>
      <c r="J1669" s="60"/>
      <c r="K1669" s="60" t="str">
        <f t="shared" si="2"/>
        <v/>
      </c>
    </row>
    <row r="1670">
      <c r="A1670" s="61" t="str">
        <f t="shared" si="1"/>
        <v/>
      </c>
      <c r="B1670" s="73"/>
      <c r="C1670" s="76"/>
      <c r="D1670" s="76" t="str">
        <f>VLOOKUP(B1670,'HEAD OF THE FAMILY'!B1934:J2667,9,FALSE)</f>
        <v>#REF!</v>
      </c>
      <c r="E1670" s="3"/>
      <c r="F1670" s="3"/>
      <c r="G1670" s="7"/>
      <c r="H1670" s="7"/>
      <c r="I1670" s="7"/>
      <c r="J1670" s="60"/>
      <c r="K1670" s="60" t="str">
        <f t="shared" si="2"/>
        <v/>
      </c>
    </row>
    <row r="1671">
      <c r="A1671" s="61" t="str">
        <f t="shared" si="1"/>
        <v/>
      </c>
      <c r="B1671" s="73"/>
      <c r="C1671" s="76"/>
      <c r="D1671" s="76" t="str">
        <f>VLOOKUP(B1671,'HEAD OF THE FAMILY'!B1934:J2668,9,FALSE)</f>
        <v>#REF!</v>
      </c>
      <c r="E1671" s="3"/>
      <c r="F1671" s="3"/>
      <c r="G1671" s="7"/>
      <c r="H1671" s="7"/>
      <c r="I1671" s="7"/>
      <c r="J1671" s="60"/>
      <c r="K1671" s="60" t="str">
        <f t="shared" si="2"/>
        <v/>
      </c>
    </row>
    <row r="1672">
      <c r="A1672" s="61" t="str">
        <f t="shared" si="1"/>
        <v/>
      </c>
      <c r="B1672" s="73"/>
      <c r="C1672" s="76"/>
      <c r="D1672" s="76" t="str">
        <f>VLOOKUP(B1672,'HEAD OF THE FAMILY'!B1934:J2669,9,FALSE)</f>
        <v>#REF!</v>
      </c>
      <c r="E1672" s="3"/>
      <c r="F1672" s="3"/>
      <c r="G1672" s="7"/>
      <c r="H1672" s="7"/>
      <c r="I1672" s="7"/>
      <c r="J1672" s="60"/>
      <c r="K1672" s="60" t="str">
        <f t="shared" si="2"/>
        <v/>
      </c>
    </row>
    <row r="1673">
      <c r="A1673" s="61" t="str">
        <f t="shared" si="1"/>
        <v/>
      </c>
      <c r="B1673" s="73"/>
      <c r="C1673" s="76"/>
      <c r="D1673" s="76" t="str">
        <f>VLOOKUP(B1673,'HEAD OF THE FAMILY'!B1934:J2670,9,FALSE)</f>
        <v>#REF!</v>
      </c>
      <c r="E1673" s="3"/>
      <c r="F1673" s="3"/>
      <c r="G1673" s="7"/>
      <c r="H1673" s="7"/>
      <c r="I1673" s="7"/>
      <c r="J1673" s="60"/>
      <c r="K1673" s="60" t="str">
        <f t="shared" si="2"/>
        <v/>
      </c>
    </row>
    <row r="1674">
      <c r="A1674" s="61" t="str">
        <f t="shared" si="1"/>
        <v/>
      </c>
      <c r="B1674" s="73"/>
      <c r="C1674" s="76"/>
      <c r="D1674" s="76" t="str">
        <f>VLOOKUP(B1674,'HEAD OF THE FAMILY'!B1934:J2671,9,FALSE)</f>
        <v>#REF!</v>
      </c>
      <c r="E1674" s="3"/>
      <c r="F1674" s="3"/>
      <c r="G1674" s="7"/>
      <c r="H1674" s="7"/>
      <c r="I1674" s="7"/>
      <c r="J1674" s="60"/>
      <c r="K1674" s="60" t="str">
        <f t="shared" si="2"/>
        <v/>
      </c>
    </row>
    <row r="1675">
      <c r="A1675" s="61" t="str">
        <f t="shared" si="1"/>
        <v/>
      </c>
      <c r="B1675" s="73"/>
      <c r="C1675" s="76"/>
      <c r="D1675" s="76" t="str">
        <f>VLOOKUP(B1675,'HEAD OF THE FAMILY'!B1934:J2672,9,FALSE)</f>
        <v>#REF!</v>
      </c>
      <c r="E1675" s="3"/>
      <c r="F1675" s="3"/>
      <c r="G1675" s="7"/>
      <c r="H1675" s="7"/>
      <c r="I1675" s="7"/>
      <c r="J1675" s="60"/>
      <c r="K1675" s="60" t="str">
        <f t="shared" si="2"/>
        <v/>
      </c>
    </row>
    <row r="1676">
      <c r="A1676" s="61" t="str">
        <f t="shared" si="1"/>
        <v/>
      </c>
      <c r="B1676" s="73"/>
      <c r="C1676" s="76"/>
      <c r="D1676" s="76" t="str">
        <f>VLOOKUP(B1676,'HEAD OF THE FAMILY'!B1934:J2673,9,FALSE)</f>
        <v>#REF!</v>
      </c>
      <c r="E1676" s="3"/>
      <c r="F1676" s="3"/>
      <c r="G1676" s="7"/>
      <c r="H1676" s="7"/>
      <c r="I1676" s="7"/>
      <c r="J1676" s="60"/>
      <c r="K1676" s="60" t="str">
        <f t="shared" si="2"/>
        <v/>
      </c>
    </row>
    <row r="1677">
      <c r="A1677" s="61" t="str">
        <f t="shared" si="1"/>
        <v/>
      </c>
      <c r="B1677" s="73"/>
      <c r="C1677" s="76"/>
      <c r="D1677" s="76" t="str">
        <f>VLOOKUP(B1677,'HEAD OF THE FAMILY'!B1934:J2674,9,FALSE)</f>
        <v>#REF!</v>
      </c>
      <c r="E1677" s="3"/>
      <c r="F1677" s="3"/>
      <c r="G1677" s="7"/>
      <c r="H1677" s="7"/>
      <c r="I1677" s="7"/>
      <c r="J1677" s="60"/>
      <c r="K1677" s="60" t="str">
        <f t="shared" si="2"/>
        <v/>
      </c>
    </row>
    <row r="1678">
      <c r="A1678" s="61" t="str">
        <f t="shared" si="1"/>
        <v/>
      </c>
      <c r="B1678" s="73"/>
      <c r="C1678" s="76"/>
      <c r="D1678" s="76" t="str">
        <f>VLOOKUP(B1678,'HEAD OF THE FAMILY'!B1934:J2675,9,FALSE)</f>
        <v>#REF!</v>
      </c>
      <c r="E1678" s="3"/>
      <c r="F1678" s="3"/>
      <c r="G1678" s="7"/>
      <c r="H1678" s="7"/>
      <c r="I1678" s="7"/>
      <c r="J1678" s="60"/>
      <c r="K1678" s="60" t="str">
        <f t="shared" si="2"/>
        <v/>
      </c>
    </row>
    <row r="1679">
      <c r="A1679" s="61" t="str">
        <f t="shared" si="1"/>
        <v/>
      </c>
      <c r="B1679" s="73"/>
      <c r="C1679" s="76"/>
      <c r="D1679" s="76" t="str">
        <f>VLOOKUP(B1679,'HEAD OF THE FAMILY'!B1934:J2676,9,FALSE)</f>
        <v>#REF!</v>
      </c>
      <c r="E1679" s="3"/>
      <c r="F1679" s="3"/>
      <c r="G1679" s="7"/>
      <c r="H1679" s="7"/>
      <c r="I1679" s="7"/>
      <c r="J1679" s="60"/>
      <c r="K1679" s="60" t="str">
        <f t="shared" si="2"/>
        <v/>
      </c>
    </row>
    <row r="1680">
      <c r="A1680" s="61" t="str">
        <f t="shared" si="1"/>
        <v/>
      </c>
      <c r="B1680" s="73"/>
      <c r="C1680" s="76"/>
      <c r="D1680" s="76" t="str">
        <f>VLOOKUP(B1680,'HEAD OF THE FAMILY'!B1934:J2677,9,FALSE)</f>
        <v>#REF!</v>
      </c>
      <c r="E1680" s="3"/>
      <c r="F1680" s="3"/>
      <c r="G1680" s="7"/>
      <c r="H1680" s="7"/>
      <c r="I1680" s="7"/>
      <c r="J1680" s="60"/>
      <c r="K1680" s="60" t="str">
        <f t="shared" si="2"/>
        <v/>
      </c>
    </row>
    <row r="1681">
      <c r="A1681" s="61" t="str">
        <f t="shared" si="1"/>
        <v/>
      </c>
      <c r="B1681" s="73"/>
      <c r="C1681" s="76"/>
      <c r="D1681" s="76" t="str">
        <f>VLOOKUP(B1681,'HEAD OF THE FAMILY'!B1934:J2678,9,FALSE)</f>
        <v>#REF!</v>
      </c>
      <c r="E1681" s="3"/>
      <c r="F1681" s="3"/>
      <c r="G1681" s="7"/>
      <c r="H1681" s="7"/>
      <c r="I1681" s="7"/>
      <c r="J1681" s="60"/>
      <c r="K1681" s="60" t="str">
        <f t="shared" si="2"/>
        <v/>
      </c>
    </row>
    <row r="1682">
      <c r="A1682" s="61" t="str">
        <f t="shared" si="1"/>
        <v/>
      </c>
      <c r="B1682" s="73"/>
      <c r="C1682" s="76"/>
      <c r="D1682" s="76" t="str">
        <f>VLOOKUP(B1682,'HEAD OF THE FAMILY'!B1934:J2679,9,FALSE)</f>
        <v>#REF!</v>
      </c>
      <c r="E1682" s="3"/>
      <c r="F1682" s="3"/>
      <c r="G1682" s="7"/>
      <c r="H1682" s="7"/>
      <c r="I1682" s="7"/>
      <c r="J1682" s="60"/>
      <c r="K1682" s="60" t="str">
        <f t="shared" si="2"/>
        <v/>
      </c>
    </row>
    <row r="1683">
      <c r="A1683" s="61" t="str">
        <f t="shared" si="1"/>
        <v/>
      </c>
      <c r="B1683" s="73"/>
      <c r="C1683" s="76"/>
      <c r="D1683" s="76" t="str">
        <f>VLOOKUP(B1683,'HEAD OF THE FAMILY'!B1934:J2680,9,FALSE)</f>
        <v>#REF!</v>
      </c>
      <c r="E1683" s="3"/>
      <c r="F1683" s="3"/>
      <c r="G1683" s="7"/>
      <c r="H1683" s="7"/>
      <c r="I1683" s="7"/>
      <c r="J1683" s="60"/>
      <c r="K1683" s="60" t="str">
        <f t="shared" si="2"/>
        <v/>
      </c>
    </row>
    <row r="1684">
      <c r="A1684" s="61" t="str">
        <f t="shared" si="1"/>
        <v/>
      </c>
      <c r="B1684" s="73"/>
      <c r="C1684" s="76"/>
      <c r="D1684" s="76" t="str">
        <f>VLOOKUP(B1684,'HEAD OF THE FAMILY'!B1934:J2681,9,FALSE)</f>
        <v>#REF!</v>
      </c>
      <c r="E1684" s="3"/>
      <c r="F1684" s="3"/>
      <c r="G1684" s="7"/>
      <c r="H1684" s="7"/>
      <c r="I1684" s="7"/>
      <c r="J1684" s="60"/>
      <c r="K1684" s="60" t="str">
        <f t="shared" si="2"/>
        <v/>
      </c>
    </row>
    <row r="1685">
      <c r="A1685" s="61" t="str">
        <f t="shared" si="1"/>
        <v/>
      </c>
      <c r="B1685" s="73"/>
      <c r="C1685" s="76"/>
      <c r="D1685" s="76" t="str">
        <f>VLOOKUP(B1685,'HEAD OF THE FAMILY'!B1934:J2682,9,FALSE)</f>
        <v>#REF!</v>
      </c>
      <c r="E1685" s="3"/>
      <c r="F1685" s="3"/>
      <c r="G1685" s="7"/>
      <c r="H1685" s="7"/>
      <c r="I1685" s="7"/>
      <c r="J1685" s="60"/>
      <c r="K1685" s="60" t="str">
        <f t="shared" si="2"/>
        <v/>
      </c>
    </row>
    <row r="1686">
      <c r="A1686" s="61" t="str">
        <f t="shared" si="1"/>
        <v/>
      </c>
      <c r="B1686" s="73"/>
      <c r="C1686" s="76"/>
      <c r="D1686" s="76" t="str">
        <f>VLOOKUP(B1686,'HEAD OF THE FAMILY'!B1934:J2683,9,FALSE)</f>
        <v>#REF!</v>
      </c>
      <c r="E1686" s="3"/>
      <c r="F1686" s="3"/>
      <c r="G1686" s="7"/>
      <c r="H1686" s="7"/>
      <c r="I1686" s="7"/>
      <c r="J1686" s="60"/>
      <c r="K1686" s="60" t="str">
        <f t="shared" si="2"/>
        <v/>
      </c>
    </row>
    <row r="1687">
      <c r="A1687" s="61" t="str">
        <f t="shared" si="1"/>
        <v/>
      </c>
      <c r="B1687" s="73"/>
      <c r="C1687" s="76"/>
      <c r="D1687" s="76" t="str">
        <f>VLOOKUP(B1687,'HEAD OF THE FAMILY'!B1934:J2684,9,FALSE)</f>
        <v>#REF!</v>
      </c>
      <c r="E1687" s="3"/>
      <c r="F1687" s="3"/>
      <c r="G1687" s="7"/>
      <c r="H1687" s="7"/>
      <c r="I1687" s="7"/>
      <c r="J1687" s="60"/>
      <c r="K1687" s="60" t="str">
        <f t="shared" si="2"/>
        <v/>
      </c>
    </row>
    <row r="1688">
      <c r="A1688" s="61" t="str">
        <f t="shared" si="1"/>
        <v/>
      </c>
      <c r="B1688" s="73"/>
      <c r="C1688" s="76"/>
      <c r="D1688" s="76" t="str">
        <f>VLOOKUP(B1688,'HEAD OF THE FAMILY'!B1934:J2685,9,FALSE)</f>
        <v>#REF!</v>
      </c>
      <c r="E1688" s="3"/>
      <c r="F1688" s="3"/>
      <c r="G1688" s="7"/>
      <c r="H1688" s="7"/>
      <c r="I1688" s="7"/>
      <c r="J1688" s="60"/>
      <c r="K1688" s="60" t="str">
        <f t="shared" si="2"/>
        <v/>
      </c>
    </row>
    <row r="1689">
      <c r="A1689" s="61" t="str">
        <f t="shared" si="1"/>
        <v/>
      </c>
      <c r="B1689" s="73"/>
      <c r="C1689" s="76"/>
      <c r="D1689" s="76" t="str">
        <f>VLOOKUP(B1689,'HEAD OF THE FAMILY'!B1934:J2686,9,FALSE)</f>
        <v>#REF!</v>
      </c>
      <c r="E1689" s="3"/>
      <c r="F1689" s="3"/>
      <c r="G1689" s="7"/>
      <c r="H1689" s="7"/>
      <c r="I1689" s="7"/>
      <c r="J1689" s="60"/>
      <c r="K1689" s="60" t="str">
        <f t="shared" si="2"/>
        <v/>
      </c>
    </row>
    <row r="1690">
      <c r="A1690" s="61" t="str">
        <f t="shared" si="1"/>
        <v/>
      </c>
      <c r="B1690" s="73"/>
      <c r="C1690" s="76"/>
      <c r="D1690" s="76" t="str">
        <f>VLOOKUP(B1690,'HEAD OF THE FAMILY'!B1934:J2687,9,FALSE)</f>
        <v>#REF!</v>
      </c>
      <c r="E1690" s="3"/>
      <c r="F1690" s="3"/>
      <c r="G1690" s="7"/>
      <c r="H1690" s="7"/>
      <c r="I1690" s="7"/>
      <c r="J1690" s="60"/>
      <c r="K1690" s="60" t="str">
        <f t="shared" si="2"/>
        <v/>
      </c>
    </row>
    <row r="1691">
      <c r="A1691" s="61" t="str">
        <f t="shared" si="1"/>
        <v/>
      </c>
      <c r="B1691" s="73"/>
      <c r="C1691" s="76"/>
      <c r="D1691" s="76" t="str">
        <f>VLOOKUP(B1691,'HEAD OF THE FAMILY'!B1934:J2688,9,FALSE)</f>
        <v>#REF!</v>
      </c>
      <c r="E1691" s="3"/>
      <c r="F1691" s="3"/>
      <c r="G1691" s="7"/>
      <c r="H1691" s="7"/>
      <c r="I1691" s="7"/>
      <c r="J1691" s="60"/>
      <c r="K1691" s="60" t="str">
        <f t="shared" si="2"/>
        <v/>
      </c>
    </row>
    <row r="1692">
      <c r="A1692" s="61" t="str">
        <f t="shared" si="1"/>
        <v/>
      </c>
      <c r="B1692" s="73"/>
      <c r="C1692" s="76"/>
      <c r="D1692" s="76" t="str">
        <f>VLOOKUP(B1692,'HEAD OF THE FAMILY'!B1934:J2689,9,FALSE)</f>
        <v>#REF!</v>
      </c>
      <c r="E1692" s="3"/>
      <c r="F1692" s="3"/>
      <c r="G1692" s="7"/>
      <c r="H1692" s="7"/>
      <c r="I1692" s="7"/>
      <c r="J1692" s="60"/>
      <c r="K1692" s="60" t="str">
        <f t="shared" si="2"/>
        <v/>
      </c>
    </row>
    <row r="1693">
      <c r="A1693" s="61" t="str">
        <f t="shared" si="1"/>
        <v/>
      </c>
      <c r="B1693" s="73"/>
      <c r="C1693" s="76"/>
      <c r="D1693" s="76" t="str">
        <f>VLOOKUP(B1693,'HEAD OF THE FAMILY'!B1934:J2690,9,FALSE)</f>
        <v>#REF!</v>
      </c>
      <c r="E1693" s="3"/>
      <c r="F1693" s="3"/>
      <c r="G1693" s="7"/>
      <c r="H1693" s="7"/>
      <c r="I1693" s="7"/>
      <c r="J1693" s="60"/>
      <c r="K1693" s="60" t="str">
        <f t="shared" si="2"/>
        <v/>
      </c>
    </row>
    <row r="1694">
      <c r="A1694" s="61" t="str">
        <f t="shared" si="1"/>
        <v/>
      </c>
      <c r="B1694" s="73"/>
      <c r="C1694" s="76"/>
      <c r="D1694" s="76" t="str">
        <f>VLOOKUP(B1694,'HEAD OF THE FAMILY'!B1934:J2691,9,FALSE)</f>
        <v>#REF!</v>
      </c>
      <c r="E1694" s="3"/>
      <c r="F1694" s="3"/>
      <c r="G1694" s="7"/>
      <c r="H1694" s="7"/>
      <c r="I1694" s="7"/>
      <c r="J1694" s="60"/>
      <c r="K1694" s="60" t="str">
        <f t="shared" si="2"/>
        <v/>
      </c>
    </row>
    <row r="1695">
      <c r="A1695" s="61" t="str">
        <f t="shared" si="1"/>
        <v/>
      </c>
      <c r="B1695" s="73"/>
      <c r="C1695" s="76"/>
      <c r="D1695" s="76" t="str">
        <f>VLOOKUP(B1695,'HEAD OF THE FAMILY'!B1934:J2692,9,FALSE)</f>
        <v>#REF!</v>
      </c>
      <c r="E1695" s="3"/>
      <c r="F1695" s="3"/>
      <c r="G1695" s="7"/>
      <c r="H1695" s="7"/>
      <c r="I1695" s="7"/>
      <c r="J1695" s="60"/>
      <c r="K1695" s="60" t="str">
        <f t="shared" si="2"/>
        <v/>
      </c>
    </row>
    <row r="1696">
      <c r="A1696" s="61" t="str">
        <f t="shared" si="1"/>
        <v/>
      </c>
      <c r="B1696" s="73"/>
      <c r="C1696" s="76"/>
      <c r="D1696" s="76" t="str">
        <f>VLOOKUP(B1696,'HEAD OF THE FAMILY'!B1934:J2693,9,FALSE)</f>
        <v>#REF!</v>
      </c>
      <c r="E1696" s="3"/>
      <c r="F1696" s="3"/>
      <c r="G1696" s="7"/>
      <c r="H1696" s="7"/>
      <c r="I1696" s="7"/>
      <c r="J1696" s="60"/>
      <c r="K1696" s="60" t="str">
        <f t="shared" si="2"/>
        <v/>
      </c>
    </row>
    <row r="1697">
      <c r="A1697" s="61" t="str">
        <f t="shared" si="1"/>
        <v/>
      </c>
      <c r="B1697" s="73"/>
      <c r="C1697" s="76"/>
      <c r="D1697" s="76" t="str">
        <f>VLOOKUP(B1697,'HEAD OF THE FAMILY'!B1934:J2694,9,FALSE)</f>
        <v>#REF!</v>
      </c>
      <c r="E1697" s="3"/>
      <c r="F1697" s="3"/>
      <c r="G1697" s="7"/>
      <c r="H1697" s="7"/>
      <c r="I1697" s="7"/>
      <c r="J1697" s="60"/>
      <c r="K1697" s="60" t="str">
        <f t="shared" si="2"/>
        <v/>
      </c>
    </row>
    <row r="1698">
      <c r="A1698" s="61" t="str">
        <f t="shared" si="1"/>
        <v/>
      </c>
      <c r="B1698" s="73"/>
      <c r="C1698" s="76"/>
      <c r="D1698" s="76" t="str">
        <f>VLOOKUP(B1698,'HEAD OF THE FAMILY'!B1934:J2695,9,FALSE)</f>
        <v>#REF!</v>
      </c>
      <c r="E1698" s="3"/>
      <c r="F1698" s="3"/>
      <c r="G1698" s="7"/>
      <c r="H1698" s="7"/>
      <c r="I1698" s="7"/>
      <c r="J1698" s="60"/>
      <c r="K1698" s="60" t="str">
        <f t="shared" si="2"/>
        <v/>
      </c>
    </row>
    <row r="1699">
      <c r="A1699" s="61" t="str">
        <f t="shared" si="1"/>
        <v/>
      </c>
      <c r="B1699" s="73"/>
      <c r="C1699" s="76"/>
      <c r="D1699" s="76" t="str">
        <f>VLOOKUP(B1699,'HEAD OF THE FAMILY'!B1934:J2696,9,FALSE)</f>
        <v>#REF!</v>
      </c>
      <c r="E1699" s="3"/>
      <c r="F1699" s="3"/>
      <c r="G1699" s="7"/>
      <c r="H1699" s="7"/>
      <c r="I1699" s="7"/>
      <c r="J1699" s="60"/>
      <c r="K1699" s="60" t="str">
        <f t="shared" si="2"/>
        <v/>
      </c>
    </row>
    <row r="1700">
      <c r="A1700" s="61" t="str">
        <f t="shared" si="1"/>
        <v/>
      </c>
      <c r="B1700" s="73"/>
      <c r="C1700" s="76"/>
      <c r="D1700" s="76" t="str">
        <f>VLOOKUP(B1700,'HEAD OF THE FAMILY'!B1934:J2697,9,FALSE)</f>
        <v>#REF!</v>
      </c>
      <c r="E1700" s="3"/>
      <c r="F1700" s="3"/>
      <c r="G1700" s="7"/>
      <c r="H1700" s="7"/>
      <c r="I1700" s="7"/>
      <c r="J1700" s="60"/>
      <c r="K1700" s="60" t="str">
        <f t="shared" si="2"/>
        <v/>
      </c>
    </row>
    <row r="1701">
      <c r="A1701" s="61" t="str">
        <f t="shared" si="1"/>
        <v/>
      </c>
      <c r="B1701" s="73"/>
      <c r="C1701" s="76"/>
      <c r="D1701" s="76" t="str">
        <f>VLOOKUP(B1701,'HEAD OF THE FAMILY'!B1934:J2698,9,FALSE)</f>
        <v>#REF!</v>
      </c>
      <c r="E1701" s="3"/>
      <c r="F1701" s="3"/>
      <c r="G1701" s="7"/>
      <c r="H1701" s="7"/>
      <c r="I1701" s="7"/>
      <c r="J1701" s="60"/>
      <c r="K1701" s="60" t="str">
        <f t="shared" si="2"/>
        <v/>
      </c>
    </row>
    <row r="1702">
      <c r="A1702" s="61" t="str">
        <f t="shared" si="1"/>
        <v/>
      </c>
      <c r="B1702" s="73"/>
      <c r="C1702" s="76"/>
      <c r="D1702" s="76" t="str">
        <f>VLOOKUP(B1702,'HEAD OF THE FAMILY'!B1934:J2699,9,FALSE)</f>
        <v>#REF!</v>
      </c>
      <c r="E1702" s="3"/>
      <c r="F1702" s="3"/>
      <c r="G1702" s="7"/>
      <c r="H1702" s="7"/>
      <c r="I1702" s="7"/>
      <c r="J1702" s="60"/>
      <c r="K1702" s="60" t="str">
        <f t="shared" si="2"/>
        <v/>
      </c>
    </row>
    <row r="1703">
      <c r="A1703" s="61" t="str">
        <f t="shared" si="1"/>
        <v/>
      </c>
      <c r="B1703" s="73"/>
      <c r="C1703" s="76"/>
      <c r="D1703" s="76" t="str">
        <f>VLOOKUP(B1703,'HEAD OF THE FAMILY'!B1934:J2700,9,FALSE)</f>
        <v>#REF!</v>
      </c>
      <c r="E1703" s="3"/>
      <c r="F1703" s="3"/>
      <c r="G1703" s="7"/>
      <c r="H1703" s="7"/>
      <c r="I1703" s="7"/>
      <c r="J1703" s="60"/>
      <c r="K1703" s="60" t="str">
        <f t="shared" si="2"/>
        <v/>
      </c>
    </row>
    <row r="1704">
      <c r="A1704" s="61" t="str">
        <f t="shared" si="1"/>
        <v/>
      </c>
      <c r="B1704" s="73"/>
      <c r="C1704" s="76"/>
      <c r="D1704" s="76" t="str">
        <f>VLOOKUP(B1704,'HEAD OF THE FAMILY'!B1934:J2701,9,FALSE)</f>
        <v>#REF!</v>
      </c>
      <c r="E1704" s="3"/>
      <c r="F1704" s="3"/>
      <c r="G1704" s="7"/>
      <c r="H1704" s="7"/>
      <c r="I1704" s="7"/>
      <c r="J1704" s="60"/>
      <c r="K1704" s="60" t="str">
        <f t="shared" si="2"/>
        <v/>
      </c>
    </row>
    <row r="1705">
      <c r="A1705" s="61" t="str">
        <f t="shared" si="1"/>
        <v/>
      </c>
      <c r="B1705" s="73"/>
      <c r="C1705" s="76"/>
      <c r="D1705" s="76" t="str">
        <f>VLOOKUP(B1705,'HEAD OF THE FAMILY'!B1934:J2702,9,FALSE)</f>
        <v>#REF!</v>
      </c>
      <c r="E1705" s="3"/>
      <c r="F1705" s="3"/>
      <c r="G1705" s="7"/>
      <c r="H1705" s="7"/>
      <c r="I1705" s="7"/>
      <c r="J1705" s="60"/>
      <c r="K1705" s="60" t="str">
        <f t="shared" si="2"/>
        <v/>
      </c>
    </row>
    <row r="1706">
      <c r="A1706" s="61" t="str">
        <f t="shared" si="1"/>
        <v/>
      </c>
      <c r="B1706" s="73"/>
      <c r="C1706" s="76"/>
      <c r="D1706" s="76" t="str">
        <f>VLOOKUP(B1706,'HEAD OF THE FAMILY'!B1934:J2703,9,FALSE)</f>
        <v>#REF!</v>
      </c>
      <c r="E1706" s="3"/>
      <c r="F1706" s="3"/>
      <c r="G1706" s="7"/>
      <c r="H1706" s="7"/>
      <c r="I1706" s="7"/>
      <c r="J1706" s="60"/>
      <c r="K1706" s="60" t="str">
        <f t="shared" si="2"/>
        <v/>
      </c>
    </row>
    <row r="1707">
      <c r="A1707" s="61" t="str">
        <f t="shared" si="1"/>
        <v/>
      </c>
      <c r="B1707" s="73"/>
      <c r="C1707" s="76"/>
      <c r="D1707" s="76" t="str">
        <f>VLOOKUP(B1707,'HEAD OF THE FAMILY'!B1934:J2704,9,FALSE)</f>
        <v>#REF!</v>
      </c>
      <c r="E1707" s="3"/>
      <c r="F1707" s="3"/>
      <c r="G1707" s="7"/>
      <c r="H1707" s="7"/>
      <c r="I1707" s="7"/>
      <c r="J1707" s="60"/>
      <c r="K1707" s="60" t="str">
        <f t="shared" si="2"/>
        <v/>
      </c>
    </row>
    <row r="1708">
      <c r="A1708" s="61" t="str">
        <f t="shared" si="1"/>
        <v/>
      </c>
      <c r="B1708" s="73"/>
      <c r="C1708" s="76"/>
      <c r="D1708" s="76" t="str">
        <f>VLOOKUP(B1708,'HEAD OF THE FAMILY'!B1934:J2705,9,FALSE)</f>
        <v>#REF!</v>
      </c>
      <c r="E1708" s="3"/>
      <c r="F1708" s="3"/>
      <c r="G1708" s="7"/>
      <c r="H1708" s="7"/>
      <c r="I1708" s="7"/>
      <c r="J1708" s="60"/>
      <c r="K1708" s="60" t="str">
        <f t="shared" si="2"/>
        <v/>
      </c>
    </row>
    <row r="1709">
      <c r="A1709" s="61" t="str">
        <f t="shared" si="1"/>
        <v/>
      </c>
      <c r="B1709" s="73"/>
      <c r="C1709" s="76"/>
      <c r="D1709" s="76" t="str">
        <f>VLOOKUP(B1709,'HEAD OF THE FAMILY'!B1934:J2706,9,FALSE)</f>
        <v>#REF!</v>
      </c>
      <c r="E1709" s="3"/>
      <c r="F1709" s="3"/>
      <c r="G1709" s="7"/>
      <c r="H1709" s="7"/>
      <c r="I1709" s="7"/>
      <c r="J1709" s="60"/>
      <c r="K1709" s="60" t="str">
        <f t="shared" si="2"/>
        <v/>
      </c>
    </row>
    <row r="1710">
      <c r="A1710" s="61" t="str">
        <f t="shared" si="1"/>
        <v/>
      </c>
      <c r="B1710" s="73"/>
      <c r="C1710" s="76"/>
      <c r="D1710" s="76" t="str">
        <f>VLOOKUP(B1710,'HEAD OF THE FAMILY'!B1934:J2707,9,FALSE)</f>
        <v>#REF!</v>
      </c>
      <c r="E1710" s="3"/>
      <c r="F1710" s="3"/>
      <c r="G1710" s="7"/>
      <c r="H1710" s="7"/>
      <c r="I1710" s="7"/>
      <c r="J1710" s="60"/>
      <c r="K1710" s="60" t="str">
        <f t="shared" si="2"/>
        <v/>
      </c>
    </row>
    <row r="1711">
      <c r="A1711" s="61" t="str">
        <f t="shared" si="1"/>
        <v/>
      </c>
      <c r="B1711" s="73"/>
      <c r="C1711" s="76"/>
      <c r="D1711" s="76" t="str">
        <f>VLOOKUP(B1711,'HEAD OF THE FAMILY'!B1934:J2708,9,FALSE)</f>
        <v>#REF!</v>
      </c>
      <c r="E1711" s="3"/>
      <c r="F1711" s="3"/>
      <c r="G1711" s="7"/>
      <c r="H1711" s="7"/>
      <c r="I1711" s="7"/>
      <c r="J1711" s="60"/>
      <c r="K1711" s="60" t="str">
        <f t="shared" si="2"/>
        <v/>
      </c>
    </row>
    <row r="1712">
      <c r="A1712" s="61" t="str">
        <f t="shared" si="1"/>
        <v/>
      </c>
      <c r="B1712" s="73"/>
      <c r="C1712" s="76"/>
      <c r="D1712" s="76" t="str">
        <f>VLOOKUP(B1712,'HEAD OF THE FAMILY'!B1934:J2709,9,FALSE)</f>
        <v>#REF!</v>
      </c>
      <c r="E1712" s="3"/>
      <c r="F1712" s="3"/>
      <c r="G1712" s="7"/>
      <c r="H1712" s="7"/>
      <c r="I1712" s="7"/>
      <c r="J1712" s="60"/>
      <c r="K1712" s="60" t="str">
        <f t="shared" si="2"/>
        <v/>
      </c>
    </row>
    <row r="1713">
      <c r="A1713" s="61" t="str">
        <f t="shared" si="1"/>
        <v/>
      </c>
      <c r="B1713" s="73"/>
      <c r="C1713" s="76"/>
      <c r="D1713" s="76" t="str">
        <f>VLOOKUP(B1713,'HEAD OF THE FAMILY'!B1934:J2710,9,FALSE)</f>
        <v>#REF!</v>
      </c>
      <c r="E1713" s="3"/>
      <c r="F1713" s="3"/>
      <c r="G1713" s="7"/>
      <c r="H1713" s="7"/>
      <c r="I1713" s="7"/>
      <c r="J1713" s="60"/>
      <c r="K1713" s="60" t="str">
        <f t="shared" si="2"/>
        <v/>
      </c>
    </row>
    <row r="1714">
      <c r="A1714" s="61" t="str">
        <f t="shared" si="1"/>
        <v/>
      </c>
      <c r="B1714" s="73"/>
      <c r="C1714" s="76"/>
      <c r="D1714" s="76" t="str">
        <f>VLOOKUP(B1714,'HEAD OF THE FAMILY'!B1934:J2711,9,FALSE)</f>
        <v>#REF!</v>
      </c>
      <c r="E1714" s="3"/>
      <c r="F1714" s="3"/>
      <c r="G1714" s="7"/>
      <c r="H1714" s="7"/>
      <c r="I1714" s="7"/>
      <c r="J1714" s="60"/>
      <c r="K1714" s="60" t="str">
        <f t="shared" si="2"/>
        <v/>
      </c>
    </row>
    <row r="1715">
      <c r="A1715" s="61" t="str">
        <f t="shared" si="1"/>
        <v/>
      </c>
      <c r="B1715" s="73"/>
      <c r="C1715" s="76"/>
      <c r="D1715" s="76" t="str">
        <f>VLOOKUP(B1715,'HEAD OF THE FAMILY'!B1934:J2712,9,FALSE)</f>
        <v>#REF!</v>
      </c>
      <c r="E1715" s="3"/>
      <c r="F1715" s="3"/>
      <c r="G1715" s="7"/>
      <c r="H1715" s="7"/>
      <c r="I1715" s="7"/>
      <c r="J1715" s="60"/>
      <c r="K1715" s="60" t="str">
        <f t="shared" si="2"/>
        <v/>
      </c>
    </row>
    <row r="1716">
      <c r="A1716" s="61" t="str">
        <f t="shared" si="1"/>
        <v/>
      </c>
      <c r="B1716" s="73"/>
      <c r="C1716" s="76"/>
      <c r="D1716" s="76" t="str">
        <f>VLOOKUP(B1716,'HEAD OF THE FAMILY'!B1934:J2713,9,FALSE)</f>
        <v>#REF!</v>
      </c>
      <c r="E1716" s="3"/>
      <c r="F1716" s="3"/>
      <c r="G1716" s="7"/>
      <c r="H1716" s="7"/>
      <c r="I1716" s="7"/>
      <c r="J1716" s="60"/>
      <c r="K1716" s="60" t="str">
        <f t="shared" si="2"/>
        <v/>
      </c>
    </row>
    <row r="1717">
      <c r="A1717" s="61" t="str">
        <f t="shared" si="1"/>
        <v/>
      </c>
      <c r="B1717" s="73"/>
      <c r="C1717" s="76"/>
      <c r="D1717" s="76" t="str">
        <f>VLOOKUP(B1717,'HEAD OF THE FAMILY'!B1934:J2714,9,FALSE)</f>
        <v>#REF!</v>
      </c>
      <c r="E1717" s="3"/>
      <c r="F1717" s="3"/>
      <c r="G1717" s="7"/>
      <c r="H1717" s="7"/>
      <c r="I1717" s="7"/>
      <c r="J1717" s="60"/>
      <c r="K1717" s="60" t="str">
        <f t="shared" si="2"/>
        <v/>
      </c>
    </row>
    <row r="1718">
      <c r="A1718" s="61" t="str">
        <f t="shared" si="1"/>
        <v/>
      </c>
      <c r="B1718" s="73"/>
      <c r="C1718" s="76"/>
      <c r="D1718" s="76" t="str">
        <f>VLOOKUP(B1718,'HEAD OF THE FAMILY'!B1934:J2715,9,FALSE)</f>
        <v>#REF!</v>
      </c>
      <c r="E1718" s="3"/>
      <c r="F1718" s="3"/>
      <c r="G1718" s="7"/>
      <c r="H1718" s="7"/>
      <c r="I1718" s="7"/>
      <c r="J1718" s="60"/>
      <c r="K1718" s="60" t="str">
        <f t="shared" si="2"/>
        <v/>
      </c>
    </row>
    <row r="1719">
      <c r="A1719" s="61" t="str">
        <f t="shared" si="1"/>
        <v/>
      </c>
      <c r="B1719" s="73"/>
      <c r="C1719" s="76"/>
      <c r="D1719" s="76" t="str">
        <f>VLOOKUP(B1719,'HEAD OF THE FAMILY'!B1934:J2716,9,FALSE)</f>
        <v>#REF!</v>
      </c>
      <c r="E1719" s="3"/>
      <c r="F1719" s="3"/>
      <c r="G1719" s="7"/>
      <c r="H1719" s="7"/>
      <c r="I1719" s="7"/>
      <c r="J1719" s="60"/>
      <c r="K1719" s="60" t="str">
        <f t="shared" si="2"/>
        <v/>
      </c>
    </row>
    <row r="1720">
      <c r="A1720" s="61" t="str">
        <f t="shared" si="1"/>
        <v/>
      </c>
      <c r="B1720" s="73"/>
      <c r="C1720" s="76"/>
      <c r="D1720" s="76" t="str">
        <f>VLOOKUP(B1720,'HEAD OF THE FAMILY'!B1934:J2717,9,FALSE)</f>
        <v>#REF!</v>
      </c>
      <c r="E1720" s="3"/>
      <c r="F1720" s="3"/>
      <c r="G1720" s="7"/>
      <c r="H1720" s="7"/>
      <c r="I1720" s="7"/>
      <c r="J1720" s="60"/>
      <c r="K1720" s="60" t="str">
        <f t="shared" si="2"/>
        <v/>
      </c>
    </row>
    <row r="1721">
      <c r="A1721" s="61" t="str">
        <f t="shared" si="1"/>
        <v/>
      </c>
      <c r="B1721" s="73"/>
      <c r="C1721" s="76"/>
      <c r="D1721" s="76" t="str">
        <f>VLOOKUP(B1721,'HEAD OF THE FAMILY'!B1934:J2718,9,FALSE)</f>
        <v>#REF!</v>
      </c>
      <c r="E1721" s="3"/>
      <c r="F1721" s="3"/>
      <c r="G1721" s="7"/>
      <c r="H1721" s="7"/>
      <c r="I1721" s="7"/>
      <c r="J1721" s="60"/>
      <c r="K1721" s="60" t="str">
        <f t="shared" si="2"/>
        <v/>
      </c>
    </row>
    <row r="1722">
      <c r="A1722" s="61" t="str">
        <f t="shared" si="1"/>
        <v/>
      </c>
      <c r="B1722" s="73"/>
      <c r="C1722" s="76"/>
      <c r="D1722" s="76" t="str">
        <f>VLOOKUP(B1722,'HEAD OF THE FAMILY'!B1934:J2719,9,FALSE)</f>
        <v>#REF!</v>
      </c>
      <c r="E1722" s="3"/>
      <c r="F1722" s="3"/>
      <c r="G1722" s="7"/>
      <c r="H1722" s="7"/>
      <c r="I1722" s="7"/>
      <c r="J1722" s="60"/>
      <c r="K1722" s="60" t="str">
        <f t="shared" si="2"/>
        <v/>
      </c>
    </row>
    <row r="1723">
      <c r="A1723" s="61" t="str">
        <f t="shared" si="1"/>
        <v/>
      </c>
      <c r="B1723" s="73"/>
      <c r="C1723" s="76"/>
      <c r="D1723" s="76" t="str">
        <f>VLOOKUP(B1723,'HEAD OF THE FAMILY'!B1934:J2720,9,FALSE)</f>
        <v>#REF!</v>
      </c>
      <c r="E1723" s="3"/>
      <c r="F1723" s="3"/>
      <c r="G1723" s="7"/>
      <c r="H1723" s="7"/>
      <c r="I1723" s="7"/>
      <c r="J1723" s="60"/>
      <c r="K1723" s="60" t="str">
        <f t="shared" si="2"/>
        <v/>
      </c>
    </row>
    <row r="1724">
      <c r="A1724" s="61" t="str">
        <f t="shared" si="1"/>
        <v/>
      </c>
      <c r="B1724" s="73"/>
      <c r="C1724" s="76"/>
      <c r="D1724" s="76" t="str">
        <f>VLOOKUP(B1724,'HEAD OF THE FAMILY'!B1934:J2721,9,FALSE)</f>
        <v>#REF!</v>
      </c>
      <c r="E1724" s="3"/>
      <c r="F1724" s="3"/>
      <c r="G1724" s="7"/>
      <c r="H1724" s="7"/>
      <c r="I1724" s="7"/>
      <c r="J1724" s="60"/>
      <c r="K1724" s="60" t="str">
        <f t="shared" si="2"/>
        <v/>
      </c>
    </row>
    <row r="1725">
      <c r="A1725" s="61" t="str">
        <f t="shared" si="1"/>
        <v/>
      </c>
      <c r="B1725" s="73"/>
      <c r="C1725" s="76"/>
      <c r="D1725" s="76" t="str">
        <f>VLOOKUP(B1725,'HEAD OF THE FAMILY'!B1934:J2722,9,FALSE)</f>
        <v>#REF!</v>
      </c>
      <c r="E1725" s="3"/>
      <c r="F1725" s="3"/>
      <c r="G1725" s="7"/>
      <c r="H1725" s="7"/>
      <c r="I1725" s="7"/>
      <c r="J1725" s="60"/>
      <c r="K1725" s="60" t="str">
        <f t="shared" si="2"/>
        <v/>
      </c>
    </row>
    <row r="1726">
      <c r="A1726" s="61" t="str">
        <f t="shared" si="1"/>
        <v/>
      </c>
      <c r="B1726" s="73"/>
      <c r="C1726" s="76"/>
      <c r="D1726" s="76" t="str">
        <f>VLOOKUP(B1726,'HEAD OF THE FAMILY'!B1934:J2723,9,FALSE)</f>
        <v>#REF!</v>
      </c>
      <c r="E1726" s="3"/>
      <c r="F1726" s="3"/>
      <c r="G1726" s="7"/>
      <c r="H1726" s="7"/>
      <c r="I1726" s="7"/>
      <c r="J1726" s="60"/>
      <c r="K1726" s="60" t="str">
        <f t="shared" si="2"/>
        <v/>
      </c>
    </row>
    <row r="1727">
      <c r="A1727" s="61" t="str">
        <f t="shared" si="1"/>
        <v/>
      </c>
      <c r="B1727" s="73"/>
      <c r="C1727" s="76"/>
      <c r="D1727" s="76" t="str">
        <f>VLOOKUP(B1727,'HEAD OF THE FAMILY'!B1934:J2724,9,FALSE)</f>
        <v>#REF!</v>
      </c>
      <c r="E1727" s="3"/>
      <c r="F1727" s="3"/>
      <c r="G1727" s="7"/>
      <c r="H1727" s="7"/>
      <c r="I1727" s="7"/>
      <c r="J1727" s="60"/>
      <c r="K1727" s="60" t="str">
        <f t="shared" si="2"/>
        <v/>
      </c>
    </row>
    <row r="1728">
      <c r="A1728" s="61" t="str">
        <f t="shared" si="1"/>
        <v/>
      </c>
      <c r="B1728" s="73"/>
      <c r="C1728" s="76"/>
      <c r="D1728" s="76" t="str">
        <f>VLOOKUP(B1728,'HEAD OF THE FAMILY'!B1934:J2725,9,FALSE)</f>
        <v>#REF!</v>
      </c>
      <c r="E1728" s="3"/>
      <c r="F1728" s="3"/>
      <c r="G1728" s="7"/>
      <c r="H1728" s="7"/>
      <c r="I1728" s="7"/>
      <c r="J1728" s="60"/>
      <c r="K1728" s="60" t="str">
        <f t="shared" si="2"/>
        <v/>
      </c>
    </row>
    <row r="1729">
      <c r="A1729" s="61" t="str">
        <f t="shared" si="1"/>
        <v/>
      </c>
      <c r="B1729" s="73"/>
      <c r="C1729" s="76"/>
      <c r="D1729" s="76" t="str">
        <f>VLOOKUP(B1729,'HEAD OF THE FAMILY'!B1934:J2726,9,FALSE)</f>
        <v>#REF!</v>
      </c>
      <c r="E1729" s="3"/>
      <c r="F1729" s="3"/>
      <c r="G1729" s="7"/>
      <c r="H1729" s="7"/>
      <c r="I1729" s="7"/>
      <c r="J1729" s="60"/>
      <c r="K1729" s="60" t="str">
        <f t="shared" si="2"/>
        <v/>
      </c>
    </row>
    <row r="1730">
      <c r="A1730" s="61" t="str">
        <f t="shared" si="1"/>
        <v/>
      </c>
      <c r="B1730" s="73"/>
      <c r="C1730" s="76"/>
      <c r="D1730" s="76" t="str">
        <f>VLOOKUP(B1730,'HEAD OF THE FAMILY'!B1934:J2727,9,FALSE)</f>
        <v>#REF!</v>
      </c>
      <c r="E1730" s="3"/>
      <c r="F1730" s="3"/>
      <c r="G1730" s="7"/>
      <c r="H1730" s="7"/>
      <c r="I1730" s="7"/>
      <c r="J1730" s="60"/>
      <c r="K1730" s="60" t="str">
        <f t="shared" si="2"/>
        <v/>
      </c>
    </row>
    <row r="1731">
      <c r="A1731" s="61" t="str">
        <f t="shared" si="1"/>
        <v/>
      </c>
      <c r="B1731" s="73"/>
      <c r="C1731" s="76"/>
      <c r="D1731" s="76" t="str">
        <f>VLOOKUP(B1731,'HEAD OF THE FAMILY'!B1934:J2728,9,FALSE)</f>
        <v>#REF!</v>
      </c>
      <c r="E1731" s="3"/>
      <c r="F1731" s="3"/>
      <c r="G1731" s="7"/>
      <c r="H1731" s="7"/>
      <c r="I1731" s="7"/>
      <c r="J1731" s="60"/>
      <c r="K1731" s="60" t="str">
        <f t="shared" si="2"/>
        <v/>
      </c>
    </row>
    <row r="1732">
      <c r="A1732" s="61" t="str">
        <f t="shared" si="1"/>
        <v/>
      </c>
      <c r="B1732" s="73"/>
      <c r="C1732" s="76"/>
      <c r="D1732" s="76" t="str">
        <f>VLOOKUP(B1732,'HEAD OF THE FAMILY'!B1934:J2729,9,FALSE)</f>
        <v>#REF!</v>
      </c>
      <c r="E1732" s="3"/>
      <c r="F1732" s="3"/>
      <c r="G1732" s="7"/>
      <c r="H1732" s="7"/>
      <c r="I1732" s="7"/>
      <c r="J1732" s="60"/>
      <c r="K1732" s="60" t="str">
        <f t="shared" si="2"/>
        <v/>
      </c>
    </row>
    <row r="1733">
      <c r="A1733" s="61" t="str">
        <f t="shared" si="1"/>
        <v/>
      </c>
      <c r="B1733" s="73"/>
      <c r="C1733" s="76"/>
      <c r="D1733" s="76" t="str">
        <f>VLOOKUP(B1733,'HEAD OF THE FAMILY'!B1934:J2730,9,FALSE)</f>
        <v>#REF!</v>
      </c>
      <c r="E1733" s="3"/>
      <c r="F1733" s="3"/>
      <c r="G1733" s="7"/>
      <c r="H1733" s="7"/>
      <c r="I1733" s="7"/>
      <c r="J1733" s="60"/>
      <c r="K1733" s="60" t="str">
        <f t="shared" si="2"/>
        <v/>
      </c>
    </row>
    <row r="1734">
      <c r="A1734" s="61" t="str">
        <f t="shared" si="1"/>
        <v/>
      </c>
      <c r="B1734" s="73"/>
      <c r="C1734" s="76"/>
      <c r="D1734" s="76" t="str">
        <f>VLOOKUP(B1734,'HEAD OF THE FAMILY'!B1934:J2731,9,FALSE)</f>
        <v>#REF!</v>
      </c>
      <c r="E1734" s="3"/>
      <c r="F1734" s="3"/>
      <c r="G1734" s="7"/>
      <c r="H1734" s="7"/>
      <c r="I1734" s="7"/>
      <c r="J1734" s="60"/>
      <c r="K1734" s="60" t="str">
        <f t="shared" si="2"/>
        <v/>
      </c>
    </row>
    <row r="1735">
      <c r="A1735" s="61" t="str">
        <f t="shared" si="1"/>
        <v/>
      </c>
      <c r="B1735" s="73"/>
      <c r="C1735" s="76"/>
      <c r="D1735" s="76" t="str">
        <f>VLOOKUP(B1735,'HEAD OF THE FAMILY'!B1934:J2732,9,FALSE)</f>
        <v>#REF!</v>
      </c>
      <c r="E1735" s="3"/>
      <c r="F1735" s="3"/>
      <c r="G1735" s="7"/>
      <c r="H1735" s="7"/>
      <c r="I1735" s="7"/>
      <c r="J1735" s="60"/>
      <c r="K1735" s="60" t="str">
        <f t="shared" si="2"/>
        <v/>
      </c>
    </row>
    <row r="1736">
      <c r="A1736" s="61" t="str">
        <f t="shared" si="1"/>
        <v/>
      </c>
      <c r="B1736" s="73"/>
      <c r="C1736" s="76"/>
      <c r="D1736" s="76" t="str">
        <f>VLOOKUP(B1736,'HEAD OF THE FAMILY'!B1934:J2733,9,FALSE)</f>
        <v>#REF!</v>
      </c>
      <c r="E1736" s="3"/>
      <c r="F1736" s="3"/>
      <c r="G1736" s="7"/>
      <c r="H1736" s="7"/>
      <c r="I1736" s="7"/>
      <c r="J1736" s="60"/>
      <c r="K1736" s="60" t="str">
        <f t="shared" si="2"/>
        <v/>
      </c>
    </row>
    <row r="1737">
      <c r="A1737" s="61" t="str">
        <f t="shared" si="1"/>
        <v/>
      </c>
      <c r="B1737" s="73"/>
      <c r="C1737" s="76"/>
      <c r="D1737" s="76" t="str">
        <f>VLOOKUP(B1737,'HEAD OF THE FAMILY'!B1934:J2734,9,FALSE)</f>
        <v>#REF!</v>
      </c>
      <c r="E1737" s="3"/>
      <c r="F1737" s="3"/>
      <c r="G1737" s="7"/>
      <c r="H1737" s="7"/>
      <c r="I1737" s="7"/>
      <c r="J1737" s="60"/>
      <c r="K1737" s="60" t="str">
        <f t="shared" si="2"/>
        <v/>
      </c>
    </row>
    <row r="1738">
      <c r="A1738" s="61" t="str">
        <f t="shared" si="1"/>
        <v/>
      </c>
      <c r="B1738" s="73"/>
      <c r="C1738" s="76"/>
      <c r="D1738" s="76" t="str">
        <f>VLOOKUP(B1738,'HEAD OF THE FAMILY'!B1934:J2735,9,FALSE)</f>
        <v>#REF!</v>
      </c>
      <c r="E1738" s="3"/>
      <c r="F1738" s="3"/>
      <c r="G1738" s="7"/>
      <c r="H1738" s="7"/>
      <c r="I1738" s="7"/>
      <c r="J1738" s="60"/>
      <c r="K1738" s="60" t="str">
        <f t="shared" si="2"/>
        <v/>
      </c>
    </row>
    <row r="1739">
      <c r="A1739" s="61" t="str">
        <f t="shared" si="1"/>
        <v/>
      </c>
      <c r="B1739" s="73"/>
      <c r="C1739" s="76"/>
      <c r="D1739" s="76" t="str">
        <f>VLOOKUP(B1739,'HEAD OF THE FAMILY'!B1934:J2736,9,FALSE)</f>
        <v>#REF!</v>
      </c>
      <c r="E1739" s="3"/>
      <c r="F1739" s="3"/>
      <c r="G1739" s="7"/>
      <c r="H1739" s="7"/>
      <c r="I1739" s="7"/>
      <c r="J1739" s="60"/>
      <c r="K1739" s="60" t="str">
        <f t="shared" si="2"/>
        <v/>
      </c>
    </row>
    <row r="1740">
      <c r="A1740" s="61" t="str">
        <f t="shared" si="1"/>
        <v/>
      </c>
      <c r="B1740" s="73"/>
      <c r="C1740" s="76"/>
      <c r="D1740" s="76" t="str">
        <f>VLOOKUP(B1740,'HEAD OF THE FAMILY'!B1934:J2737,9,FALSE)</f>
        <v>#REF!</v>
      </c>
      <c r="E1740" s="3"/>
      <c r="F1740" s="3"/>
      <c r="G1740" s="7"/>
      <c r="H1740" s="7"/>
      <c r="I1740" s="7"/>
      <c r="J1740" s="60"/>
      <c r="K1740" s="60" t="str">
        <f t="shared" si="2"/>
        <v/>
      </c>
    </row>
    <row r="1741">
      <c r="A1741" s="61" t="str">
        <f t="shared" si="1"/>
        <v/>
      </c>
      <c r="B1741" s="73"/>
      <c r="C1741" s="76"/>
      <c r="D1741" s="76" t="str">
        <f>VLOOKUP(B1741,'HEAD OF THE FAMILY'!B1934:J2738,9,FALSE)</f>
        <v>#REF!</v>
      </c>
      <c r="E1741" s="3"/>
      <c r="F1741" s="3"/>
      <c r="G1741" s="7"/>
      <c r="H1741" s="7"/>
      <c r="I1741" s="7"/>
      <c r="J1741" s="60"/>
      <c r="K1741" s="60" t="str">
        <f t="shared" si="2"/>
        <v/>
      </c>
    </row>
    <row r="1742">
      <c r="A1742" s="61" t="str">
        <f t="shared" si="1"/>
        <v/>
      </c>
      <c r="B1742" s="73"/>
      <c r="C1742" s="76"/>
      <c r="D1742" s="76" t="str">
        <f>VLOOKUP(B1742,'HEAD OF THE FAMILY'!B1934:J2739,9,FALSE)</f>
        <v>#REF!</v>
      </c>
      <c r="E1742" s="3"/>
      <c r="F1742" s="3"/>
      <c r="G1742" s="7"/>
      <c r="H1742" s="7"/>
      <c r="I1742" s="7"/>
      <c r="J1742" s="60"/>
      <c r="K1742" s="60" t="str">
        <f t="shared" si="2"/>
        <v/>
      </c>
    </row>
    <row r="1743">
      <c r="A1743" s="61" t="str">
        <f t="shared" si="1"/>
        <v/>
      </c>
      <c r="B1743" s="73"/>
      <c r="C1743" s="76"/>
      <c r="D1743" s="76" t="str">
        <f>VLOOKUP(B1743,'HEAD OF THE FAMILY'!B1934:J2740,9,FALSE)</f>
        <v>#REF!</v>
      </c>
      <c r="E1743" s="3"/>
      <c r="F1743" s="3"/>
      <c r="G1743" s="7"/>
      <c r="H1743" s="7"/>
      <c r="I1743" s="7"/>
      <c r="J1743" s="60"/>
      <c r="K1743" s="60" t="str">
        <f t="shared" si="2"/>
        <v/>
      </c>
    </row>
    <row r="1744">
      <c r="A1744" s="61" t="str">
        <f t="shared" si="1"/>
        <v/>
      </c>
      <c r="B1744" s="73"/>
      <c r="C1744" s="76"/>
      <c r="D1744" s="76" t="str">
        <f>VLOOKUP(B1744,'HEAD OF THE FAMILY'!B1934:J2741,9,FALSE)</f>
        <v>#REF!</v>
      </c>
      <c r="E1744" s="3"/>
      <c r="F1744" s="3"/>
      <c r="G1744" s="7"/>
      <c r="H1744" s="7"/>
      <c r="I1744" s="7"/>
      <c r="J1744" s="60"/>
      <c r="K1744" s="60" t="str">
        <f t="shared" si="2"/>
        <v/>
      </c>
    </row>
    <row r="1745">
      <c r="A1745" s="61" t="str">
        <f t="shared" si="1"/>
        <v/>
      </c>
      <c r="B1745" s="73"/>
      <c r="C1745" s="76"/>
      <c r="D1745" s="76" t="str">
        <f>VLOOKUP(B1745,'HEAD OF THE FAMILY'!B1934:J2742,9,FALSE)</f>
        <v>#REF!</v>
      </c>
      <c r="E1745" s="3"/>
      <c r="F1745" s="3"/>
      <c r="G1745" s="7"/>
      <c r="H1745" s="7"/>
      <c r="I1745" s="7"/>
      <c r="J1745" s="60"/>
      <c r="K1745" s="60" t="str">
        <f t="shared" si="2"/>
        <v/>
      </c>
    </row>
    <row r="1746">
      <c r="A1746" s="61" t="str">
        <f t="shared" si="1"/>
        <v/>
      </c>
      <c r="B1746" s="73"/>
      <c r="C1746" s="76"/>
      <c r="D1746" s="76" t="str">
        <f>VLOOKUP(B1746,'HEAD OF THE FAMILY'!B1934:J2743,9,FALSE)</f>
        <v>#REF!</v>
      </c>
      <c r="E1746" s="3"/>
      <c r="F1746" s="3"/>
      <c r="G1746" s="7"/>
      <c r="H1746" s="7"/>
      <c r="I1746" s="7"/>
      <c r="J1746" s="60"/>
      <c r="K1746" s="60" t="str">
        <f t="shared" si="2"/>
        <v/>
      </c>
    </row>
    <row r="1747">
      <c r="A1747" s="61" t="str">
        <f t="shared" si="1"/>
        <v/>
      </c>
      <c r="B1747" s="73"/>
      <c r="C1747" s="76"/>
      <c r="D1747" s="76" t="str">
        <f>VLOOKUP(B1747,'HEAD OF THE FAMILY'!B1934:J2744,9,FALSE)</f>
        <v>#REF!</v>
      </c>
      <c r="E1747" s="3"/>
      <c r="F1747" s="3"/>
      <c r="G1747" s="7"/>
      <c r="H1747" s="7"/>
      <c r="I1747" s="7"/>
      <c r="J1747" s="60"/>
      <c r="K1747" s="60" t="str">
        <f t="shared" si="2"/>
        <v/>
      </c>
    </row>
    <row r="1748">
      <c r="A1748" s="61" t="str">
        <f t="shared" si="1"/>
        <v/>
      </c>
      <c r="B1748" s="73"/>
      <c r="C1748" s="76"/>
      <c r="D1748" s="76" t="str">
        <f>VLOOKUP(B1748,'HEAD OF THE FAMILY'!B1934:J2745,9,FALSE)</f>
        <v>#REF!</v>
      </c>
      <c r="E1748" s="3"/>
      <c r="F1748" s="3"/>
      <c r="G1748" s="7"/>
      <c r="H1748" s="7"/>
      <c r="I1748" s="7"/>
      <c r="J1748" s="60"/>
      <c r="K1748" s="60" t="str">
        <f t="shared" si="2"/>
        <v/>
      </c>
    </row>
    <row r="1749">
      <c r="A1749" s="61" t="str">
        <f t="shared" si="1"/>
        <v/>
      </c>
      <c r="B1749" s="73"/>
      <c r="C1749" s="76"/>
      <c r="D1749" s="76" t="str">
        <f>VLOOKUP(B1749,'HEAD OF THE FAMILY'!B1934:J2746,9,FALSE)</f>
        <v>#REF!</v>
      </c>
      <c r="E1749" s="3"/>
      <c r="F1749" s="3"/>
      <c r="G1749" s="7"/>
      <c r="H1749" s="7"/>
      <c r="I1749" s="7"/>
      <c r="J1749" s="60"/>
      <c r="K1749" s="60" t="str">
        <f t="shared" si="2"/>
        <v/>
      </c>
    </row>
    <row r="1750">
      <c r="A1750" s="61" t="str">
        <f t="shared" si="1"/>
        <v/>
      </c>
      <c r="B1750" s="73"/>
      <c r="C1750" s="76"/>
      <c r="D1750" s="76" t="str">
        <f>VLOOKUP(B1750,'HEAD OF THE FAMILY'!B1934:J2747,9,FALSE)</f>
        <v>#REF!</v>
      </c>
      <c r="E1750" s="3"/>
      <c r="F1750" s="3"/>
      <c r="G1750" s="7"/>
      <c r="H1750" s="7"/>
      <c r="I1750" s="7"/>
      <c r="J1750" s="60"/>
      <c r="K1750" s="60" t="str">
        <f t="shared" si="2"/>
        <v/>
      </c>
    </row>
    <row r="1751">
      <c r="A1751" s="61" t="str">
        <f t="shared" si="1"/>
        <v/>
      </c>
      <c r="B1751" s="73"/>
      <c r="C1751" s="76"/>
      <c r="D1751" s="76" t="str">
        <f>VLOOKUP(B1751,'HEAD OF THE FAMILY'!B1934:J2748,9,FALSE)</f>
        <v>#REF!</v>
      </c>
      <c r="E1751" s="3"/>
      <c r="F1751" s="3"/>
      <c r="G1751" s="7"/>
      <c r="H1751" s="7"/>
      <c r="I1751" s="7"/>
      <c r="J1751" s="60"/>
      <c r="K1751" s="60" t="str">
        <f t="shared" si="2"/>
        <v/>
      </c>
    </row>
    <row r="1752">
      <c r="A1752" s="61" t="str">
        <f t="shared" si="1"/>
        <v/>
      </c>
      <c r="B1752" s="73"/>
      <c r="C1752" s="76"/>
      <c r="D1752" s="76" t="str">
        <f>VLOOKUP(B1752,'HEAD OF THE FAMILY'!B1934:J2749,9,FALSE)</f>
        <v>#REF!</v>
      </c>
      <c r="E1752" s="3"/>
      <c r="F1752" s="3"/>
      <c r="G1752" s="7"/>
      <c r="H1752" s="7"/>
      <c r="I1752" s="7"/>
      <c r="J1752" s="60"/>
      <c r="K1752" s="60" t="str">
        <f t="shared" si="2"/>
        <v/>
      </c>
    </row>
    <row r="1753">
      <c r="A1753" s="61" t="str">
        <f t="shared" si="1"/>
        <v/>
      </c>
      <c r="B1753" s="73"/>
      <c r="C1753" s="76"/>
      <c r="D1753" s="76" t="str">
        <f>VLOOKUP(B1753,'HEAD OF THE FAMILY'!B1934:J2750,9,FALSE)</f>
        <v>#REF!</v>
      </c>
      <c r="E1753" s="3"/>
      <c r="F1753" s="3"/>
      <c r="G1753" s="7"/>
      <c r="H1753" s="7"/>
      <c r="I1753" s="7"/>
      <c r="J1753" s="60"/>
      <c r="K1753" s="60" t="str">
        <f t="shared" si="2"/>
        <v/>
      </c>
    </row>
    <row r="1754">
      <c r="A1754" s="61" t="str">
        <f t="shared" si="1"/>
        <v/>
      </c>
      <c r="B1754" s="73"/>
      <c r="C1754" s="76"/>
      <c r="D1754" s="76" t="str">
        <f>VLOOKUP(B1754,'HEAD OF THE FAMILY'!B1934:J2751,9,FALSE)</f>
        <v>#REF!</v>
      </c>
      <c r="E1754" s="3"/>
      <c r="F1754" s="3"/>
      <c r="G1754" s="7"/>
      <c r="H1754" s="7"/>
      <c r="I1754" s="7"/>
      <c r="J1754" s="60"/>
      <c r="K1754" s="60" t="str">
        <f t="shared" si="2"/>
        <v/>
      </c>
    </row>
    <row r="1755">
      <c r="A1755" s="61" t="str">
        <f t="shared" si="1"/>
        <v/>
      </c>
      <c r="B1755" s="73"/>
      <c r="C1755" s="76"/>
      <c r="D1755" s="76" t="str">
        <f>VLOOKUP(B1755,'HEAD OF THE FAMILY'!B1934:J2752,9,FALSE)</f>
        <v>#REF!</v>
      </c>
      <c r="E1755" s="3"/>
      <c r="F1755" s="3"/>
      <c r="G1755" s="7"/>
      <c r="H1755" s="7"/>
      <c r="I1755" s="7"/>
      <c r="J1755" s="60"/>
      <c r="K1755" s="60" t="str">
        <f t="shared" si="2"/>
        <v/>
      </c>
    </row>
    <row r="1756">
      <c r="A1756" s="61" t="str">
        <f t="shared" si="1"/>
        <v/>
      </c>
      <c r="B1756" s="73"/>
      <c r="C1756" s="76"/>
      <c r="D1756" s="76" t="str">
        <f>VLOOKUP(B1756,'HEAD OF THE FAMILY'!B1934:J2753,9,FALSE)</f>
        <v>#REF!</v>
      </c>
      <c r="E1756" s="3"/>
      <c r="F1756" s="3"/>
      <c r="G1756" s="7"/>
      <c r="H1756" s="7"/>
      <c r="I1756" s="7"/>
      <c r="J1756" s="60"/>
      <c r="K1756" s="60" t="str">
        <f t="shared" si="2"/>
        <v/>
      </c>
    </row>
    <row r="1757">
      <c r="A1757" s="61" t="str">
        <f t="shared" si="1"/>
        <v/>
      </c>
      <c r="B1757" s="73"/>
      <c r="C1757" s="76"/>
      <c r="D1757" s="76" t="str">
        <f>VLOOKUP(B1757,'HEAD OF THE FAMILY'!B1934:J2754,9,FALSE)</f>
        <v>#REF!</v>
      </c>
      <c r="E1757" s="3"/>
      <c r="F1757" s="3"/>
      <c r="G1757" s="7"/>
      <c r="H1757" s="7"/>
      <c r="I1757" s="7"/>
      <c r="J1757" s="60"/>
      <c r="K1757" s="60" t="str">
        <f t="shared" si="2"/>
        <v/>
      </c>
    </row>
    <row r="1758">
      <c r="A1758" s="61" t="str">
        <f t="shared" si="1"/>
        <v/>
      </c>
      <c r="B1758" s="73"/>
      <c r="C1758" s="76"/>
      <c r="D1758" s="76" t="str">
        <f>VLOOKUP(B1758,'HEAD OF THE FAMILY'!B1934:J2755,9,FALSE)</f>
        <v>#REF!</v>
      </c>
      <c r="E1758" s="3"/>
      <c r="F1758" s="3"/>
      <c r="G1758" s="7"/>
      <c r="H1758" s="7"/>
      <c r="I1758" s="7"/>
      <c r="J1758" s="60"/>
      <c r="K1758" s="60" t="str">
        <f t="shared" si="2"/>
        <v/>
      </c>
    </row>
    <row r="1759">
      <c r="A1759" s="61" t="str">
        <f t="shared" si="1"/>
        <v/>
      </c>
      <c r="B1759" s="73"/>
      <c r="C1759" s="76"/>
      <c r="D1759" s="76" t="str">
        <f>VLOOKUP(B1759,'HEAD OF THE FAMILY'!B1934:J2756,9,FALSE)</f>
        <v>#REF!</v>
      </c>
      <c r="E1759" s="3"/>
      <c r="F1759" s="3"/>
      <c r="G1759" s="7"/>
      <c r="H1759" s="7"/>
      <c r="I1759" s="7"/>
      <c r="J1759" s="60"/>
      <c r="K1759" s="60" t="str">
        <f t="shared" si="2"/>
        <v/>
      </c>
    </row>
    <row r="1760">
      <c r="A1760" s="61" t="str">
        <f t="shared" si="1"/>
        <v/>
      </c>
      <c r="B1760" s="73"/>
      <c r="C1760" s="76"/>
      <c r="D1760" s="76" t="str">
        <f>VLOOKUP(B1760,'HEAD OF THE FAMILY'!B1934:J2757,9,FALSE)</f>
        <v>#REF!</v>
      </c>
      <c r="E1760" s="3"/>
      <c r="F1760" s="3"/>
      <c r="G1760" s="7"/>
      <c r="H1760" s="7"/>
      <c r="I1760" s="7"/>
      <c r="J1760" s="60"/>
      <c r="K1760" s="60" t="str">
        <f t="shared" si="2"/>
        <v/>
      </c>
    </row>
    <row r="1761">
      <c r="A1761" s="61" t="str">
        <f t="shared" si="1"/>
        <v/>
      </c>
      <c r="B1761" s="73"/>
      <c r="C1761" s="76"/>
      <c r="D1761" s="76" t="str">
        <f>VLOOKUP(B1761,'HEAD OF THE FAMILY'!B1934:J2758,9,FALSE)</f>
        <v>#REF!</v>
      </c>
      <c r="E1761" s="3"/>
      <c r="F1761" s="3"/>
      <c r="G1761" s="7"/>
      <c r="H1761" s="7"/>
      <c r="I1761" s="7"/>
      <c r="J1761" s="60"/>
      <c r="K1761" s="60" t="str">
        <f t="shared" si="2"/>
        <v/>
      </c>
    </row>
    <row r="1762">
      <c r="A1762" s="61" t="str">
        <f t="shared" si="1"/>
        <v/>
      </c>
      <c r="B1762" s="73"/>
      <c r="C1762" s="76"/>
      <c r="D1762" s="76" t="str">
        <f>VLOOKUP(B1762,'HEAD OF THE FAMILY'!B1934:J2759,9,FALSE)</f>
        <v>#REF!</v>
      </c>
      <c r="E1762" s="3"/>
      <c r="F1762" s="3"/>
      <c r="G1762" s="7"/>
      <c r="H1762" s="7"/>
      <c r="I1762" s="7"/>
      <c r="J1762" s="60"/>
      <c r="K1762" s="60" t="str">
        <f t="shared" si="2"/>
        <v/>
      </c>
    </row>
    <row r="1763">
      <c r="A1763" s="61" t="str">
        <f t="shared" si="1"/>
        <v/>
      </c>
      <c r="B1763" s="73"/>
      <c r="C1763" s="76"/>
      <c r="D1763" s="76" t="str">
        <f>VLOOKUP(B1763,'HEAD OF THE FAMILY'!B1934:J2760,9,FALSE)</f>
        <v>#REF!</v>
      </c>
      <c r="E1763" s="3"/>
      <c r="F1763" s="3"/>
      <c r="G1763" s="7"/>
      <c r="H1763" s="7"/>
      <c r="I1763" s="7"/>
      <c r="J1763" s="60"/>
      <c r="K1763" s="60" t="str">
        <f t="shared" si="2"/>
        <v/>
      </c>
    </row>
    <row r="1764">
      <c r="A1764" s="61" t="str">
        <f t="shared" si="1"/>
        <v/>
      </c>
      <c r="B1764" s="73"/>
      <c r="C1764" s="76"/>
      <c r="D1764" s="76" t="str">
        <f>VLOOKUP(B1764,'HEAD OF THE FAMILY'!B1934:J2761,9,FALSE)</f>
        <v>#REF!</v>
      </c>
      <c r="E1764" s="3"/>
      <c r="F1764" s="3"/>
      <c r="G1764" s="7"/>
      <c r="H1764" s="7"/>
      <c r="I1764" s="7"/>
      <c r="J1764" s="60"/>
      <c r="K1764" s="60" t="str">
        <f t="shared" si="2"/>
        <v/>
      </c>
    </row>
    <row r="1765">
      <c r="A1765" s="61" t="str">
        <f t="shared" si="1"/>
        <v/>
      </c>
      <c r="B1765" s="73"/>
      <c r="C1765" s="76"/>
      <c r="D1765" s="76" t="str">
        <f>VLOOKUP(B1765,'HEAD OF THE FAMILY'!B1934:J2762,9,FALSE)</f>
        <v>#REF!</v>
      </c>
      <c r="E1765" s="3"/>
      <c r="F1765" s="3"/>
      <c r="G1765" s="7"/>
      <c r="H1765" s="7"/>
      <c r="I1765" s="7"/>
      <c r="J1765" s="60"/>
      <c r="K1765" s="60" t="str">
        <f t="shared" si="2"/>
        <v/>
      </c>
    </row>
    <row r="1766">
      <c r="A1766" s="61" t="str">
        <f t="shared" si="1"/>
        <v/>
      </c>
      <c r="B1766" s="73"/>
      <c r="C1766" s="76"/>
      <c r="D1766" s="76" t="str">
        <f>VLOOKUP(B1766,'HEAD OF THE FAMILY'!B1934:J2763,9,FALSE)</f>
        <v>#REF!</v>
      </c>
      <c r="E1766" s="3"/>
      <c r="F1766" s="3"/>
      <c r="G1766" s="7"/>
      <c r="H1766" s="7"/>
      <c r="I1766" s="7"/>
      <c r="J1766" s="60"/>
      <c r="K1766" s="60" t="str">
        <f t="shared" si="2"/>
        <v/>
      </c>
    </row>
    <row r="1767">
      <c r="A1767" s="61" t="str">
        <f t="shared" si="1"/>
        <v/>
      </c>
      <c r="B1767" s="73"/>
      <c r="C1767" s="76"/>
      <c r="D1767" s="76" t="str">
        <f>VLOOKUP(B1767,'HEAD OF THE FAMILY'!B1934:J2764,9,FALSE)</f>
        <v>#REF!</v>
      </c>
      <c r="E1767" s="3"/>
      <c r="F1767" s="3"/>
      <c r="G1767" s="7"/>
      <c r="H1767" s="7"/>
      <c r="I1767" s="7"/>
      <c r="J1767" s="60"/>
      <c r="K1767" s="60" t="str">
        <f t="shared" si="2"/>
        <v/>
      </c>
    </row>
    <row r="1768">
      <c r="A1768" s="61" t="str">
        <f t="shared" si="1"/>
        <v/>
      </c>
      <c r="B1768" s="73"/>
      <c r="C1768" s="76"/>
      <c r="D1768" s="76" t="str">
        <f>VLOOKUP(B1768,'HEAD OF THE FAMILY'!B1934:J2765,9,FALSE)</f>
        <v>#REF!</v>
      </c>
      <c r="E1768" s="3"/>
      <c r="F1768" s="3"/>
      <c r="G1768" s="7"/>
      <c r="H1768" s="7"/>
      <c r="I1768" s="7"/>
      <c r="J1768" s="60"/>
      <c r="K1768" s="60" t="str">
        <f t="shared" si="2"/>
        <v/>
      </c>
    </row>
    <row r="1769">
      <c r="A1769" s="61" t="str">
        <f t="shared" si="1"/>
        <v/>
      </c>
      <c r="B1769" s="73"/>
      <c r="C1769" s="76"/>
      <c r="D1769" s="76" t="str">
        <f>VLOOKUP(B1769,'HEAD OF THE FAMILY'!B1934:J2766,9,FALSE)</f>
        <v>#REF!</v>
      </c>
      <c r="E1769" s="3"/>
      <c r="F1769" s="3"/>
      <c r="G1769" s="7"/>
      <c r="H1769" s="7"/>
      <c r="I1769" s="7"/>
      <c r="J1769" s="60"/>
      <c r="K1769" s="60" t="str">
        <f t="shared" si="2"/>
        <v/>
      </c>
    </row>
    <row r="1770">
      <c r="A1770" s="61" t="str">
        <f t="shared" si="1"/>
        <v/>
      </c>
      <c r="B1770" s="73"/>
      <c r="C1770" s="76"/>
      <c r="D1770" s="76" t="str">
        <f>VLOOKUP(B1770,'HEAD OF THE FAMILY'!B1934:J2767,9,FALSE)</f>
        <v>#REF!</v>
      </c>
      <c r="E1770" s="3"/>
      <c r="F1770" s="3"/>
      <c r="G1770" s="7"/>
      <c r="H1770" s="7"/>
      <c r="I1770" s="7"/>
      <c r="J1770" s="60"/>
      <c r="K1770" s="60" t="str">
        <f t="shared" si="2"/>
        <v/>
      </c>
    </row>
    <row r="1771">
      <c r="A1771" s="61" t="str">
        <f t="shared" si="1"/>
        <v/>
      </c>
      <c r="B1771" s="73"/>
      <c r="C1771" s="76"/>
      <c r="D1771" s="76" t="str">
        <f>VLOOKUP(B1771,'HEAD OF THE FAMILY'!B1934:J2768,9,FALSE)</f>
        <v>#REF!</v>
      </c>
      <c r="E1771" s="3"/>
      <c r="F1771" s="3"/>
      <c r="G1771" s="7"/>
      <c r="H1771" s="7"/>
      <c r="I1771" s="7"/>
      <c r="J1771" s="60"/>
      <c r="K1771" s="60" t="str">
        <f t="shared" si="2"/>
        <v/>
      </c>
    </row>
    <row r="1772">
      <c r="A1772" s="61" t="str">
        <f t="shared" si="1"/>
        <v/>
      </c>
      <c r="B1772" s="73"/>
      <c r="C1772" s="76"/>
      <c r="D1772" s="76" t="str">
        <f>VLOOKUP(B1772,'HEAD OF THE FAMILY'!B1934:J2769,9,FALSE)</f>
        <v>#REF!</v>
      </c>
      <c r="E1772" s="3"/>
      <c r="F1772" s="3"/>
      <c r="G1772" s="7"/>
      <c r="H1772" s="7"/>
      <c r="I1772" s="7"/>
      <c r="J1772" s="60"/>
      <c r="K1772" s="60" t="str">
        <f t="shared" si="2"/>
        <v/>
      </c>
    </row>
    <row r="1773">
      <c r="A1773" s="61" t="str">
        <f t="shared" si="1"/>
        <v/>
      </c>
      <c r="B1773" s="73"/>
      <c r="C1773" s="76"/>
      <c r="D1773" s="76" t="str">
        <f>VLOOKUP(B1773,'HEAD OF THE FAMILY'!B1934:J2770,9,FALSE)</f>
        <v>#REF!</v>
      </c>
      <c r="E1773" s="3"/>
      <c r="F1773" s="3"/>
      <c r="G1773" s="7"/>
      <c r="H1773" s="7"/>
      <c r="I1773" s="7"/>
      <c r="J1773" s="60"/>
      <c r="K1773" s="60" t="str">
        <f t="shared" si="2"/>
        <v/>
      </c>
    </row>
    <row r="1774">
      <c r="A1774" s="61" t="str">
        <f t="shared" si="1"/>
        <v/>
      </c>
      <c r="B1774" s="73"/>
      <c r="C1774" s="76"/>
      <c r="D1774" s="76" t="str">
        <f>VLOOKUP(B1774,'HEAD OF THE FAMILY'!B1934:J2771,9,FALSE)</f>
        <v>#REF!</v>
      </c>
      <c r="E1774" s="3"/>
      <c r="F1774" s="3"/>
      <c r="G1774" s="7"/>
      <c r="H1774" s="7"/>
      <c r="I1774" s="7"/>
      <c r="J1774" s="60"/>
      <c r="K1774" s="60" t="str">
        <f t="shared" si="2"/>
        <v/>
      </c>
    </row>
    <row r="1775">
      <c r="A1775" s="61" t="str">
        <f t="shared" si="1"/>
        <v/>
      </c>
      <c r="B1775" s="73"/>
      <c r="C1775" s="76"/>
      <c r="D1775" s="76" t="str">
        <f>VLOOKUP(B1775,'HEAD OF THE FAMILY'!B1934:J2772,9,FALSE)</f>
        <v>#REF!</v>
      </c>
      <c r="E1775" s="3"/>
      <c r="F1775" s="3"/>
      <c r="G1775" s="7"/>
      <c r="H1775" s="7"/>
      <c r="I1775" s="7"/>
      <c r="J1775" s="60"/>
      <c r="K1775" s="60" t="str">
        <f t="shared" si="2"/>
        <v/>
      </c>
    </row>
    <row r="1776">
      <c r="A1776" s="61" t="str">
        <f t="shared" si="1"/>
        <v/>
      </c>
      <c r="B1776" s="73"/>
      <c r="C1776" s="76"/>
      <c r="D1776" s="76" t="str">
        <f>VLOOKUP(B1776,'HEAD OF THE FAMILY'!B1934:J2773,9,FALSE)</f>
        <v>#REF!</v>
      </c>
      <c r="E1776" s="3"/>
      <c r="F1776" s="3"/>
      <c r="G1776" s="7"/>
      <c r="H1776" s="7"/>
      <c r="I1776" s="7"/>
      <c r="J1776" s="60"/>
      <c r="K1776" s="60" t="str">
        <f t="shared" si="2"/>
        <v/>
      </c>
    </row>
    <row r="1777">
      <c r="A1777" s="61" t="str">
        <f t="shared" si="1"/>
        <v/>
      </c>
      <c r="B1777" s="73"/>
      <c r="C1777" s="76"/>
      <c r="D1777" s="76" t="str">
        <f>VLOOKUP(B1777,'HEAD OF THE FAMILY'!B1934:J2774,9,FALSE)</f>
        <v>#REF!</v>
      </c>
      <c r="E1777" s="3"/>
      <c r="F1777" s="3"/>
      <c r="G1777" s="7"/>
      <c r="H1777" s="7"/>
      <c r="I1777" s="7"/>
      <c r="J1777" s="60"/>
      <c r="K1777" s="60" t="str">
        <f t="shared" si="2"/>
        <v/>
      </c>
    </row>
    <row r="1778">
      <c r="A1778" s="61" t="str">
        <f t="shared" si="1"/>
        <v/>
      </c>
      <c r="B1778" s="73"/>
      <c r="C1778" s="76"/>
      <c r="D1778" s="76" t="str">
        <f>VLOOKUP(B1778,'HEAD OF THE FAMILY'!B1934:J2775,9,FALSE)</f>
        <v>#REF!</v>
      </c>
      <c r="E1778" s="3"/>
      <c r="F1778" s="3"/>
      <c r="G1778" s="7"/>
      <c r="H1778" s="7"/>
      <c r="I1778" s="7"/>
      <c r="J1778" s="60"/>
      <c r="K1778" s="60" t="str">
        <f t="shared" si="2"/>
        <v/>
      </c>
    </row>
    <row r="1779">
      <c r="A1779" s="61" t="str">
        <f t="shared" si="1"/>
        <v/>
      </c>
      <c r="B1779" s="73"/>
      <c r="C1779" s="76"/>
      <c r="D1779" s="76" t="str">
        <f>VLOOKUP(B1779,'HEAD OF THE FAMILY'!B1934:J2776,9,FALSE)</f>
        <v>#REF!</v>
      </c>
      <c r="E1779" s="3"/>
      <c r="F1779" s="3"/>
      <c r="G1779" s="7"/>
      <c r="H1779" s="7"/>
      <c r="I1779" s="7"/>
      <c r="J1779" s="60"/>
      <c r="K1779" s="60" t="str">
        <f t="shared" si="2"/>
        <v/>
      </c>
    </row>
    <row r="1780">
      <c r="A1780" s="61" t="str">
        <f t="shared" si="1"/>
        <v/>
      </c>
      <c r="B1780" s="73"/>
      <c r="C1780" s="76"/>
      <c r="D1780" s="76" t="str">
        <f>VLOOKUP(B1780,'HEAD OF THE FAMILY'!B1934:J2777,9,FALSE)</f>
        <v>#REF!</v>
      </c>
      <c r="E1780" s="3"/>
      <c r="F1780" s="3"/>
      <c r="G1780" s="7"/>
      <c r="H1780" s="7"/>
      <c r="I1780" s="7"/>
      <c r="J1780" s="60"/>
      <c r="K1780" s="60" t="str">
        <f t="shared" si="2"/>
        <v/>
      </c>
    </row>
    <row r="1781">
      <c r="A1781" s="61" t="str">
        <f t="shared" si="1"/>
        <v/>
      </c>
      <c r="B1781" s="73"/>
      <c r="C1781" s="76"/>
      <c r="D1781" s="76" t="str">
        <f>VLOOKUP(B1781,'HEAD OF THE FAMILY'!B1934:J2778,9,FALSE)</f>
        <v>#REF!</v>
      </c>
      <c r="E1781" s="3"/>
      <c r="F1781" s="3"/>
      <c r="G1781" s="7"/>
      <c r="H1781" s="7"/>
      <c r="I1781" s="7"/>
      <c r="J1781" s="60"/>
      <c r="K1781" s="60" t="str">
        <f t="shared" si="2"/>
        <v/>
      </c>
    </row>
    <row r="1782">
      <c r="A1782" s="61" t="str">
        <f t="shared" si="1"/>
        <v/>
      </c>
      <c r="B1782" s="73"/>
      <c r="C1782" s="76"/>
      <c r="D1782" s="76" t="str">
        <f>VLOOKUP(B1782,'HEAD OF THE FAMILY'!B1934:J2779,9,FALSE)</f>
        <v>#REF!</v>
      </c>
      <c r="E1782" s="3"/>
      <c r="F1782" s="3"/>
      <c r="G1782" s="7"/>
      <c r="H1782" s="7"/>
      <c r="I1782" s="7"/>
      <c r="J1782" s="60"/>
      <c r="K1782" s="60" t="str">
        <f t="shared" si="2"/>
        <v/>
      </c>
    </row>
    <row r="1783">
      <c r="A1783" s="61" t="str">
        <f t="shared" si="1"/>
        <v/>
      </c>
      <c r="B1783" s="73"/>
      <c r="C1783" s="76"/>
      <c r="D1783" s="76" t="str">
        <f>VLOOKUP(B1783,'HEAD OF THE FAMILY'!B1934:J2780,9,FALSE)</f>
        <v>#REF!</v>
      </c>
      <c r="E1783" s="3"/>
      <c r="F1783" s="3"/>
      <c r="G1783" s="7"/>
      <c r="H1783" s="7"/>
      <c r="I1783" s="7"/>
      <c r="J1783" s="60"/>
      <c r="K1783" s="60" t="str">
        <f t="shared" si="2"/>
        <v/>
      </c>
    </row>
    <row r="1784">
      <c r="A1784" s="61" t="str">
        <f t="shared" si="1"/>
        <v/>
      </c>
      <c r="B1784" s="73"/>
      <c r="C1784" s="76"/>
      <c r="D1784" s="76" t="str">
        <f>VLOOKUP(B1784,'HEAD OF THE FAMILY'!B1934:J2781,9,FALSE)</f>
        <v>#REF!</v>
      </c>
      <c r="E1784" s="3"/>
      <c r="F1784" s="3"/>
      <c r="G1784" s="7"/>
      <c r="H1784" s="7"/>
      <c r="I1784" s="7"/>
      <c r="J1784" s="60"/>
      <c r="K1784" s="60" t="str">
        <f t="shared" si="2"/>
        <v/>
      </c>
    </row>
    <row r="1785">
      <c r="A1785" s="61" t="str">
        <f t="shared" si="1"/>
        <v/>
      </c>
      <c r="B1785" s="73"/>
      <c r="C1785" s="76"/>
      <c r="D1785" s="76" t="str">
        <f>VLOOKUP(B1785,'HEAD OF THE FAMILY'!B1934:J2782,9,FALSE)</f>
        <v>#REF!</v>
      </c>
      <c r="E1785" s="3"/>
      <c r="F1785" s="3"/>
      <c r="G1785" s="7"/>
      <c r="H1785" s="7"/>
      <c r="I1785" s="7"/>
      <c r="J1785" s="60"/>
      <c r="K1785" s="60" t="str">
        <f t="shared" si="2"/>
        <v/>
      </c>
    </row>
    <row r="1786">
      <c r="A1786" s="61" t="str">
        <f t="shared" si="1"/>
        <v/>
      </c>
      <c r="B1786" s="73"/>
      <c r="C1786" s="76"/>
      <c r="D1786" s="76" t="str">
        <f>VLOOKUP(B1786,'HEAD OF THE FAMILY'!B1934:J2783,9,FALSE)</f>
        <v>#REF!</v>
      </c>
      <c r="E1786" s="3"/>
      <c r="F1786" s="3"/>
      <c r="G1786" s="7"/>
      <c r="H1786" s="7"/>
      <c r="I1786" s="7"/>
      <c r="J1786" s="60"/>
      <c r="K1786" s="60" t="str">
        <f t="shared" si="2"/>
        <v/>
      </c>
    </row>
    <row r="1787">
      <c r="A1787" s="61" t="str">
        <f t="shared" si="1"/>
        <v/>
      </c>
      <c r="B1787" s="73"/>
      <c r="C1787" s="76"/>
      <c r="D1787" s="76" t="str">
        <f>VLOOKUP(B1787,'HEAD OF THE FAMILY'!B1934:J2784,9,FALSE)</f>
        <v>#REF!</v>
      </c>
      <c r="E1787" s="3"/>
      <c r="F1787" s="3"/>
      <c r="G1787" s="7"/>
      <c r="H1787" s="7"/>
      <c r="I1787" s="7"/>
      <c r="J1787" s="60"/>
      <c r="K1787" s="60" t="str">
        <f t="shared" si="2"/>
        <v/>
      </c>
    </row>
    <row r="1788">
      <c r="A1788" s="61" t="str">
        <f t="shared" si="1"/>
        <v/>
      </c>
      <c r="B1788" s="73"/>
      <c r="C1788" s="76"/>
      <c r="D1788" s="76" t="str">
        <f>VLOOKUP(B1788,'HEAD OF THE FAMILY'!B1934:J2785,9,FALSE)</f>
        <v>#REF!</v>
      </c>
      <c r="E1788" s="3"/>
      <c r="F1788" s="3"/>
      <c r="G1788" s="7"/>
      <c r="H1788" s="7"/>
      <c r="I1788" s="7"/>
      <c r="J1788" s="60"/>
      <c r="K1788" s="60" t="str">
        <f t="shared" si="2"/>
        <v/>
      </c>
    </row>
    <row r="1789">
      <c r="A1789" s="61" t="str">
        <f t="shared" si="1"/>
        <v/>
      </c>
      <c r="B1789" s="73"/>
      <c r="C1789" s="76"/>
      <c r="D1789" s="76" t="str">
        <f>VLOOKUP(B1789,'HEAD OF THE FAMILY'!B1934:J2786,9,FALSE)</f>
        <v>#REF!</v>
      </c>
      <c r="E1789" s="3"/>
      <c r="F1789" s="3"/>
      <c r="G1789" s="7"/>
      <c r="H1789" s="7"/>
      <c r="I1789" s="7"/>
      <c r="J1789" s="60"/>
      <c r="K1789" s="60" t="str">
        <f t="shared" si="2"/>
        <v/>
      </c>
    </row>
    <row r="1790">
      <c r="A1790" s="61" t="str">
        <f t="shared" si="1"/>
        <v/>
      </c>
      <c r="B1790" s="73"/>
      <c r="C1790" s="76"/>
      <c r="D1790" s="76" t="str">
        <f>VLOOKUP(B1790,'HEAD OF THE FAMILY'!B1934:J2787,9,FALSE)</f>
        <v>#REF!</v>
      </c>
      <c r="E1790" s="3"/>
      <c r="F1790" s="3"/>
      <c r="G1790" s="7"/>
      <c r="H1790" s="7"/>
      <c r="I1790" s="7"/>
      <c r="J1790" s="60"/>
      <c r="K1790" s="60" t="str">
        <f t="shared" si="2"/>
        <v/>
      </c>
    </row>
    <row r="1791">
      <c r="A1791" s="61" t="str">
        <f t="shared" si="1"/>
        <v/>
      </c>
      <c r="B1791" s="73"/>
      <c r="C1791" s="76"/>
      <c r="D1791" s="76" t="str">
        <f>VLOOKUP(B1791,'HEAD OF THE FAMILY'!B1934:J2788,9,FALSE)</f>
        <v>#REF!</v>
      </c>
      <c r="E1791" s="3"/>
      <c r="F1791" s="3"/>
      <c r="G1791" s="7"/>
      <c r="H1791" s="7"/>
      <c r="I1791" s="7"/>
      <c r="J1791" s="60"/>
      <c r="K1791" s="60" t="str">
        <f t="shared" si="2"/>
        <v/>
      </c>
    </row>
    <row r="1792">
      <c r="A1792" s="61" t="str">
        <f t="shared" si="1"/>
        <v/>
      </c>
      <c r="B1792" s="73"/>
      <c r="C1792" s="76"/>
      <c r="D1792" s="76" t="str">
        <f>VLOOKUP(B1792,'HEAD OF THE FAMILY'!B1934:J2789,9,FALSE)</f>
        <v>#REF!</v>
      </c>
      <c r="E1792" s="3"/>
      <c r="F1792" s="3"/>
      <c r="G1792" s="7"/>
      <c r="H1792" s="7"/>
      <c r="I1792" s="7"/>
      <c r="J1792" s="60"/>
      <c r="K1792" s="60" t="str">
        <f t="shared" si="2"/>
        <v/>
      </c>
    </row>
    <row r="1793">
      <c r="A1793" s="61" t="str">
        <f t="shared" si="1"/>
        <v/>
      </c>
      <c r="B1793" s="73"/>
      <c r="C1793" s="76"/>
      <c r="D1793" s="76" t="str">
        <f>VLOOKUP(B1793,'HEAD OF THE FAMILY'!B1934:J2790,9,FALSE)</f>
        <v>#REF!</v>
      </c>
      <c r="E1793" s="3"/>
      <c r="F1793" s="3"/>
      <c r="G1793" s="7"/>
      <c r="H1793" s="7"/>
      <c r="I1793" s="7"/>
      <c r="J1793" s="60"/>
      <c r="K1793" s="60" t="str">
        <f t="shared" si="2"/>
        <v/>
      </c>
    </row>
    <row r="1794">
      <c r="A1794" s="61" t="str">
        <f t="shared" si="1"/>
        <v/>
      </c>
      <c r="B1794" s="73"/>
      <c r="C1794" s="76"/>
      <c r="D1794" s="76" t="str">
        <f>VLOOKUP(B1794,'HEAD OF THE FAMILY'!B1934:J2791,9,FALSE)</f>
        <v>#REF!</v>
      </c>
      <c r="E1794" s="3"/>
      <c r="F1794" s="3"/>
      <c r="G1794" s="7"/>
      <c r="H1794" s="7"/>
      <c r="I1794" s="7"/>
      <c r="J1794" s="60"/>
      <c r="K1794" s="60" t="str">
        <f t="shared" si="2"/>
        <v/>
      </c>
    </row>
    <row r="1795">
      <c r="A1795" s="61" t="str">
        <f t="shared" si="1"/>
        <v/>
      </c>
      <c r="B1795" s="73"/>
      <c r="C1795" s="76"/>
      <c r="D1795" s="76" t="str">
        <f>VLOOKUP(B1795,'HEAD OF THE FAMILY'!B1934:J2792,9,FALSE)</f>
        <v>#REF!</v>
      </c>
      <c r="E1795" s="3"/>
      <c r="F1795" s="3"/>
      <c r="G1795" s="7"/>
      <c r="H1795" s="7"/>
      <c r="I1795" s="7"/>
      <c r="J1795" s="60"/>
      <c r="K1795" s="60" t="str">
        <f t="shared" si="2"/>
        <v/>
      </c>
    </row>
    <row r="1796">
      <c r="A1796" s="61" t="str">
        <f t="shared" si="1"/>
        <v/>
      </c>
      <c r="B1796" s="73"/>
      <c r="C1796" s="76"/>
      <c r="D1796" s="76" t="str">
        <f>VLOOKUP(B1796,'HEAD OF THE FAMILY'!B1934:J2793,9,FALSE)</f>
        <v>#REF!</v>
      </c>
      <c r="E1796" s="3"/>
      <c r="F1796" s="3"/>
      <c r="G1796" s="7"/>
      <c r="H1796" s="7"/>
      <c r="I1796" s="7"/>
      <c r="J1796" s="60"/>
      <c r="K1796" s="60" t="str">
        <f t="shared" si="2"/>
        <v/>
      </c>
    </row>
    <row r="1797">
      <c r="A1797" s="61" t="str">
        <f t="shared" si="1"/>
        <v/>
      </c>
      <c r="B1797" s="73"/>
      <c r="C1797" s="76"/>
      <c r="D1797" s="76" t="str">
        <f>VLOOKUP(B1797,'HEAD OF THE FAMILY'!B1934:J2794,9,FALSE)</f>
        <v>#REF!</v>
      </c>
      <c r="E1797" s="3"/>
      <c r="F1797" s="3"/>
      <c r="G1797" s="7"/>
      <c r="H1797" s="7"/>
      <c r="I1797" s="7"/>
      <c r="J1797" s="60"/>
      <c r="K1797" s="60" t="str">
        <f t="shared" si="2"/>
        <v/>
      </c>
    </row>
    <row r="1798">
      <c r="A1798" s="61" t="str">
        <f t="shared" si="1"/>
        <v/>
      </c>
      <c r="B1798" s="73"/>
      <c r="C1798" s="76"/>
      <c r="D1798" s="76" t="str">
        <f>VLOOKUP(B1798,'HEAD OF THE FAMILY'!B1934:J2795,9,FALSE)</f>
        <v>#REF!</v>
      </c>
      <c r="E1798" s="3"/>
      <c r="F1798" s="3"/>
      <c r="G1798" s="7"/>
      <c r="H1798" s="7"/>
      <c r="I1798" s="7"/>
      <c r="J1798" s="60"/>
      <c r="K1798" s="60" t="str">
        <f t="shared" si="2"/>
        <v/>
      </c>
    </row>
    <row r="1799">
      <c r="A1799" s="61" t="str">
        <f t="shared" si="1"/>
        <v/>
      </c>
      <c r="B1799" s="73"/>
      <c r="C1799" s="76"/>
      <c r="D1799" s="76" t="str">
        <f>VLOOKUP(B1799,'HEAD OF THE FAMILY'!B1934:J2796,9,FALSE)</f>
        <v>#REF!</v>
      </c>
      <c r="E1799" s="3"/>
      <c r="F1799" s="3"/>
      <c r="G1799" s="7"/>
      <c r="H1799" s="7"/>
      <c r="I1799" s="7"/>
      <c r="J1799" s="60"/>
      <c r="K1799" s="60" t="str">
        <f t="shared" si="2"/>
        <v/>
      </c>
    </row>
    <row r="1800">
      <c r="A1800" s="61" t="str">
        <f t="shared" si="1"/>
        <v/>
      </c>
      <c r="B1800" s="73"/>
      <c r="C1800" s="76"/>
      <c r="D1800" s="76" t="str">
        <f>VLOOKUP(B1800,'HEAD OF THE FAMILY'!B1934:J2797,9,FALSE)</f>
        <v>#REF!</v>
      </c>
      <c r="E1800" s="3"/>
      <c r="F1800" s="3"/>
      <c r="G1800" s="7"/>
      <c r="H1800" s="7"/>
      <c r="I1800" s="7"/>
      <c r="J1800" s="60"/>
      <c r="K1800" s="60" t="str">
        <f t="shared" si="2"/>
        <v/>
      </c>
    </row>
    <row r="1801">
      <c r="A1801" s="61" t="str">
        <f t="shared" si="1"/>
        <v/>
      </c>
      <c r="B1801" s="73"/>
      <c r="C1801" s="76"/>
      <c r="D1801" s="76" t="str">
        <f>VLOOKUP(B1801,'HEAD OF THE FAMILY'!B1934:J2798,9,FALSE)</f>
        <v>#REF!</v>
      </c>
      <c r="E1801" s="3"/>
      <c r="F1801" s="3"/>
      <c r="G1801" s="7"/>
      <c r="H1801" s="7"/>
      <c r="I1801" s="7"/>
      <c r="J1801" s="60"/>
      <c r="K1801" s="60" t="str">
        <f t="shared" si="2"/>
        <v/>
      </c>
    </row>
    <row r="1802">
      <c r="A1802" s="61" t="str">
        <f t="shared" si="1"/>
        <v/>
      </c>
      <c r="B1802" s="73"/>
      <c r="C1802" s="76"/>
      <c r="D1802" s="76" t="str">
        <f>VLOOKUP(B1802,'HEAD OF THE FAMILY'!B1934:J2799,9,FALSE)</f>
        <v>#REF!</v>
      </c>
      <c r="E1802" s="3"/>
      <c r="F1802" s="3"/>
      <c r="G1802" s="7"/>
      <c r="H1802" s="7"/>
      <c r="I1802" s="7"/>
      <c r="J1802" s="60"/>
      <c r="K1802" s="60" t="str">
        <f t="shared" si="2"/>
        <v/>
      </c>
    </row>
    <row r="1803">
      <c r="A1803" s="61" t="str">
        <f t="shared" si="1"/>
        <v/>
      </c>
      <c r="B1803" s="73"/>
      <c r="C1803" s="76"/>
      <c r="D1803" s="76" t="str">
        <f>VLOOKUP(B1803,'HEAD OF THE FAMILY'!B1934:J2800,9,FALSE)</f>
        <v>#REF!</v>
      </c>
      <c r="E1803" s="3"/>
      <c r="F1803" s="3"/>
      <c r="G1803" s="7"/>
      <c r="H1803" s="7"/>
      <c r="I1803" s="7"/>
      <c r="J1803" s="60"/>
      <c r="K1803" s="60" t="str">
        <f t="shared" si="2"/>
        <v/>
      </c>
    </row>
    <row r="1804">
      <c r="A1804" s="61" t="str">
        <f t="shared" si="1"/>
        <v/>
      </c>
      <c r="B1804" s="73"/>
      <c r="C1804" s="76"/>
      <c r="D1804" s="76" t="str">
        <f>VLOOKUP(B1804,'HEAD OF THE FAMILY'!B1934:J2801,9,FALSE)</f>
        <v>#REF!</v>
      </c>
      <c r="E1804" s="3"/>
      <c r="F1804" s="3"/>
      <c r="G1804" s="7"/>
      <c r="H1804" s="7"/>
      <c r="I1804" s="7"/>
      <c r="J1804" s="60"/>
      <c r="K1804" s="60" t="str">
        <f t="shared" si="2"/>
        <v/>
      </c>
    </row>
    <row r="1805">
      <c r="A1805" s="61" t="str">
        <f t="shared" si="1"/>
        <v/>
      </c>
      <c r="B1805" s="73"/>
      <c r="C1805" s="76"/>
      <c r="D1805" s="76" t="str">
        <f>VLOOKUP(B1805,'HEAD OF THE FAMILY'!B1934:J2802,9,FALSE)</f>
        <v>#REF!</v>
      </c>
      <c r="E1805" s="3"/>
      <c r="F1805" s="3"/>
      <c r="G1805" s="7"/>
      <c r="H1805" s="7"/>
      <c r="I1805" s="7"/>
      <c r="J1805" s="60"/>
      <c r="K1805" s="60" t="str">
        <f t="shared" si="2"/>
        <v/>
      </c>
    </row>
    <row r="1806">
      <c r="A1806" s="61" t="str">
        <f t="shared" si="1"/>
        <v/>
      </c>
      <c r="B1806" s="73"/>
      <c r="C1806" s="76"/>
      <c r="D1806" s="76" t="str">
        <f>VLOOKUP(B1806,'HEAD OF THE FAMILY'!B1934:J2803,9,FALSE)</f>
        <v>#REF!</v>
      </c>
      <c r="E1806" s="3"/>
      <c r="F1806" s="3"/>
      <c r="G1806" s="7"/>
      <c r="H1806" s="7"/>
      <c r="I1806" s="7"/>
      <c r="J1806" s="60"/>
      <c r="K1806" s="60" t="str">
        <f t="shared" si="2"/>
        <v/>
      </c>
    </row>
    <row r="1807">
      <c r="A1807" s="61" t="str">
        <f t="shared" si="1"/>
        <v/>
      </c>
      <c r="B1807" s="73"/>
      <c r="C1807" s="76"/>
      <c r="D1807" s="76" t="str">
        <f>VLOOKUP(B1807,'HEAD OF THE FAMILY'!B1934:J2804,9,FALSE)</f>
        <v>#REF!</v>
      </c>
      <c r="E1807" s="3"/>
      <c r="F1807" s="3"/>
      <c r="G1807" s="7"/>
      <c r="H1807" s="7"/>
      <c r="I1807" s="7"/>
      <c r="J1807" s="60"/>
      <c r="K1807" s="60" t="str">
        <f t="shared" si="2"/>
        <v/>
      </c>
    </row>
    <row r="1808">
      <c r="A1808" s="61" t="str">
        <f t="shared" si="1"/>
        <v/>
      </c>
      <c r="B1808" s="73"/>
      <c r="C1808" s="76"/>
      <c r="D1808" s="76" t="str">
        <f>VLOOKUP(B1808,'HEAD OF THE FAMILY'!B1934:J2805,9,FALSE)</f>
        <v>#REF!</v>
      </c>
      <c r="E1808" s="3"/>
      <c r="F1808" s="3"/>
      <c r="G1808" s="7"/>
      <c r="H1808" s="7"/>
      <c r="I1808" s="7"/>
      <c r="J1808" s="60"/>
      <c r="K1808" s="60" t="str">
        <f t="shared" si="2"/>
        <v/>
      </c>
    </row>
    <row r="1809">
      <c r="A1809" s="61" t="str">
        <f t="shared" si="1"/>
        <v/>
      </c>
      <c r="B1809" s="73"/>
      <c r="C1809" s="76"/>
      <c r="D1809" s="76" t="str">
        <f>VLOOKUP(B1809,'HEAD OF THE FAMILY'!B1934:J2806,9,FALSE)</f>
        <v>#REF!</v>
      </c>
      <c r="E1809" s="3"/>
      <c r="F1809" s="3"/>
      <c r="G1809" s="7"/>
      <c r="H1809" s="7"/>
      <c r="I1809" s="7"/>
      <c r="J1809" s="60"/>
      <c r="K1809" s="60" t="str">
        <f t="shared" si="2"/>
        <v/>
      </c>
    </row>
    <row r="1810">
      <c r="A1810" s="61" t="str">
        <f t="shared" si="1"/>
        <v/>
      </c>
      <c r="B1810" s="73"/>
      <c r="C1810" s="76"/>
      <c r="D1810" s="76" t="str">
        <f>VLOOKUP(B1810,'HEAD OF THE FAMILY'!B1934:J2807,9,FALSE)</f>
        <v>#REF!</v>
      </c>
      <c r="E1810" s="3"/>
      <c r="F1810" s="3"/>
      <c r="G1810" s="7"/>
      <c r="H1810" s="7"/>
      <c r="I1810" s="7"/>
      <c r="J1810" s="60"/>
      <c r="K1810" s="60" t="str">
        <f t="shared" si="2"/>
        <v/>
      </c>
    </row>
    <row r="1811">
      <c r="A1811" s="61" t="str">
        <f t="shared" si="1"/>
        <v/>
      </c>
      <c r="B1811" s="73"/>
      <c r="C1811" s="76"/>
      <c r="D1811" s="76" t="str">
        <f>VLOOKUP(B1811,'HEAD OF THE FAMILY'!B1934:J2808,9,FALSE)</f>
        <v>#REF!</v>
      </c>
      <c r="E1811" s="3"/>
      <c r="F1811" s="3"/>
      <c r="G1811" s="7"/>
      <c r="H1811" s="7"/>
      <c r="I1811" s="7"/>
      <c r="J1811" s="60"/>
      <c r="K1811" s="60" t="str">
        <f t="shared" si="2"/>
        <v/>
      </c>
    </row>
    <row r="1812">
      <c r="A1812" s="61" t="str">
        <f t="shared" si="1"/>
        <v/>
      </c>
      <c r="B1812" s="73"/>
      <c r="C1812" s="76"/>
      <c r="D1812" s="76" t="str">
        <f>VLOOKUP(B1812,'HEAD OF THE FAMILY'!B1934:J2809,9,FALSE)</f>
        <v>#REF!</v>
      </c>
      <c r="E1812" s="3"/>
      <c r="F1812" s="3"/>
      <c r="G1812" s="7"/>
      <c r="H1812" s="7"/>
      <c r="I1812" s="7"/>
      <c r="J1812" s="60"/>
      <c r="K1812" s="60" t="str">
        <f t="shared" si="2"/>
        <v/>
      </c>
    </row>
    <row r="1813">
      <c r="A1813" s="61" t="str">
        <f t="shared" si="1"/>
        <v/>
      </c>
      <c r="B1813" s="73"/>
      <c r="C1813" s="76"/>
      <c r="D1813" s="76" t="str">
        <f>VLOOKUP(B1813,'HEAD OF THE FAMILY'!B1934:J2810,9,FALSE)</f>
        <v>#REF!</v>
      </c>
      <c r="E1813" s="3"/>
      <c r="F1813" s="3"/>
      <c r="G1813" s="7"/>
      <c r="H1813" s="7"/>
      <c r="I1813" s="7"/>
      <c r="J1813" s="60"/>
      <c r="K1813" s="60" t="str">
        <f t="shared" si="2"/>
        <v/>
      </c>
    </row>
    <row r="1814">
      <c r="A1814" s="61" t="str">
        <f t="shared" si="1"/>
        <v/>
      </c>
      <c r="B1814" s="73"/>
      <c r="C1814" s="76"/>
      <c r="D1814" s="76" t="str">
        <f>VLOOKUP(B1814,'HEAD OF THE FAMILY'!B1934:J2811,9,FALSE)</f>
        <v>#REF!</v>
      </c>
      <c r="E1814" s="3"/>
      <c r="F1814" s="3"/>
      <c r="G1814" s="7"/>
      <c r="H1814" s="7"/>
      <c r="I1814" s="7"/>
      <c r="J1814" s="60"/>
      <c r="K1814" s="60" t="str">
        <f t="shared" si="2"/>
        <v/>
      </c>
    </row>
    <row r="1815">
      <c r="A1815" s="61" t="str">
        <f t="shared" si="1"/>
        <v/>
      </c>
      <c r="B1815" s="73"/>
      <c r="C1815" s="76"/>
      <c r="D1815" s="76" t="str">
        <f>VLOOKUP(B1815,'HEAD OF THE FAMILY'!B1934:J2812,9,FALSE)</f>
        <v>#REF!</v>
      </c>
      <c r="E1815" s="3"/>
      <c r="F1815" s="3"/>
      <c r="G1815" s="7"/>
      <c r="H1815" s="7"/>
      <c r="I1815" s="7"/>
      <c r="J1815" s="60"/>
      <c r="K1815" s="60" t="str">
        <f t="shared" si="2"/>
        <v/>
      </c>
    </row>
    <row r="1816">
      <c r="A1816" s="61" t="str">
        <f t="shared" si="1"/>
        <v/>
      </c>
      <c r="B1816" s="73"/>
      <c r="C1816" s="76"/>
      <c r="D1816" s="76" t="str">
        <f>VLOOKUP(B1816,'HEAD OF THE FAMILY'!B1934:J2813,9,FALSE)</f>
        <v>#REF!</v>
      </c>
      <c r="E1816" s="3"/>
      <c r="F1816" s="3"/>
      <c r="G1816" s="7"/>
      <c r="H1816" s="7"/>
      <c r="I1816" s="7"/>
      <c r="J1816" s="60"/>
      <c r="K1816" s="60" t="str">
        <f t="shared" si="2"/>
        <v/>
      </c>
    </row>
    <row r="1817">
      <c r="A1817" s="61" t="str">
        <f t="shared" si="1"/>
        <v/>
      </c>
      <c r="B1817" s="73"/>
      <c r="C1817" s="76"/>
      <c r="D1817" s="76" t="str">
        <f>VLOOKUP(B1817,'HEAD OF THE FAMILY'!B1934:J2814,9,FALSE)</f>
        <v>#REF!</v>
      </c>
      <c r="E1817" s="3"/>
      <c r="F1817" s="3"/>
      <c r="G1817" s="7"/>
      <c r="H1817" s="7"/>
      <c r="I1817" s="7"/>
      <c r="J1817" s="60"/>
      <c r="K1817" s="60" t="str">
        <f t="shared" si="2"/>
        <v/>
      </c>
    </row>
    <row r="1818">
      <c r="A1818" s="61" t="str">
        <f t="shared" si="1"/>
        <v/>
      </c>
      <c r="B1818" s="73"/>
      <c r="C1818" s="76"/>
      <c r="D1818" s="76" t="str">
        <f>VLOOKUP(B1818,'HEAD OF THE FAMILY'!B1934:J2815,9,FALSE)</f>
        <v>#REF!</v>
      </c>
      <c r="E1818" s="3"/>
      <c r="F1818" s="3"/>
      <c r="G1818" s="7"/>
      <c r="H1818" s="7"/>
      <c r="I1818" s="7"/>
      <c r="J1818" s="60"/>
      <c r="K1818" s="60" t="str">
        <f t="shared" si="2"/>
        <v/>
      </c>
    </row>
    <row r="1819">
      <c r="A1819" s="61" t="str">
        <f t="shared" si="1"/>
        <v/>
      </c>
      <c r="B1819" s="73"/>
      <c r="C1819" s="76"/>
      <c r="D1819" s="76" t="str">
        <f>VLOOKUP(B1819,'HEAD OF THE FAMILY'!B1934:J2816,9,FALSE)</f>
        <v>#REF!</v>
      </c>
      <c r="E1819" s="3"/>
      <c r="F1819" s="3"/>
      <c r="G1819" s="7"/>
      <c r="H1819" s="7"/>
      <c r="I1819" s="7"/>
      <c r="J1819" s="60"/>
      <c r="K1819" s="60" t="str">
        <f t="shared" si="2"/>
        <v/>
      </c>
    </row>
    <row r="1820">
      <c r="A1820" s="61" t="str">
        <f t="shared" si="1"/>
        <v/>
      </c>
      <c r="B1820" s="73"/>
      <c r="C1820" s="76"/>
      <c r="D1820" s="76" t="str">
        <f>VLOOKUP(B1820,'HEAD OF THE FAMILY'!B1934:J2817,9,FALSE)</f>
        <v>#REF!</v>
      </c>
      <c r="E1820" s="3"/>
      <c r="F1820" s="3"/>
      <c r="G1820" s="7"/>
      <c r="H1820" s="7"/>
      <c r="I1820" s="7"/>
      <c r="J1820" s="60"/>
      <c r="K1820" s="60" t="str">
        <f t="shared" si="2"/>
        <v/>
      </c>
    </row>
    <row r="1821">
      <c r="A1821" s="61" t="str">
        <f t="shared" si="1"/>
        <v/>
      </c>
      <c r="B1821" s="73"/>
      <c r="C1821" s="76"/>
      <c r="D1821" s="76" t="str">
        <f>VLOOKUP(B1821,'HEAD OF THE FAMILY'!B1934:J2818,9,FALSE)</f>
        <v>#REF!</v>
      </c>
      <c r="E1821" s="3"/>
      <c r="F1821" s="3"/>
      <c r="G1821" s="7"/>
      <c r="H1821" s="7"/>
      <c r="I1821" s="7"/>
      <c r="J1821" s="60"/>
      <c r="K1821" s="60" t="str">
        <f t="shared" si="2"/>
        <v/>
      </c>
    </row>
    <row r="1822">
      <c r="A1822" s="61" t="str">
        <f t="shared" si="1"/>
        <v/>
      </c>
      <c r="B1822" s="73"/>
      <c r="C1822" s="76"/>
      <c r="D1822" s="76" t="str">
        <f>VLOOKUP(B1822,'HEAD OF THE FAMILY'!B1934:J2819,9,FALSE)</f>
        <v>#REF!</v>
      </c>
      <c r="E1822" s="3"/>
      <c r="F1822" s="3"/>
      <c r="G1822" s="7"/>
      <c r="H1822" s="7"/>
      <c r="I1822" s="7"/>
      <c r="J1822" s="60"/>
      <c r="K1822" s="60" t="str">
        <f t="shared" si="2"/>
        <v/>
      </c>
    </row>
    <row r="1823">
      <c r="A1823" s="61" t="str">
        <f t="shared" si="1"/>
        <v/>
      </c>
      <c r="B1823" s="73"/>
      <c r="C1823" s="76"/>
      <c r="D1823" s="76" t="str">
        <f>VLOOKUP(B1823,'HEAD OF THE FAMILY'!B1934:J2820,9,FALSE)</f>
        <v>#REF!</v>
      </c>
      <c r="E1823" s="3"/>
      <c r="F1823" s="3"/>
      <c r="G1823" s="7"/>
      <c r="H1823" s="7"/>
      <c r="I1823" s="7"/>
      <c r="J1823" s="60"/>
      <c r="K1823" s="60" t="str">
        <f t="shared" si="2"/>
        <v/>
      </c>
    </row>
    <row r="1824">
      <c r="A1824" s="61" t="str">
        <f t="shared" si="1"/>
        <v/>
      </c>
      <c r="B1824" s="73"/>
      <c r="C1824" s="76"/>
      <c r="D1824" s="76" t="str">
        <f>VLOOKUP(B1824,'HEAD OF THE FAMILY'!B1934:J2821,9,FALSE)</f>
        <v>#REF!</v>
      </c>
      <c r="E1824" s="3"/>
      <c r="F1824" s="3"/>
      <c r="G1824" s="7"/>
      <c r="H1824" s="7"/>
      <c r="I1824" s="7"/>
      <c r="J1824" s="60"/>
      <c r="K1824" s="60" t="str">
        <f t="shared" si="2"/>
        <v/>
      </c>
    </row>
    <row r="1825">
      <c r="A1825" s="61" t="str">
        <f t="shared" si="1"/>
        <v/>
      </c>
      <c r="B1825" s="73"/>
      <c r="C1825" s="76"/>
      <c r="D1825" s="76" t="str">
        <f>VLOOKUP(B1825,'HEAD OF THE FAMILY'!B1934:J2822,9,FALSE)</f>
        <v>#REF!</v>
      </c>
      <c r="E1825" s="3"/>
      <c r="F1825" s="3"/>
      <c r="G1825" s="7"/>
      <c r="H1825" s="7"/>
      <c r="I1825" s="7"/>
      <c r="J1825" s="60"/>
      <c r="K1825" s="60" t="str">
        <f t="shared" si="2"/>
        <v/>
      </c>
    </row>
    <row r="1826">
      <c r="A1826" s="61" t="str">
        <f t="shared" si="1"/>
        <v/>
      </c>
      <c r="B1826" s="73"/>
      <c r="C1826" s="76"/>
      <c r="D1826" s="76" t="str">
        <f>VLOOKUP(B1826,'HEAD OF THE FAMILY'!B1934:J2823,9,FALSE)</f>
        <v>#REF!</v>
      </c>
      <c r="E1826" s="3"/>
      <c r="F1826" s="3"/>
      <c r="G1826" s="7"/>
      <c r="H1826" s="7"/>
      <c r="I1826" s="7"/>
      <c r="J1826" s="60"/>
      <c r="K1826" s="60" t="str">
        <f t="shared" si="2"/>
        <v/>
      </c>
    </row>
    <row r="1827">
      <c r="A1827" s="61" t="str">
        <f t="shared" si="1"/>
        <v/>
      </c>
      <c r="B1827" s="73"/>
      <c r="C1827" s="76"/>
      <c r="D1827" s="76" t="str">
        <f>VLOOKUP(B1827,'HEAD OF THE FAMILY'!B1934:J2824,9,FALSE)</f>
        <v>#REF!</v>
      </c>
      <c r="E1827" s="3"/>
      <c r="F1827" s="3"/>
      <c r="G1827" s="7"/>
      <c r="H1827" s="7"/>
      <c r="I1827" s="7"/>
      <c r="J1827" s="60"/>
      <c r="K1827" s="60" t="str">
        <f t="shared" si="2"/>
        <v/>
      </c>
    </row>
    <row r="1828">
      <c r="A1828" s="61" t="str">
        <f t="shared" si="1"/>
        <v/>
      </c>
      <c r="B1828" s="73"/>
      <c r="C1828" s="76"/>
      <c r="D1828" s="76" t="str">
        <f>VLOOKUP(B1828,'HEAD OF THE FAMILY'!B1934:J2825,9,FALSE)</f>
        <v>#REF!</v>
      </c>
      <c r="E1828" s="3"/>
      <c r="F1828" s="3"/>
      <c r="G1828" s="7"/>
      <c r="H1828" s="7"/>
      <c r="I1828" s="7"/>
      <c r="J1828" s="60"/>
      <c r="K1828" s="60" t="str">
        <f t="shared" si="2"/>
        <v/>
      </c>
    </row>
    <row r="1829">
      <c r="A1829" s="61" t="str">
        <f t="shared" si="1"/>
        <v/>
      </c>
      <c r="B1829" s="73"/>
      <c r="C1829" s="76"/>
      <c r="D1829" s="76" t="str">
        <f>VLOOKUP(B1829,'HEAD OF THE FAMILY'!B1934:J2826,9,FALSE)</f>
        <v>#REF!</v>
      </c>
      <c r="E1829" s="3"/>
      <c r="F1829" s="3"/>
      <c r="G1829" s="7"/>
      <c r="H1829" s="7"/>
      <c r="I1829" s="7"/>
      <c r="J1829" s="60"/>
      <c r="K1829" s="60" t="str">
        <f t="shared" si="2"/>
        <v/>
      </c>
    </row>
    <row r="1830">
      <c r="A1830" s="61" t="str">
        <f t="shared" si="1"/>
        <v/>
      </c>
      <c r="B1830" s="73"/>
      <c r="C1830" s="76"/>
      <c r="D1830" s="76" t="str">
        <f>VLOOKUP(B1830,'HEAD OF THE FAMILY'!B1934:J2827,9,FALSE)</f>
        <v>#REF!</v>
      </c>
      <c r="E1830" s="3"/>
      <c r="F1830" s="3"/>
      <c r="G1830" s="7"/>
      <c r="H1830" s="7"/>
      <c r="I1830" s="7"/>
      <c r="J1830" s="60"/>
      <c r="K1830" s="60" t="str">
        <f t="shared" si="2"/>
        <v/>
      </c>
    </row>
    <row r="1831">
      <c r="A1831" s="61" t="str">
        <f t="shared" si="1"/>
        <v/>
      </c>
      <c r="B1831" s="73"/>
      <c r="C1831" s="76"/>
      <c r="D1831" s="76" t="str">
        <f>VLOOKUP(B1831,'HEAD OF THE FAMILY'!B1934:J2828,9,FALSE)</f>
        <v>#REF!</v>
      </c>
      <c r="E1831" s="3"/>
      <c r="F1831" s="3"/>
      <c r="G1831" s="7"/>
      <c r="H1831" s="7"/>
      <c r="I1831" s="7"/>
      <c r="J1831" s="60"/>
      <c r="K1831" s="60" t="str">
        <f t="shared" si="2"/>
        <v/>
      </c>
    </row>
    <row r="1832">
      <c r="A1832" s="61" t="str">
        <f t="shared" si="1"/>
        <v/>
      </c>
      <c r="B1832" s="73"/>
      <c r="C1832" s="76"/>
      <c r="D1832" s="76" t="str">
        <f>VLOOKUP(B1832,'HEAD OF THE FAMILY'!B1934:J2829,9,FALSE)</f>
        <v>#REF!</v>
      </c>
      <c r="E1832" s="3"/>
      <c r="F1832" s="3"/>
      <c r="G1832" s="7"/>
      <c r="H1832" s="7"/>
      <c r="I1832" s="7"/>
      <c r="J1832" s="60"/>
      <c r="K1832" s="60" t="str">
        <f t="shared" si="2"/>
        <v/>
      </c>
    </row>
    <row r="1833">
      <c r="A1833" s="61" t="str">
        <f t="shared" si="1"/>
        <v/>
      </c>
      <c r="B1833" s="73"/>
      <c r="C1833" s="76"/>
      <c r="D1833" s="76" t="str">
        <f>VLOOKUP(B1833,'HEAD OF THE FAMILY'!B1934:J2830,9,FALSE)</f>
        <v>#REF!</v>
      </c>
      <c r="E1833" s="3"/>
      <c r="F1833" s="3"/>
      <c r="G1833" s="7"/>
      <c r="H1833" s="7"/>
      <c r="I1833" s="7"/>
      <c r="J1833" s="60"/>
      <c r="K1833" s="60" t="str">
        <f t="shared" si="2"/>
        <v/>
      </c>
    </row>
    <row r="1834">
      <c r="A1834" s="61" t="str">
        <f t="shared" si="1"/>
        <v/>
      </c>
      <c r="B1834" s="73"/>
      <c r="C1834" s="76"/>
      <c r="D1834" s="76" t="str">
        <f>VLOOKUP(B1834,'HEAD OF THE FAMILY'!B1934:J2831,9,FALSE)</f>
        <v>#REF!</v>
      </c>
      <c r="E1834" s="3"/>
      <c r="F1834" s="3"/>
      <c r="G1834" s="7"/>
      <c r="H1834" s="7"/>
      <c r="I1834" s="7"/>
      <c r="J1834" s="60"/>
      <c r="K1834" s="60" t="str">
        <f t="shared" si="2"/>
        <v/>
      </c>
    </row>
    <row r="1835">
      <c r="A1835" s="61" t="str">
        <f t="shared" si="1"/>
        <v/>
      </c>
      <c r="B1835" s="73"/>
      <c r="C1835" s="76"/>
      <c r="D1835" s="76" t="str">
        <f>VLOOKUP(B1835,'HEAD OF THE FAMILY'!B1934:J2832,9,FALSE)</f>
        <v>#REF!</v>
      </c>
      <c r="E1835" s="3"/>
      <c r="F1835" s="3"/>
      <c r="G1835" s="7"/>
      <c r="H1835" s="7"/>
      <c r="I1835" s="7"/>
      <c r="J1835" s="60"/>
      <c r="K1835" s="60" t="str">
        <f t="shared" si="2"/>
        <v/>
      </c>
    </row>
    <row r="1836">
      <c r="A1836" s="61" t="str">
        <f t="shared" si="1"/>
        <v/>
      </c>
      <c r="B1836" s="73"/>
      <c r="C1836" s="76"/>
      <c r="D1836" s="76" t="str">
        <f>VLOOKUP(B1836,'HEAD OF THE FAMILY'!B1934:J2833,9,FALSE)</f>
        <v>#REF!</v>
      </c>
      <c r="E1836" s="3"/>
      <c r="F1836" s="3"/>
      <c r="G1836" s="7"/>
      <c r="H1836" s="7"/>
      <c r="I1836" s="7"/>
      <c r="J1836" s="60"/>
      <c r="K1836" s="60" t="str">
        <f t="shared" si="2"/>
        <v/>
      </c>
    </row>
    <row r="1837">
      <c r="A1837" s="61" t="str">
        <f t="shared" si="1"/>
        <v/>
      </c>
      <c r="B1837" s="73"/>
      <c r="C1837" s="76"/>
      <c r="D1837" s="76" t="str">
        <f>VLOOKUP(B1837,'HEAD OF THE FAMILY'!B1934:J2834,9,FALSE)</f>
        <v>#REF!</v>
      </c>
      <c r="E1837" s="3"/>
      <c r="F1837" s="3"/>
      <c r="G1837" s="7"/>
      <c r="H1837" s="7"/>
      <c r="I1837" s="7"/>
      <c r="J1837" s="60"/>
      <c r="K1837" s="60" t="str">
        <f t="shared" si="2"/>
        <v/>
      </c>
    </row>
    <row r="1838">
      <c r="A1838" s="61" t="str">
        <f t="shared" si="1"/>
        <v/>
      </c>
      <c r="B1838" s="73"/>
      <c r="C1838" s="76"/>
      <c r="D1838" s="76" t="str">
        <f>VLOOKUP(B1838,'HEAD OF THE FAMILY'!B1934:J2835,9,FALSE)</f>
        <v>#REF!</v>
      </c>
      <c r="E1838" s="3"/>
      <c r="F1838" s="3"/>
      <c r="G1838" s="7"/>
      <c r="H1838" s="7"/>
      <c r="I1838" s="7"/>
      <c r="J1838" s="60"/>
      <c r="K1838" s="60" t="str">
        <f t="shared" si="2"/>
        <v/>
      </c>
    </row>
    <row r="1839">
      <c r="A1839" s="61" t="str">
        <f t="shared" si="1"/>
        <v/>
      </c>
      <c r="B1839" s="73"/>
      <c r="C1839" s="76"/>
      <c r="D1839" s="76" t="str">
        <f>VLOOKUP(B1839,'HEAD OF THE FAMILY'!B1934:J2836,9,FALSE)</f>
        <v>#REF!</v>
      </c>
      <c r="E1839" s="3"/>
      <c r="F1839" s="3"/>
      <c r="G1839" s="7"/>
      <c r="H1839" s="7"/>
      <c r="I1839" s="7"/>
      <c r="J1839" s="60"/>
      <c r="K1839" s="60" t="str">
        <f t="shared" si="2"/>
        <v/>
      </c>
    </row>
    <row r="1840">
      <c r="A1840" s="61" t="str">
        <f t="shared" si="1"/>
        <v/>
      </c>
      <c r="B1840" s="73"/>
      <c r="C1840" s="76"/>
      <c r="D1840" s="76" t="str">
        <f>VLOOKUP(B1840,'HEAD OF THE FAMILY'!B1934:J2837,9,FALSE)</f>
        <v>#REF!</v>
      </c>
      <c r="E1840" s="3"/>
      <c r="F1840" s="3"/>
      <c r="G1840" s="7"/>
      <c r="H1840" s="7"/>
      <c r="I1840" s="7"/>
      <c r="J1840" s="60"/>
      <c r="K1840" s="60" t="str">
        <f t="shared" si="2"/>
        <v/>
      </c>
    </row>
    <row r="1841">
      <c r="A1841" s="61" t="str">
        <f t="shared" si="1"/>
        <v/>
      </c>
      <c r="B1841" s="73"/>
      <c r="C1841" s="76"/>
      <c r="D1841" s="76" t="str">
        <f>VLOOKUP(B1841,'HEAD OF THE FAMILY'!B1934:J2838,9,FALSE)</f>
        <v>#REF!</v>
      </c>
      <c r="E1841" s="3"/>
      <c r="F1841" s="3"/>
      <c r="G1841" s="7"/>
      <c r="H1841" s="7"/>
      <c r="I1841" s="7"/>
      <c r="J1841" s="60"/>
      <c r="K1841" s="60" t="str">
        <f t="shared" si="2"/>
        <v/>
      </c>
    </row>
    <row r="1842">
      <c r="A1842" s="61" t="str">
        <f t="shared" si="1"/>
        <v/>
      </c>
      <c r="B1842" s="73"/>
      <c r="C1842" s="76"/>
      <c r="D1842" s="76" t="str">
        <f>VLOOKUP(B1842,'HEAD OF THE FAMILY'!B1934:J2839,9,FALSE)</f>
        <v>#REF!</v>
      </c>
      <c r="E1842" s="3"/>
      <c r="F1842" s="3"/>
      <c r="G1842" s="7"/>
      <c r="H1842" s="7"/>
      <c r="I1842" s="7"/>
      <c r="J1842" s="60"/>
      <c r="K1842" s="60" t="str">
        <f t="shared" si="2"/>
        <v/>
      </c>
    </row>
    <row r="1843">
      <c r="A1843" s="61" t="str">
        <f t="shared" si="1"/>
        <v/>
      </c>
      <c r="B1843" s="73"/>
      <c r="C1843" s="76"/>
      <c r="D1843" s="76" t="str">
        <f>VLOOKUP(B1843,'HEAD OF THE FAMILY'!B1934:J2840,9,FALSE)</f>
        <v>#REF!</v>
      </c>
      <c r="E1843" s="3"/>
      <c r="F1843" s="3"/>
      <c r="G1843" s="7"/>
      <c r="H1843" s="7"/>
      <c r="I1843" s="7"/>
      <c r="J1843" s="60"/>
      <c r="K1843" s="60" t="str">
        <f t="shared" si="2"/>
        <v/>
      </c>
    </row>
    <row r="1844">
      <c r="A1844" s="61" t="str">
        <f t="shared" si="1"/>
        <v/>
      </c>
      <c r="B1844" s="73"/>
      <c r="C1844" s="76"/>
      <c r="D1844" s="76" t="str">
        <f>VLOOKUP(B1844,'HEAD OF THE FAMILY'!B1934:J2841,9,FALSE)</f>
        <v>#REF!</v>
      </c>
      <c r="E1844" s="3"/>
      <c r="F1844" s="3"/>
      <c r="G1844" s="7"/>
      <c r="H1844" s="7"/>
      <c r="I1844" s="7"/>
      <c r="J1844" s="60"/>
      <c r="K1844" s="60" t="str">
        <f t="shared" si="2"/>
        <v/>
      </c>
    </row>
    <row r="1845">
      <c r="A1845" s="61" t="str">
        <f t="shared" si="1"/>
        <v/>
      </c>
      <c r="B1845" s="73"/>
      <c r="C1845" s="76"/>
      <c r="D1845" s="76" t="str">
        <f>VLOOKUP(B1845,'HEAD OF THE FAMILY'!B1934:J2842,9,FALSE)</f>
        <v>#REF!</v>
      </c>
      <c r="E1845" s="3"/>
      <c r="F1845" s="3"/>
      <c r="G1845" s="7"/>
      <c r="H1845" s="7"/>
      <c r="I1845" s="7"/>
      <c r="J1845" s="60"/>
      <c r="K1845" s="60" t="str">
        <f t="shared" si="2"/>
        <v/>
      </c>
    </row>
    <row r="1846">
      <c r="A1846" s="61" t="str">
        <f t="shared" si="1"/>
        <v/>
      </c>
      <c r="B1846" s="73"/>
      <c r="C1846" s="76"/>
      <c r="D1846" s="76" t="str">
        <f>VLOOKUP(B1846,'HEAD OF THE FAMILY'!B1934:J2843,9,FALSE)</f>
        <v>#REF!</v>
      </c>
      <c r="E1846" s="3"/>
      <c r="F1846" s="3"/>
      <c r="G1846" s="7"/>
      <c r="H1846" s="7"/>
      <c r="I1846" s="7"/>
      <c r="J1846" s="60"/>
      <c r="K1846" s="60" t="str">
        <f t="shared" si="2"/>
        <v/>
      </c>
    </row>
    <row r="1847">
      <c r="A1847" s="61" t="str">
        <f t="shared" si="1"/>
        <v/>
      </c>
      <c r="B1847" s="73"/>
      <c r="C1847" s="76"/>
      <c r="D1847" s="76" t="str">
        <f>VLOOKUP(B1847,'HEAD OF THE FAMILY'!B1934:J2844,9,FALSE)</f>
        <v>#REF!</v>
      </c>
      <c r="E1847" s="3"/>
      <c r="F1847" s="3"/>
      <c r="G1847" s="7"/>
      <c r="H1847" s="7"/>
      <c r="I1847" s="7"/>
      <c r="J1847" s="60"/>
      <c r="K1847" s="60" t="str">
        <f t="shared" si="2"/>
        <v/>
      </c>
    </row>
    <row r="1848">
      <c r="A1848" s="61" t="str">
        <f t="shared" si="1"/>
        <v/>
      </c>
      <c r="B1848" s="73"/>
      <c r="C1848" s="76"/>
      <c r="D1848" s="76" t="str">
        <f>VLOOKUP(B1848,'HEAD OF THE FAMILY'!B1934:J2845,9,FALSE)</f>
        <v>#REF!</v>
      </c>
      <c r="E1848" s="3"/>
      <c r="F1848" s="3"/>
      <c r="G1848" s="7"/>
      <c r="H1848" s="7"/>
      <c r="I1848" s="7"/>
      <c r="J1848" s="60"/>
      <c r="K1848" s="60" t="str">
        <f t="shared" si="2"/>
        <v/>
      </c>
    </row>
    <row r="1849">
      <c r="A1849" s="61" t="str">
        <f t="shared" si="1"/>
        <v/>
      </c>
      <c r="B1849" s="73"/>
      <c r="C1849" s="76"/>
      <c r="D1849" s="76" t="str">
        <f>VLOOKUP(B1849,'HEAD OF THE FAMILY'!B1934:J2846,9,FALSE)</f>
        <v>#REF!</v>
      </c>
      <c r="E1849" s="3"/>
      <c r="F1849" s="3"/>
      <c r="G1849" s="7"/>
      <c r="H1849" s="7"/>
      <c r="I1849" s="7"/>
      <c r="J1849" s="60"/>
      <c r="K1849" s="60" t="str">
        <f t="shared" si="2"/>
        <v/>
      </c>
    </row>
    <row r="1850">
      <c r="A1850" s="61" t="str">
        <f t="shared" si="1"/>
        <v/>
      </c>
      <c r="B1850" s="73"/>
      <c r="C1850" s="76"/>
      <c r="D1850" s="76" t="str">
        <f>VLOOKUP(B1850,'HEAD OF THE FAMILY'!B1934:J2847,9,FALSE)</f>
        <v>#REF!</v>
      </c>
      <c r="E1850" s="3"/>
      <c r="F1850" s="3"/>
      <c r="G1850" s="7"/>
      <c r="H1850" s="7"/>
      <c r="I1850" s="7"/>
      <c r="J1850" s="60"/>
      <c r="K1850" s="60" t="str">
        <f t="shared" si="2"/>
        <v/>
      </c>
    </row>
    <row r="1851">
      <c r="A1851" s="61" t="str">
        <f t="shared" si="1"/>
        <v/>
      </c>
      <c r="B1851" s="73"/>
      <c r="C1851" s="76"/>
      <c r="D1851" s="76" t="str">
        <f>VLOOKUP(B1851,'HEAD OF THE FAMILY'!B1934:J2848,9,FALSE)</f>
        <v>#REF!</v>
      </c>
      <c r="E1851" s="3"/>
      <c r="F1851" s="3"/>
      <c r="G1851" s="7"/>
      <c r="H1851" s="7"/>
      <c r="I1851" s="7"/>
      <c r="J1851" s="60"/>
      <c r="K1851" s="60" t="str">
        <f t="shared" si="2"/>
        <v/>
      </c>
    </row>
    <row r="1852">
      <c r="A1852" s="61" t="str">
        <f t="shared" si="1"/>
        <v/>
      </c>
      <c r="B1852" s="73"/>
      <c r="C1852" s="76"/>
      <c r="D1852" s="76" t="str">
        <f>VLOOKUP(B1852,'HEAD OF THE FAMILY'!B1934:J2849,9,FALSE)</f>
        <v>#REF!</v>
      </c>
      <c r="E1852" s="3"/>
      <c r="F1852" s="3"/>
      <c r="G1852" s="7"/>
      <c r="H1852" s="7"/>
      <c r="I1852" s="7"/>
      <c r="J1852" s="60"/>
      <c r="K1852" s="60" t="str">
        <f t="shared" si="2"/>
        <v/>
      </c>
    </row>
    <row r="1853">
      <c r="A1853" s="61" t="str">
        <f t="shared" si="1"/>
        <v/>
      </c>
      <c r="B1853" s="73"/>
      <c r="C1853" s="76"/>
      <c r="D1853" s="76" t="str">
        <f>VLOOKUP(B1853,'HEAD OF THE FAMILY'!B1934:J2850,9,FALSE)</f>
        <v>#REF!</v>
      </c>
      <c r="E1853" s="3"/>
      <c r="F1853" s="3"/>
      <c r="G1853" s="7"/>
      <c r="H1853" s="7"/>
      <c r="I1853" s="7"/>
      <c r="J1853" s="60"/>
      <c r="K1853" s="60" t="str">
        <f t="shared" si="2"/>
        <v/>
      </c>
    </row>
    <row r="1854">
      <c r="A1854" s="61" t="str">
        <f t="shared" si="1"/>
        <v/>
      </c>
      <c r="B1854" s="73"/>
      <c r="C1854" s="76"/>
      <c r="D1854" s="76" t="str">
        <f>VLOOKUP(B1854,'HEAD OF THE FAMILY'!B1934:J2851,9,FALSE)</f>
        <v>#REF!</v>
      </c>
      <c r="E1854" s="3"/>
      <c r="F1854" s="3"/>
      <c r="G1854" s="7"/>
      <c r="H1854" s="7"/>
      <c r="I1854" s="7"/>
      <c r="J1854" s="60"/>
      <c r="K1854" s="60" t="str">
        <f t="shared" si="2"/>
        <v/>
      </c>
    </row>
    <row r="1855">
      <c r="A1855" s="61" t="str">
        <f t="shared" si="1"/>
        <v/>
      </c>
      <c r="B1855" s="73"/>
      <c r="C1855" s="76"/>
      <c r="D1855" s="76" t="str">
        <f>VLOOKUP(B1855,'HEAD OF THE FAMILY'!B1934:J2852,9,FALSE)</f>
        <v>#REF!</v>
      </c>
      <c r="E1855" s="3"/>
      <c r="F1855" s="3"/>
      <c r="G1855" s="7"/>
      <c r="H1855" s="7"/>
      <c r="I1855" s="7"/>
      <c r="J1855" s="60"/>
      <c r="K1855" s="60" t="str">
        <f t="shared" si="2"/>
        <v/>
      </c>
    </row>
    <row r="1856">
      <c r="A1856" s="61" t="str">
        <f t="shared" si="1"/>
        <v/>
      </c>
      <c r="B1856" s="73"/>
      <c r="C1856" s="76"/>
      <c r="D1856" s="76" t="str">
        <f>VLOOKUP(B1856,'HEAD OF THE FAMILY'!B1934:J2853,9,FALSE)</f>
        <v>#REF!</v>
      </c>
      <c r="E1856" s="3"/>
      <c r="F1856" s="3"/>
      <c r="G1856" s="7"/>
      <c r="H1856" s="7"/>
      <c r="I1856" s="7"/>
      <c r="J1856" s="60"/>
      <c r="K1856" s="60" t="str">
        <f t="shared" si="2"/>
        <v/>
      </c>
    </row>
    <row r="1857">
      <c r="A1857" s="61" t="str">
        <f t="shared" si="1"/>
        <v/>
      </c>
      <c r="B1857" s="73"/>
      <c r="C1857" s="76"/>
      <c r="D1857" s="76" t="str">
        <f>VLOOKUP(B1857,'HEAD OF THE FAMILY'!B1934:J2854,9,FALSE)</f>
        <v>#REF!</v>
      </c>
      <c r="E1857" s="3"/>
      <c r="F1857" s="3"/>
      <c r="G1857" s="7"/>
      <c r="H1857" s="7"/>
      <c r="I1857" s="7"/>
      <c r="J1857" s="60"/>
      <c r="K1857" s="60" t="str">
        <f t="shared" si="2"/>
        <v/>
      </c>
    </row>
    <row r="1858">
      <c r="A1858" s="61" t="str">
        <f t="shared" si="1"/>
        <v/>
      </c>
      <c r="B1858" s="73"/>
      <c r="C1858" s="76"/>
      <c r="D1858" s="76" t="str">
        <f>VLOOKUP(B1858,'HEAD OF THE FAMILY'!B1934:J2855,9,FALSE)</f>
        <v>#REF!</v>
      </c>
      <c r="E1858" s="3"/>
      <c r="F1858" s="3"/>
      <c r="G1858" s="7"/>
      <c r="H1858" s="7"/>
      <c r="I1858" s="7"/>
      <c r="J1858" s="60"/>
      <c r="K1858" s="60" t="str">
        <f t="shared" si="2"/>
        <v/>
      </c>
    </row>
    <row r="1859">
      <c r="A1859" s="61" t="str">
        <f t="shared" si="1"/>
        <v/>
      </c>
      <c r="B1859" s="73"/>
      <c r="C1859" s="76"/>
      <c r="D1859" s="76" t="str">
        <f>VLOOKUP(B1859,'HEAD OF THE FAMILY'!B1934:J2856,9,FALSE)</f>
        <v>#REF!</v>
      </c>
      <c r="E1859" s="3"/>
      <c r="F1859" s="3"/>
      <c r="G1859" s="7"/>
      <c r="H1859" s="7"/>
      <c r="I1859" s="7"/>
      <c r="J1859" s="60"/>
      <c r="K1859" s="60" t="str">
        <f t="shared" si="2"/>
        <v/>
      </c>
    </row>
    <row r="1860">
      <c r="A1860" s="61" t="str">
        <f t="shared" si="1"/>
        <v/>
      </c>
      <c r="B1860" s="73"/>
      <c r="C1860" s="76"/>
      <c r="D1860" s="76" t="str">
        <f>VLOOKUP(B1860,'HEAD OF THE FAMILY'!B1934:J2857,9,FALSE)</f>
        <v>#REF!</v>
      </c>
      <c r="E1860" s="3"/>
      <c r="F1860" s="3"/>
      <c r="G1860" s="7"/>
      <c r="H1860" s="7"/>
      <c r="I1860" s="7"/>
      <c r="J1860" s="60"/>
      <c r="K1860" s="60" t="str">
        <f t="shared" si="2"/>
        <v/>
      </c>
    </row>
    <row r="1861">
      <c r="A1861" s="61" t="str">
        <f t="shared" si="1"/>
        <v/>
      </c>
      <c r="B1861" s="73"/>
      <c r="C1861" s="76"/>
      <c r="D1861" s="76" t="str">
        <f>VLOOKUP(B1861,'HEAD OF THE FAMILY'!B1934:J2858,9,FALSE)</f>
        <v>#REF!</v>
      </c>
      <c r="E1861" s="3"/>
      <c r="F1861" s="3"/>
      <c r="G1861" s="7"/>
      <c r="H1861" s="7"/>
      <c r="I1861" s="7"/>
      <c r="J1861" s="60"/>
      <c r="K1861" s="60" t="str">
        <f t="shared" si="2"/>
        <v/>
      </c>
    </row>
    <row r="1862">
      <c r="A1862" s="61" t="str">
        <f t="shared" si="1"/>
        <v/>
      </c>
      <c r="B1862" s="73"/>
      <c r="C1862" s="76"/>
      <c r="D1862" s="76" t="str">
        <f>VLOOKUP(B1862,'HEAD OF THE FAMILY'!B1934:J2859,9,FALSE)</f>
        <v>#REF!</v>
      </c>
      <c r="E1862" s="3"/>
      <c r="F1862" s="3"/>
      <c r="G1862" s="7"/>
      <c r="H1862" s="7"/>
      <c r="I1862" s="7"/>
      <c r="J1862" s="60"/>
      <c r="K1862" s="60" t="str">
        <f t="shared" si="2"/>
        <v/>
      </c>
    </row>
    <row r="1863">
      <c r="A1863" s="61" t="str">
        <f t="shared" si="1"/>
        <v/>
      </c>
      <c r="B1863" s="73"/>
      <c r="C1863" s="76"/>
      <c r="D1863" s="76" t="str">
        <f>VLOOKUP(B1863,'HEAD OF THE FAMILY'!B1934:J2860,9,FALSE)</f>
        <v>#REF!</v>
      </c>
      <c r="E1863" s="3"/>
      <c r="F1863" s="3"/>
      <c r="G1863" s="7"/>
      <c r="H1863" s="7"/>
      <c r="I1863" s="7"/>
      <c r="J1863" s="60"/>
      <c r="K1863" s="60" t="str">
        <f t="shared" si="2"/>
        <v/>
      </c>
    </row>
    <row r="1864">
      <c r="A1864" s="61" t="str">
        <f t="shared" si="1"/>
        <v/>
      </c>
      <c r="B1864" s="73"/>
      <c r="C1864" s="76"/>
      <c r="D1864" s="76" t="str">
        <f>VLOOKUP(B1864,'HEAD OF THE FAMILY'!B1934:J2861,9,FALSE)</f>
        <v>#REF!</v>
      </c>
      <c r="E1864" s="3"/>
      <c r="F1864" s="3"/>
      <c r="G1864" s="7"/>
      <c r="H1864" s="7"/>
      <c r="I1864" s="7"/>
      <c r="J1864" s="60"/>
      <c r="K1864" s="60" t="str">
        <f t="shared" si="2"/>
        <v/>
      </c>
    </row>
    <row r="1865">
      <c r="A1865" s="61" t="str">
        <f t="shared" si="1"/>
        <v/>
      </c>
      <c r="B1865" s="73"/>
      <c r="C1865" s="76"/>
      <c r="D1865" s="76" t="str">
        <f>VLOOKUP(B1865,'HEAD OF THE FAMILY'!B1934:J2862,9,FALSE)</f>
        <v>#REF!</v>
      </c>
      <c r="E1865" s="3"/>
      <c r="F1865" s="3"/>
      <c r="G1865" s="7"/>
      <c r="H1865" s="7"/>
      <c r="I1865" s="7"/>
      <c r="J1865" s="60"/>
      <c r="K1865" s="60" t="str">
        <f t="shared" si="2"/>
        <v/>
      </c>
    </row>
    <row r="1866">
      <c r="A1866" s="61" t="str">
        <f t="shared" si="1"/>
        <v/>
      </c>
      <c r="B1866" s="73"/>
      <c r="C1866" s="76"/>
      <c r="D1866" s="76" t="str">
        <f>VLOOKUP(B1866,'HEAD OF THE FAMILY'!B1934:J2863,9,FALSE)</f>
        <v>#REF!</v>
      </c>
      <c r="E1866" s="3"/>
      <c r="F1866" s="3"/>
      <c r="G1866" s="7"/>
      <c r="H1866" s="7"/>
      <c r="I1866" s="7"/>
      <c r="J1866" s="60"/>
      <c r="K1866" s="60" t="str">
        <f t="shared" si="2"/>
        <v/>
      </c>
    </row>
    <row r="1867">
      <c r="A1867" s="61" t="str">
        <f t="shared" si="1"/>
        <v/>
      </c>
      <c r="B1867" s="73"/>
      <c r="C1867" s="76"/>
      <c r="D1867" s="76" t="str">
        <f>VLOOKUP(B1867,'HEAD OF THE FAMILY'!B1934:J2864,9,FALSE)</f>
        <v>#REF!</v>
      </c>
      <c r="E1867" s="3"/>
      <c r="F1867" s="3"/>
      <c r="G1867" s="7"/>
      <c r="H1867" s="7"/>
      <c r="I1867" s="7"/>
      <c r="J1867" s="60"/>
      <c r="K1867" s="60" t="str">
        <f t="shared" si="2"/>
        <v/>
      </c>
    </row>
    <row r="1868">
      <c r="A1868" s="61" t="str">
        <f t="shared" si="1"/>
        <v/>
      </c>
      <c r="B1868" s="73"/>
      <c r="C1868" s="76"/>
      <c r="D1868" s="76" t="str">
        <f>VLOOKUP(B1868,'HEAD OF THE FAMILY'!B1934:J2865,9,FALSE)</f>
        <v>#REF!</v>
      </c>
      <c r="E1868" s="3"/>
      <c r="F1868" s="3"/>
      <c r="G1868" s="7"/>
      <c r="H1868" s="7"/>
      <c r="I1868" s="7"/>
      <c r="J1868" s="60"/>
      <c r="K1868" s="60" t="str">
        <f t="shared" si="2"/>
        <v/>
      </c>
    </row>
    <row r="1869">
      <c r="A1869" s="61" t="str">
        <f t="shared" si="1"/>
        <v/>
      </c>
      <c r="B1869" s="73"/>
      <c r="C1869" s="76"/>
      <c r="D1869" s="76" t="str">
        <f>VLOOKUP(B1869,'HEAD OF THE FAMILY'!B1934:J2866,9,FALSE)</f>
        <v>#REF!</v>
      </c>
      <c r="E1869" s="3"/>
      <c r="F1869" s="3"/>
      <c r="G1869" s="7"/>
      <c r="H1869" s="7"/>
      <c r="I1869" s="7"/>
      <c r="J1869" s="60"/>
      <c r="K1869" s="60" t="str">
        <f t="shared" si="2"/>
        <v/>
      </c>
    </row>
    <row r="1870">
      <c r="A1870" s="61" t="str">
        <f t="shared" si="1"/>
        <v/>
      </c>
      <c r="B1870" s="73"/>
      <c r="C1870" s="76"/>
      <c r="D1870" s="76" t="str">
        <f>VLOOKUP(B1870,'HEAD OF THE FAMILY'!B1934:J2867,9,FALSE)</f>
        <v>#REF!</v>
      </c>
      <c r="E1870" s="3"/>
      <c r="F1870" s="3"/>
      <c r="G1870" s="7"/>
      <c r="H1870" s="7"/>
      <c r="I1870" s="7"/>
      <c r="J1870" s="60"/>
      <c r="K1870" s="60" t="str">
        <f t="shared" si="2"/>
        <v/>
      </c>
    </row>
    <row r="1871">
      <c r="A1871" s="61" t="str">
        <f t="shared" si="1"/>
        <v/>
      </c>
      <c r="B1871" s="73"/>
      <c r="C1871" s="76"/>
      <c r="D1871" s="76" t="str">
        <f>VLOOKUP(B1871,'HEAD OF THE FAMILY'!B1934:J2868,9,FALSE)</f>
        <v>#REF!</v>
      </c>
      <c r="E1871" s="3"/>
      <c r="F1871" s="3"/>
      <c r="G1871" s="7"/>
      <c r="H1871" s="7"/>
      <c r="I1871" s="7"/>
      <c r="J1871" s="60"/>
      <c r="K1871" s="60" t="str">
        <f t="shared" si="2"/>
        <v/>
      </c>
    </row>
    <row r="1872">
      <c r="A1872" s="61" t="str">
        <f t="shared" si="1"/>
        <v/>
      </c>
      <c r="B1872" s="73"/>
      <c r="C1872" s="76"/>
      <c r="D1872" s="76" t="str">
        <f>VLOOKUP(B1872,'HEAD OF THE FAMILY'!B1934:J2869,9,FALSE)</f>
        <v>#REF!</v>
      </c>
      <c r="E1872" s="3"/>
      <c r="F1872" s="3"/>
      <c r="G1872" s="7"/>
      <c r="H1872" s="7"/>
      <c r="I1872" s="7"/>
      <c r="J1872" s="60"/>
      <c r="K1872" s="60" t="str">
        <f t="shared" si="2"/>
        <v/>
      </c>
    </row>
    <row r="1873">
      <c r="A1873" s="61" t="str">
        <f t="shared" si="1"/>
        <v/>
      </c>
      <c r="B1873" s="73"/>
      <c r="C1873" s="76"/>
      <c r="D1873" s="76" t="str">
        <f>VLOOKUP(B1873,'HEAD OF THE FAMILY'!B1934:J2870,9,FALSE)</f>
        <v>#REF!</v>
      </c>
      <c r="E1873" s="3"/>
      <c r="F1873" s="3"/>
      <c r="G1873" s="7"/>
      <c r="H1873" s="7"/>
      <c r="I1873" s="7"/>
      <c r="J1873" s="60"/>
      <c r="K1873" s="60" t="str">
        <f t="shared" si="2"/>
        <v/>
      </c>
    </row>
    <row r="1874">
      <c r="A1874" s="61" t="str">
        <f t="shared" si="1"/>
        <v/>
      </c>
      <c r="B1874" s="73"/>
      <c r="C1874" s="76"/>
      <c r="D1874" s="76" t="str">
        <f>VLOOKUP(B1874,'HEAD OF THE FAMILY'!B1934:J2871,9,FALSE)</f>
        <v>#REF!</v>
      </c>
      <c r="E1874" s="3"/>
      <c r="F1874" s="3"/>
      <c r="G1874" s="7"/>
      <c r="H1874" s="7"/>
      <c r="I1874" s="7"/>
      <c r="J1874" s="60"/>
      <c r="K1874" s="60" t="str">
        <f t="shared" si="2"/>
        <v/>
      </c>
    </row>
    <row r="1875">
      <c r="A1875" s="61" t="str">
        <f t="shared" si="1"/>
        <v/>
      </c>
      <c r="B1875" s="73"/>
      <c r="C1875" s="76"/>
      <c r="D1875" s="76" t="str">
        <f>VLOOKUP(B1875,'HEAD OF THE FAMILY'!B1934:J2872,9,FALSE)</f>
        <v>#REF!</v>
      </c>
      <c r="E1875" s="3"/>
      <c r="F1875" s="3"/>
      <c r="G1875" s="7"/>
      <c r="H1875" s="7"/>
      <c r="I1875" s="7"/>
      <c r="J1875" s="60"/>
      <c r="K1875" s="60" t="str">
        <f t="shared" si="2"/>
        <v/>
      </c>
    </row>
    <row r="1876">
      <c r="A1876" s="61" t="str">
        <f t="shared" si="1"/>
        <v/>
      </c>
      <c r="B1876" s="73"/>
      <c r="C1876" s="76"/>
      <c r="D1876" s="76" t="str">
        <f>VLOOKUP(B1876,'HEAD OF THE FAMILY'!B1934:J2873,9,FALSE)</f>
        <v>#REF!</v>
      </c>
      <c r="E1876" s="3"/>
      <c r="F1876" s="3"/>
      <c r="G1876" s="7"/>
      <c r="H1876" s="7"/>
      <c r="I1876" s="7"/>
      <c r="J1876" s="60"/>
      <c r="K1876" s="60" t="str">
        <f t="shared" si="2"/>
        <v/>
      </c>
    </row>
    <row r="1877">
      <c r="A1877" s="61" t="str">
        <f t="shared" si="1"/>
        <v/>
      </c>
      <c r="B1877" s="73"/>
      <c r="C1877" s="76"/>
      <c r="D1877" s="76" t="str">
        <f>VLOOKUP(B1877,'HEAD OF THE FAMILY'!B1934:J2874,9,FALSE)</f>
        <v>#REF!</v>
      </c>
      <c r="E1877" s="3"/>
      <c r="F1877" s="3"/>
      <c r="G1877" s="7"/>
      <c r="H1877" s="7"/>
      <c r="I1877" s="7"/>
      <c r="J1877" s="60"/>
      <c r="K1877" s="60" t="str">
        <f t="shared" si="2"/>
        <v/>
      </c>
    </row>
    <row r="1878">
      <c r="A1878" s="61" t="str">
        <f t="shared" si="1"/>
        <v/>
      </c>
      <c r="B1878" s="73"/>
      <c r="C1878" s="76"/>
      <c r="D1878" s="76" t="str">
        <f>VLOOKUP(B1878,'HEAD OF THE FAMILY'!B1934:J2875,9,FALSE)</f>
        <v>#REF!</v>
      </c>
      <c r="E1878" s="3"/>
      <c r="F1878" s="3"/>
      <c r="G1878" s="7"/>
      <c r="H1878" s="7"/>
      <c r="I1878" s="7"/>
      <c r="J1878" s="60"/>
      <c r="K1878" s="60" t="str">
        <f t="shared" si="2"/>
        <v/>
      </c>
    </row>
    <row r="1879">
      <c r="A1879" s="61" t="str">
        <f t="shared" si="1"/>
        <v/>
      </c>
      <c r="B1879" s="73"/>
      <c r="C1879" s="76"/>
      <c r="D1879" s="76" t="str">
        <f>VLOOKUP(B1879,'HEAD OF THE FAMILY'!B1934:J2876,9,FALSE)</f>
        <v>#REF!</v>
      </c>
      <c r="E1879" s="3"/>
      <c r="F1879" s="3"/>
      <c r="G1879" s="7"/>
      <c r="H1879" s="7"/>
      <c r="I1879" s="7"/>
      <c r="J1879" s="60"/>
      <c r="K1879" s="60" t="str">
        <f t="shared" si="2"/>
        <v/>
      </c>
    </row>
    <row r="1880">
      <c r="A1880" s="61" t="str">
        <f t="shared" si="1"/>
        <v/>
      </c>
      <c r="B1880" s="73"/>
      <c r="C1880" s="76"/>
      <c r="D1880" s="76" t="str">
        <f>VLOOKUP(B1880,'HEAD OF THE FAMILY'!B1934:J2877,9,FALSE)</f>
        <v>#REF!</v>
      </c>
      <c r="E1880" s="3"/>
      <c r="F1880" s="3"/>
      <c r="G1880" s="7"/>
      <c r="H1880" s="7"/>
      <c r="I1880" s="7"/>
      <c r="J1880" s="60"/>
      <c r="K1880" s="60" t="str">
        <f t="shared" si="2"/>
        <v/>
      </c>
    </row>
    <row r="1881">
      <c r="A1881" s="61" t="str">
        <f t="shared" si="1"/>
        <v/>
      </c>
      <c r="B1881" s="73"/>
      <c r="C1881" s="76"/>
      <c r="D1881" s="76" t="str">
        <f>VLOOKUP(B1881,'HEAD OF THE FAMILY'!B1934:J2878,9,FALSE)</f>
        <v>#REF!</v>
      </c>
      <c r="E1881" s="3"/>
      <c r="F1881" s="3"/>
      <c r="G1881" s="7"/>
      <c r="H1881" s="7"/>
      <c r="I1881" s="7"/>
      <c r="J1881" s="60"/>
      <c r="K1881" s="60" t="str">
        <f t="shared" si="2"/>
        <v/>
      </c>
    </row>
    <row r="1882">
      <c r="A1882" s="61" t="str">
        <f t="shared" si="1"/>
        <v/>
      </c>
      <c r="B1882" s="73"/>
      <c r="C1882" s="76"/>
      <c r="D1882" s="76" t="str">
        <f>VLOOKUP(B1882,'HEAD OF THE FAMILY'!B1934:J2879,9,FALSE)</f>
        <v>#REF!</v>
      </c>
      <c r="E1882" s="3"/>
      <c r="F1882" s="3"/>
      <c r="G1882" s="7"/>
      <c r="H1882" s="7"/>
      <c r="I1882" s="7"/>
      <c r="J1882" s="60"/>
      <c r="K1882" s="60" t="str">
        <f t="shared" si="2"/>
        <v/>
      </c>
    </row>
    <row r="1883">
      <c r="A1883" s="61" t="str">
        <f t="shared" si="1"/>
        <v/>
      </c>
      <c r="B1883" s="73"/>
      <c r="C1883" s="76"/>
      <c r="D1883" s="76" t="str">
        <f>VLOOKUP(B1883,'HEAD OF THE FAMILY'!B1934:J2880,9,FALSE)</f>
        <v>#REF!</v>
      </c>
      <c r="E1883" s="3"/>
      <c r="F1883" s="3"/>
      <c r="G1883" s="7"/>
      <c r="H1883" s="7"/>
      <c r="I1883" s="7"/>
      <c r="J1883" s="60"/>
      <c r="K1883" s="60" t="str">
        <f t="shared" si="2"/>
        <v/>
      </c>
    </row>
    <row r="1884">
      <c r="A1884" s="61" t="str">
        <f t="shared" si="1"/>
        <v/>
      </c>
      <c r="B1884" s="73"/>
      <c r="C1884" s="76"/>
      <c r="D1884" s="76" t="str">
        <f>VLOOKUP(B1884,'HEAD OF THE FAMILY'!B1934:J2881,9,FALSE)</f>
        <v>#REF!</v>
      </c>
      <c r="E1884" s="3"/>
      <c r="F1884" s="3"/>
      <c r="G1884" s="7"/>
      <c r="H1884" s="7"/>
      <c r="I1884" s="7"/>
      <c r="J1884" s="60"/>
      <c r="K1884" s="60" t="str">
        <f t="shared" si="2"/>
        <v/>
      </c>
    </row>
    <row r="1885">
      <c r="A1885" s="61" t="str">
        <f t="shared" si="1"/>
        <v/>
      </c>
      <c r="B1885" s="73"/>
      <c r="C1885" s="76"/>
      <c r="D1885" s="76" t="str">
        <f>VLOOKUP(B1885,'HEAD OF THE FAMILY'!B1934:J2882,9,FALSE)</f>
        <v>#REF!</v>
      </c>
      <c r="E1885" s="3"/>
      <c r="F1885" s="3"/>
      <c r="G1885" s="7"/>
      <c r="H1885" s="7"/>
      <c r="I1885" s="7"/>
      <c r="J1885" s="60"/>
      <c r="K1885" s="60" t="str">
        <f t="shared" si="2"/>
        <v/>
      </c>
    </row>
    <row r="1886">
      <c r="A1886" s="61" t="str">
        <f t="shared" si="1"/>
        <v/>
      </c>
      <c r="B1886" s="73"/>
      <c r="C1886" s="76"/>
      <c r="D1886" s="76" t="str">
        <f>VLOOKUP(B1886,'HEAD OF THE FAMILY'!B1934:J2883,9,FALSE)</f>
        <v>#REF!</v>
      </c>
      <c r="E1886" s="3"/>
      <c r="F1886" s="3"/>
      <c r="G1886" s="7"/>
      <c r="H1886" s="7"/>
      <c r="I1886" s="7"/>
      <c r="J1886" s="60"/>
      <c r="K1886" s="60" t="str">
        <f t="shared" si="2"/>
        <v/>
      </c>
    </row>
    <row r="1887">
      <c r="A1887" s="61" t="str">
        <f t="shared" si="1"/>
        <v/>
      </c>
      <c r="B1887" s="73"/>
      <c r="C1887" s="76"/>
      <c r="D1887" s="76" t="str">
        <f>VLOOKUP(B1887,'HEAD OF THE FAMILY'!B1934:J2884,9,FALSE)</f>
        <v>#REF!</v>
      </c>
      <c r="E1887" s="3"/>
      <c r="F1887" s="3"/>
      <c r="G1887" s="7"/>
      <c r="H1887" s="7"/>
      <c r="I1887" s="7"/>
      <c r="J1887" s="60"/>
      <c r="K1887" s="60" t="str">
        <f t="shared" si="2"/>
        <v/>
      </c>
    </row>
    <row r="1888">
      <c r="A1888" s="61" t="str">
        <f t="shared" si="1"/>
        <v/>
      </c>
      <c r="B1888" s="73"/>
      <c r="C1888" s="76"/>
      <c r="D1888" s="76" t="str">
        <f>VLOOKUP(B1888,'HEAD OF THE FAMILY'!B1934:J2885,9,FALSE)</f>
        <v>#REF!</v>
      </c>
      <c r="E1888" s="3"/>
      <c r="F1888" s="3"/>
      <c r="G1888" s="7"/>
      <c r="H1888" s="7"/>
      <c r="I1888" s="7"/>
      <c r="J1888" s="60"/>
      <c r="K1888" s="60" t="str">
        <f t="shared" si="2"/>
        <v/>
      </c>
    </row>
    <row r="1889">
      <c r="A1889" s="61" t="str">
        <f t="shared" si="1"/>
        <v/>
      </c>
      <c r="B1889" s="73"/>
      <c r="C1889" s="76"/>
      <c r="D1889" s="76" t="str">
        <f>VLOOKUP(B1889,'HEAD OF THE FAMILY'!B1934:J2886,9,FALSE)</f>
        <v>#REF!</v>
      </c>
      <c r="E1889" s="3"/>
      <c r="F1889" s="3"/>
      <c r="G1889" s="7"/>
      <c r="H1889" s="7"/>
      <c r="I1889" s="7"/>
      <c r="J1889" s="60"/>
      <c r="K1889" s="60" t="str">
        <f t="shared" si="2"/>
        <v/>
      </c>
    </row>
    <row r="1890">
      <c r="A1890" s="61" t="str">
        <f t="shared" si="1"/>
        <v/>
      </c>
      <c r="B1890" s="73"/>
      <c r="C1890" s="76"/>
      <c r="D1890" s="76" t="str">
        <f>VLOOKUP(B1890,'HEAD OF THE FAMILY'!B1934:J2887,9,FALSE)</f>
        <v>#REF!</v>
      </c>
      <c r="E1890" s="3"/>
      <c r="F1890" s="3"/>
      <c r="G1890" s="7"/>
      <c r="H1890" s="7"/>
      <c r="I1890" s="7"/>
      <c r="J1890" s="60"/>
      <c r="K1890" s="60" t="str">
        <f t="shared" si="2"/>
        <v/>
      </c>
    </row>
    <row r="1891">
      <c r="A1891" s="61" t="str">
        <f t="shared" si="1"/>
        <v/>
      </c>
      <c r="B1891" s="73"/>
      <c r="C1891" s="76"/>
      <c r="D1891" s="76" t="str">
        <f>VLOOKUP(B1891,'HEAD OF THE FAMILY'!B1934:J2888,9,FALSE)</f>
        <v>#REF!</v>
      </c>
      <c r="E1891" s="3"/>
      <c r="F1891" s="3"/>
      <c r="G1891" s="7"/>
      <c r="H1891" s="7"/>
      <c r="I1891" s="7"/>
      <c r="J1891" s="60"/>
      <c r="K1891" s="60" t="str">
        <f t="shared" si="2"/>
        <v/>
      </c>
    </row>
    <row r="1892">
      <c r="A1892" s="61" t="str">
        <f t="shared" si="1"/>
        <v/>
      </c>
      <c r="B1892" s="73"/>
      <c r="C1892" s="76"/>
      <c r="D1892" s="76" t="str">
        <f>VLOOKUP(B1892,'HEAD OF THE FAMILY'!B1934:J2889,9,FALSE)</f>
        <v>#REF!</v>
      </c>
      <c r="E1892" s="3"/>
      <c r="F1892" s="3"/>
      <c r="G1892" s="7"/>
      <c r="H1892" s="7"/>
      <c r="I1892" s="7"/>
      <c r="J1892" s="60"/>
      <c r="K1892" s="60" t="str">
        <f t="shared" si="2"/>
        <v/>
      </c>
    </row>
    <row r="1893">
      <c r="A1893" s="61" t="str">
        <f t="shared" si="1"/>
        <v/>
      </c>
      <c r="B1893" s="73"/>
      <c r="C1893" s="76"/>
      <c r="D1893" s="76" t="str">
        <f>VLOOKUP(B1893,'HEAD OF THE FAMILY'!B1934:J2890,9,FALSE)</f>
        <v>#REF!</v>
      </c>
      <c r="E1893" s="3"/>
      <c r="F1893" s="3"/>
      <c r="G1893" s="7"/>
      <c r="H1893" s="7"/>
      <c r="I1893" s="7"/>
      <c r="J1893" s="60"/>
      <c r="K1893" s="60" t="str">
        <f t="shared" si="2"/>
        <v/>
      </c>
    </row>
    <row r="1894">
      <c r="A1894" s="61" t="str">
        <f t="shared" si="1"/>
        <v/>
      </c>
      <c r="B1894" s="73"/>
      <c r="C1894" s="76"/>
      <c r="D1894" s="76" t="str">
        <f>VLOOKUP(B1894,'HEAD OF THE FAMILY'!B1934:J2891,9,FALSE)</f>
        <v>#REF!</v>
      </c>
      <c r="E1894" s="3"/>
      <c r="F1894" s="3"/>
      <c r="G1894" s="7"/>
      <c r="H1894" s="7"/>
      <c r="I1894" s="7"/>
      <c r="J1894" s="60"/>
      <c r="K1894" s="60" t="str">
        <f t="shared" si="2"/>
        <v/>
      </c>
    </row>
    <row r="1895">
      <c r="A1895" s="61" t="str">
        <f t="shared" si="1"/>
        <v/>
      </c>
      <c r="B1895" s="73"/>
      <c r="C1895" s="76"/>
      <c r="D1895" s="76" t="str">
        <f>VLOOKUP(B1895,'HEAD OF THE FAMILY'!B1934:J2892,9,FALSE)</f>
        <v>#REF!</v>
      </c>
      <c r="E1895" s="3"/>
      <c r="F1895" s="3"/>
      <c r="G1895" s="7"/>
      <c r="H1895" s="7"/>
      <c r="I1895" s="7"/>
      <c r="J1895" s="60"/>
      <c r="K1895" s="60" t="str">
        <f t="shared" si="2"/>
        <v/>
      </c>
    </row>
    <row r="1896">
      <c r="A1896" s="61" t="str">
        <f t="shared" si="1"/>
        <v/>
      </c>
      <c r="B1896" s="73"/>
      <c r="C1896" s="76"/>
      <c r="D1896" s="76" t="str">
        <f>VLOOKUP(B1896,'HEAD OF THE FAMILY'!B1934:J2893,9,FALSE)</f>
        <v>#REF!</v>
      </c>
      <c r="E1896" s="3"/>
      <c r="F1896" s="3"/>
      <c r="G1896" s="7"/>
      <c r="H1896" s="7"/>
      <c r="I1896" s="7"/>
      <c r="J1896" s="60"/>
      <c r="K1896" s="60" t="str">
        <f t="shared" si="2"/>
        <v/>
      </c>
    </row>
    <row r="1897">
      <c r="A1897" s="61" t="str">
        <f t="shared" si="1"/>
        <v/>
      </c>
      <c r="B1897" s="73"/>
      <c r="C1897" s="76"/>
      <c r="D1897" s="76" t="str">
        <f>VLOOKUP(B1897,'HEAD OF THE FAMILY'!B1934:J2894,9,FALSE)</f>
        <v>#REF!</v>
      </c>
      <c r="E1897" s="3"/>
      <c r="F1897" s="3"/>
      <c r="G1897" s="7"/>
      <c r="H1897" s="7"/>
      <c r="I1897" s="7"/>
      <c r="J1897" s="60"/>
      <c r="K1897" s="60" t="str">
        <f t="shared" si="2"/>
        <v/>
      </c>
    </row>
    <row r="1898">
      <c r="A1898" s="61" t="str">
        <f t="shared" si="1"/>
        <v/>
      </c>
      <c r="B1898" s="73"/>
      <c r="C1898" s="76"/>
      <c r="D1898" s="76" t="str">
        <f>VLOOKUP(B1898,'HEAD OF THE FAMILY'!B1934:J2895,9,FALSE)</f>
        <v>#REF!</v>
      </c>
      <c r="E1898" s="3"/>
      <c r="F1898" s="3"/>
      <c r="G1898" s="7"/>
      <c r="H1898" s="7"/>
      <c r="I1898" s="7"/>
      <c r="J1898" s="60"/>
      <c r="K1898" s="60" t="str">
        <f t="shared" si="2"/>
        <v/>
      </c>
    </row>
    <row r="1899">
      <c r="A1899" s="61" t="str">
        <f t="shared" si="1"/>
        <v/>
      </c>
      <c r="B1899" s="73"/>
      <c r="C1899" s="76"/>
      <c r="D1899" s="76" t="str">
        <f>VLOOKUP(B1899,'HEAD OF THE FAMILY'!B1934:J2896,9,FALSE)</f>
        <v>#REF!</v>
      </c>
      <c r="E1899" s="3"/>
      <c r="F1899" s="3"/>
      <c r="G1899" s="7"/>
      <c r="H1899" s="7"/>
      <c r="I1899" s="7"/>
      <c r="J1899" s="60"/>
      <c r="K1899" s="60" t="str">
        <f t="shared" si="2"/>
        <v/>
      </c>
    </row>
    <row r="1900">
      <c r="A1900" s="61" t="str">
        <f t="shared" si="1"/>
        <v/>
      </c>
      <c r="B1900" s="73"/>
      <c r="C1900" s="76"/>
      <c r="D1900" s="76" t="str">
        <f>VLOOKUP(B1900,'HEAD OF THE FAMILY'!B1934:J2897,9,FALSE)</f>
        <v>#REF!</v>
      </c>
      <c r="E1900" s="3"/>
      <c r="F1900" s="3"/>
      <c r="G1900" s="7"/>
      <c r="H1900" s="7"/>
      <c r="I1900" s="7"/>
      <c r="J1900" s="60"/>
      <c r="K1900" s="60" t="str">
        <f t="shared" si="2"/>
        <v/>
      </c>
    </row>
    <row r="1901">
      <c r="A1901" s="61" t="str">
        <f t="shared" si="1"/>
        <v/>
      </c>
      <c r="B1901" s="73"/>
      <c r="C1901" s="76"/>
      <c r="D1901" s="76" t="str">
        <f>VLOOKUP(B1901,'HEAD OF THE FAMILY'!B1934:J2898,9,FALSE)</f>
        <v>#REF!</v>
      </c>
      <c r="E1901" s="3"/>
      <c r="F1901" s="3"/>
      <c r="G1901" s="7"/>
      <c r="H1901" s="7"/>
      <c r="I1901" s="7"/>
      <c r="J1901" s="60"/>
      <c r="K1901" s="60" t="str">
        <f t="shared" si="2"/>
        <v/>
      </c>
    </row>
    <row r="1902">
      <c r="A1902" s="61" t="str">
        <f t="shared" si="1"/>
        <v/>
      </c>
      <c r="B1902" s="73"/>
      <c r="C1902" s="76"/>
      <c r="D1902" s="76" t="str">
        <f>VLOOKUP(B1902,'HEAD OF THE FAMILY'!B1934:J2899,9,FALSE)</f>
        <v>#REF!</v>
      </c>
      <c r="E1902" s="3"/>
      <c r="F1902" s="3"/>
      <c r="G1902" s="7"/>
      <c r="H1902" s="7"/>
      <c r="I1902" s="7"/>
      <c r="J1902" s="60"/>
      <c r="K1902" s="60" t="str">
        <f t="shared" si="2"/>
        <v/>
      </c>
    </row>
    <row r="1903">
      <c r="A1903" s="61" t="str">
        <f t="shared" si="1"/>
        <v/>
      </c>
      <c r="B1903" s="73"/>
      <c r="C1903" s="76"/>
      <c r="D1903" s="76" t="str">
        <f>VLOOKUP(B1903,'HEAD OF THE FAMILY'!B1934:J2900,9,FALSE)</f>
        <v>#REF!</v>
      </c>
      <c r="E1903" s="3"/>
      <c r="F1903" s="3"/>
      <c r="G1903" s="7"/>
      <c r="H1903" s="7"/>
      <c r="I1903" s="7"/>
      <c r="J1903" s="60"/>
      <c r="K1903" s="60" t="str">
        <f t="shared" si="2"/>
        <v/>
      </c>
    </row>
    <row r="1904">
      <c r="A1904" s="61" t="str">
        <f t="shared" si="1"/>
        <v/>
      </c>
      <c r="B1904" s="73"/>
      <c r="C1904" s="76"/>
      <c r="D1904" s="76" t="str">
        <f>VLOOKUP(B1904,'HEAD OF THE FAMILY'!B1934:J2901,9,FALSE)</f>
        <v>#REF!</v>
      </c>
      <c r="E1904" s="3"/>
      <c r="F1904" s="3"/>
      <c r="G1904" s="7"/>
      <c r="H1904" s="7"/>
      <c r="I1904" s="7"/>
      <c r="J1904" s="60"/>
      <c r="K1904" s="60" t="str">
        <f t="shared" si="2"/>
        <v/>
      </c>
    </row>
    <row r="1905">
      <c r="A1905" s="61" t="str">
        <f t="shared" si="1"/>
        <v/>
      </c>
      <c r="B1905" s="73"/>
      <c r="C1905" s="76"/>
      <c r="D1905" s="76" t="str">
        <f>VLOOKUP(B1905,'HEAD OF THE FAMILY'!B1934:J2902,9,FALSE)</f>
        <v>#REF!</v>
      </c>
      <c r="E1905" s="3"/>
      <c r="F1905" s="3"/>
      <c r="G1905" s="7"/>
      <c r="H1905" s="7"/>
      <c r="I1905" s="7"/>
      <c r="J1905" s="60"/>
      <c r="K1905" s="60" t="str">
        <f t="shared" si="2"/>
        <v/>
      </c>
    </row>
    <row r="1906">
      <c r="A1906" s="61" t="str">
        <f t="shared" si="1"/>
        <v/>
      </c>
      <c r="B1906" s="73"/>
      <c r="C1906" s="76"/>
      <c r="D1906" s="76" t="str">
        <f>VLOOKUP(B1906,'HEAD OF THE FAMILY'!B1934:J2903,9,FALSE)</f>
        <v>#REF!</v>
      </c>
      <c r="E1906" s="3"/>
      <c r="F1906" s="3"/>
      <c r="G1906" s="7"/>
      <c r="H1906" s="7"/>
      <c r="I1906" s="7"/>
      <c r="J1906" s="60"/>
      <c r="K1906" s="60" t="str">
        <f t="shared" si="2"/>
        <v/>
      </c>
    </row>
    <row r="1907">
      <c r="A1907" s="61" t="str">
        <f t="shared" si="1"/>
        <v/>
      </c>
      <c r="B1907" s="73"/>
      <c r="C1907" s="76"/>
      <c r="D1907" s="76" t="str">
        <f>VLOOKUP(B1907,'HEAD OF THE FAMILY'!B1934:J2904,9,FALSE)</f>
        <v>#REF!</v>
      </c>
      <c r="E1907" s="3"/>
      <c r="F1907" s="3"/>
      <c r="G1907" s="7"/>
      <c r="H1907" s="7"/>
      <c r="I1907" s="7"/>
      <c r="J1907" s="60"/>
      <c r="K1907" s="60" t="str">
        <f t="shared" si="2"/>
        <v/>
      </c>
    </row>
    <row r="1908">
      <c r="A1908" s="61" t="str">
        <f t="shared" si="1"/>
        <v/>
      </c>
      <c r="B1908" s="73"/>
      <c r="C1908" s="76"/>
      <c r="D1908" s="76" t="str">
        <f>VLOOKUP(B1908,'HEAD OF THE FAMILY'!B1934:J2905,9,FALSE)</f>
        <v>#REF!</v>
      </c>
      <c r="E1908" s="3"/>
      <c r="F1908" s="3"/>
      <c r="G1908" s="7"/>
      <c r="H1908" s="7"/>
      <c r="I1908" s="7"/>
      <c r="J1908" s="60"/>
      <c r="K1908" s="60" t="str">
        <f t="shared" si="2"/>
        <v/>
      </c>
    </row>
    <row r="1909">
      <c r="A1909" s="61" t="str">
        <f t="shared" si="1"/>
        <v/>
      </c>
      <c r="B1909" s="73"/>
      <c r="C1909" s="76"/>
      <c r="D1909" s="76" t="str">
        <f>VLOOKUP(B1909,'HEAD OF THE FAMILY'!B1934:J2906,9,FALSE)</f>
        <v>#REF!</v>
      </c>
      <c r="E1909" s="3"/>
      <c r="F1909" s="3"/>
      <c r="G1909" s="7"/>
      <c r="H1909" s="7"/>
      <c r="I1909" s="7"/>
      <c r="J1909" s="60"/>
      <c r="K1909" s="60" t="str">
        <f t="shared" si="2"/>
        <v/>
      </c>
    </row>
    <row r="1910">
      <c r="A1910" s="61" t="str">
        <f t="shared" si="1"/>
        <v/>
      </c>
      <c r="B1910" s="73"/>
      <c r="C1910" s="76"/>
      <c r="D1910" s="76" t="str">
        <f>VLOOKUP(B1910,'HEAD OF THE FAMILY'!B1934:J2907,9,FALSE)</f>
        <v>#REF!</v>
      </c>
      <c r="E1910" s="3"/>
      <c r="F1910" s="3"/>
      <c r="G1910" s="7"/>
      <c r="H1910" s="7"/>
      <c r="I1910" s="7"/>
      <c r="J1910" s="60"/>
      <c r="K1910" s="60" t="str">
        <f t="shared" si="2"/>
        <v/>
      </c>
    </row>
    <row r="1911">
      <c r="A1911" s="61" t="str">
        <f t="shared" si="1"/>
        <v/>
      </c>
      <c r="B1911" s="73"/>
      <c r="C1911" s="76"/>
      <c r="D1911" s="76" t="str">
        <f>VLOOKUP(B1911,'HEAD OF THE FAMILY'!B1934:J2908,9,FALSE)</f>
        <v>#REF!</v>
      </c>
      <c r="E1911" s="3"/>
      <c r="F1911" s="3"/>
      <c r="G1911" s="7"/>
      <c r="H1911" s="7"/>
      <c r="I1911" s="7"/>
      <c r="J1911" s="60"/>
      <c r="K1911" s="60" t="str">
        <f t="shared" si="2"/>
        <v/>
      </c>
    </row>
    <row r="1912">
      <c r="A1912" s="61" t="str">
        <f t="shared" si="1"/>
        <v/>
      </c>
      <c r="B1912" s="73"/>
      <c r="C1912" s="76"/>
      <c r="D1912" s="76" t="str">
        <f>VLOOKUP(B1912,'HEAD OF THE FAMILY'!B1934:J2909,9,FALSE)</f>
        <v>#REF!</v>
      </c>
      <c r="E1912" s="3"/>
      <c r="F1912" s="3"/>
      <c r="G1912" s="7"/>
      <c r="H1912" s="7"/>
      <c r="I1912" s="7"/>
      <c r="J1912" s="60"/>
      <c r="K1912" s="60" t="str">
        <f t="shared" si="2"/>
        <v/>
      </c>
    </row>
    <row r="1913">
      <c r="A1913" s="61" t="str">
        <f t="shared" si="1"/>
        <v/>
      </c>
      <c r="B1913" s="73"/>
      <c r="C1913" s="76"/>
      <c r="D1913" s="76" t="str">
        <f>VLOOKUP(B1913,'HEAD OF THE FAMILY'!B1934:J2910,9,FALSE)</f>
        <v>#REF!</v>
      </c>
      <c r="E1913" s="3"/>
      <c r="F1913" s="3"/>
      <c r="G1913" s="7"/>
      <c r="H1913" s="7"/>
      <c r="I1913" s="7"/>
      <c r="J1913" s="60"/>
      <c r="K1913" s="60" t="str">
        <f t="shared" si="2"/>
        <v/>
      </c>
    </row>
    <row r="1914">
      <c r="A1914" s="61" t="str">
        <f t="shared" si="1"/>
        <v/>
      </c>
      <c r="B1914" s="73"/>
      <c r="C1914" s="76"/>
      <c r="D1914" s="76" t="str">
        <f>VLOOKUP(B1914,'HEAD OF THE FAMILY'!B1934:J2911,9,FALSE)</f>
        <v>#REF!</v>
      </c>
      <c r="E1914" s="3"/>
      <c r="F1914" s="3"/>
      <c r="G1914" s="7"/>
      <c r="H1914" s="7"/>
      <c r="I1914" s="7"/>
      <c r="J1914" s="60"/>
      <c r="K1914" s="60" t="str">
        <f t="shared" si="2"/>
        <v/>
      </c>
    </row>
    <row r="1915">
      <c r="A1915" s="61" t="str">
        <f t="shared" si="1"/>
        <v/>
      </c>
      <c r="B1915" s="73"/>
      <c r="C1915" s="76"/>
      <c r="D1915" s="76" t="str">
        <f>VLOOKUP(B1915,'HEAD OF THE FAMILY'!B1934:J2912,9,FALSE)</f>
        <v>#REF!</v>
      </c>
      <c r="E1915" s="3"/>
      <c r="F1915" s="3"/>
      <c r="G1915" s="7"/>
      <c r="H1915" s="7"/>
      <c r="I1915" s="7"/>
      <c r="J1915" s="60"/>
      <c r="K1915" s="60" t="str">
        <f t="shared" si="2"/>
        <v/>
      </c>
    </row>
    <row r="1916">
      <c r="A1916" s="61" t="str">
        <f t="shared" si="1"/>
        <v/>
      </c>
      <c r="B1916" s="73"/>
      <c r="C1916" s="76"/>
      <c r="D1916" s="76" t="str">
        <f>VLOOKUP(B1916,'HEAD OF THE FAMILY'!B1934:J2913,9,FALSE)</f>
        <v>#REF!</v>
      </c>
      <c r="E1916" s="3"/>
      <c r="F1916" s="3"/>
      <c r="G1916" s="7"/>
      <c r="H1916" s="7"/>
      <c r="I1916" s="7"/>
      <c r="J1916" s="60"/>
      <c r="K1916" s="60" t="str">
        <f t="shared" si="2"/>
        <v/>
      </c>
    </row>
    <row r="1917">
      <c r="A1917" s="61" t="str">
        <f t="shared" si="1"/>
        <v/>
      </c>
      <c r="B1917" s="73"/>
      <c r="C1917" s="76"/>
      <c r="D1917" s="76" t="str">
        <f>VLOOKUP(B1917,'HEAD OF THE FAMILY'!B1934:J2914,9,FALSE)</f>
        <v>#REF!</v>
      </c>
      <c r="E1917" s="3"/>
      <c r="F1917" s="3"/>
      <c r="G1917" s="7"/>
      <c r="H1917" s="7"/>
      <c r="I1917" s="7"/>
      <c r="J1917" s="60"/>
      <c r="K1917" s="60" t="str">
        <f t="shared" si="2"/>
        <v/>
      </c>
    </row>
    <row r="1918">
      <c r="A1918" s="61" t="str">
        <f t="shared" si="1"/>
        <v/>
      </c>
      <c r="B1918" s="73"/>
      <c r="C1918" s="76"/>
      <c r="D1918" s="76" t="str">
        <f>VLOOKUP(B1918,'HEAD OF THE FAMILY'!B1934:J2915,9,FALSE)</f>
        <v>#REF!</v>
      </c>
      <c r="E1918" s="3"/>
      <c r="F1918" s="3"/>
      <c r="G1918" s="7"/>
      <c r="H1918" s="7"/>
      <c r="I1918" s="7"/>
      <c r="J1918" s="60"/>
      <c r="K1918" s="60" t="str">
        <f t="shared" si="2"/>
        <v/>
      </c>
    </row>
    <row r="1919">
      <c r="A1919" s="61" t="str">
        <f t="shared" si="1"/>
        <v/>
      </c>
      <c r="B1919" s="73"/>
      <c r="C1919" s="76"/>
      <c r="D1919" s="76" t="str">
        <f>VLOOKUP(B1919,'HEAD OF THE FAMILY'!B1934:J2916,9,FALSE)</f>
        <v>#REF!</v>
      </c>
      <c r="E1919" s="3"/>
      <c r="F1919" s="3"/>
      <c r="G1919" s="7"/>
      <c r="H1919" s="7"/>
      <c r="I1919" s="7"/>
      <c r="J1919" s="60"/>
      <c r="K1919" s="60" t="str">
        <f t="shared" si="2"/>
        <v/>
      </c>
    </row>
    <row r="1920">
      <c r="A1920" s="61" t="str">
        <f t="shared" si="1"/>
        <v/>
      </c>
      <c r="B1920" s="73"/>
      <c r="C1920" s="76"/>
      <c r="D1920" s="76" t="str">
        <f>VLOOKUP(B1920,'HEAD OF THE FAMILY'!B1934:J2917,9,FALSE)</f>
        <v>#REF!</v>
      </c>
      <c r="E1920" s="3"/>
      <c r="F1920" s="3"/>
      <c r="G1920" s="7"/>
      <c r="H1920" s="7"/>
      <c r="I1920" s="7"/>
      <c r="J1920" s="60"/>
      <c r="K1920" s="60" t="str">
        <f t="shared" si="2"/>
        <v/>
      </c>
    </row>
    <row r="1921">
      <c r="A1921" s="61" t="str">
        <f t="shared" si="1"/>
        <v/>
      </c>
      <c r="B1921" s="73"/>
      <c r="C1921" s="76"/>
      <c r="D1921" s="76" t="str">
        <f>VLOOKUP(B1921,'HEAD OF THE FAMILY'!B1934:J2918,9,FALSE)</f>
        <v>#REF!</v>
      </c>
      <c r="E1921" s="3"/>
      <c r="F1921" s="3"/>
      <c r="G1921" s="7"/>
      <c r="H1921" s="7"/>
      <c r="I1921" s="7"/>
      <c r="J1921" s="60"/>
      <c r="K1921" s="60" t="str">
        <f t="shared" si="2"/>
        <v/>
      </c>
    </row>
    <row r="1922">
      <c r="A1922" s="61" t="str">
        <f t="shared" si="1"/>
        <v/>
      </c>
      <c r="B1922" s="73"/>
      <c r="C1922" s="76"/>
      <c r="D1922" s="76" t="str">
        <f>VLOOKUP(B1922,'HEAD OF THE FAMILY'!B1934:J2919,9,FALSE)</f>
        <v>#REF!</v>
      </c>
      <c r="E1922" s="3"/>
      <c r="F1922" s="3"/>
      <c r="G1922" s="7"/>
      <c r="H1922" s="7"/>
      <c r="I1922" s="7"/>
      <c r="J1922" s="60"/>
      <c r="K1922" s="60" t="str">
        <f t="shared" si="2"/>
        <v/>
      </c>
    </row>
    <row r="1923">
      <c r="A1923" s="61" t="str">
        <f t="shared" si="1"/>
        <v/>
      </c>
      <c r="B1923" s="73"/>
      <c r="C1923" s="76"/>
      <c r="D1923" s="76" t="str">
        <f>VLOOKUP(B1923,'HEAD OF THE FAMILY'!B1934:J2920,9,FALSE)</f>
        <v>#REF!</v>
      </c>
      <c r="E1923" s="3"/>
      <c r="F1923" s="3"/>
      <c r="G1923" s="7"/>
      <c r="H1923" s="7"/>
      <c r="I1923" s="7"/>
      <c r="J1923" s="60"/>
      <c r="K1923" s="60" t="str">
        <f t="shared" si="2"/>
        <v/>
      </c>
    </row>
    <row r="1924">
      <c r="A1924" s="61" t="str">
        <f t="shared" si="1"/>
        <v/>
      </c>
      <c r="B1924" s="73"/>
      <c r="C1924" s="76"/>
      <c r="D1924" s="76" t="str">
        <f>VLOOKUP(B1924,'HEAD OF THE FAMILY'!B1934:J2921,9,FALSE)</f>
        <v>#REF!</v>
      </c>
      <c r="E1924" s="3"/>
      <c r="F1924" s="3"/>
      <c r="G1924" s="7"/>
      <c r="H1924" s="7"/>
      <c r="I1924" s="7"/>
      <c r="J1924" s="60"/>
      <c r="K1924" s="60" t="str">
        <f t="shared" si="2"/>
        <v/>
      </c>
    </row>
    <row r="1925">
      <c r="A1925" s="61" t="str">
        <f t="shared" si="1"/>
        <v/>
      </c>
      <c r="B1925" s="73"/>
      <c r="C1925" s="76"/>
      <c r="D1925" s="76" t="str">
        <f>VLOOKUP(B1925,'HEAD OF THE FAMILY'!B1934:J2922,9,FALSE)</f>
        <v>#REF!</v>
      </c>
      <c r="E1925" s="3"/>
      <c r="F1925" s="3"/>
      <c r="G1925" s="7"/>
      <c r="H1925" s="7"/>
      <c r="I1925" s="7"/>
      <c r="J1925" s="60"/>
      <c r="K1925" s="60" t="str">
        <f t="shared" si="2"/>
        <v/>
      </c>
    </row>
    <row r="1926">
      <c r="A1926" s="61" t="str">
        <f t="shared" si="1"/>
        <v/>
      </c>
      <c r="B1926" s="73"/>
      <c r="C1926" s="76"/>
      <c r="D1926" s="76" t="str">
        <f>VLOOKUP(B1926,'HEAD OF THE FAMILY'!B1934:J2923,9,FALSE)</f>
        <v>#REF!</v>
      </c>
      <c r="E1926" s="3"/>
      <c r="F1926" s="3"/>
      <c r="G1926" s="7"/>
      <c r="H1926" s="7"/>
      <c r="I1926" s="7"/>
      <c r="J1926" s="60"/>
      <c r="K1926" s="60" t="str">
        <f t="shared" si="2"/>
        <v/>
      </c>
    </row>
    <row r="1927">
      <c r="A1927" s="61" t="str">
        <f t="shared" si="1"/>
        <v/>
      </c>
      <c r="B1927" s="73"/>
      <c r="C1927" s="76"/>
      <c r="D1927" s="76" t="str">
        <f>VLOOKUP(B1927,'HEAD OF THE FAMILY'!B1934:J2924,9,FALSE)</f>
        <v>#REF!</v>
      </c>
      <c r="E1927" s="3"/>
      <c r="F1927" s="3"/>
      <c r="G1927" s="7"/>
      <c r="H1927" s="7"/>
      <c r="I1927" s="7"/>
      <c r="J1927" s="60"/>
      <c r="K1927" s="60" t="str">
        <f t="shared" si="2"/>
        <v/>
      </c>
    </row>
    <row r="1928">
      <c r="A1928" s="61" t="str">
        <f t="shared" si="1"/>
        <v/>
      </c>
      <c r="B1928" s="73"/>
      <c r="C1928" s="76"/>
      <c r="D1928" s="76" t="str">
        <f>VLOOKUP(B1928,'HEAD OF THE FAMILY'!B1934:J2925,9,FALSE)</f>
        <v>#REF!</v>
      </c>
      <c r="E1928" s="3"/>
      <c r="F1928" s="3"/>
      <c r="G1928" s="7"/>
      <c r="H1928" s="7"/>
      <c r="I1928" s="7"/>
      <c r="J1928" s="60"/>
      <c r="K1928" s="60" t="str">
        <f t="shared" si="2"/>
        <v/>
      </c>
    </row>
    <row r="1929">
      <c r="A1929" s="61" t="str">
        <f t="shared" si="1"/>
        <v/>
      </c>
      <c r="B1929" s="73"/>
      <c r="C1929" s="76"/>
      <c r="D1929" s="76" t="str">
        <f>VLOOKUP(B1929,'HEAD OF THE FAMILY'!B1934:J2926,9,FALSE)</f>
        <v>#REF!</v>
      </c>
      <c r="E1929" s="3"/>
      <c r="F1929" s="3"/>
      <c r="G1929" s="7"/>
      <c r="H1929" s="7"/>
      <c r="I1929" s="7"/>
      <c r="J1929" s="60"/>
      <c r="K1929" s="60" t="str">
        <f t="shared" si="2"/>
        <v/>
      </c>
    </row>
    <row r="1930">
      <c r="A1930" s="61" t="str">
        <f t="shared" si="1"/>
        <v/>
      </c>
      <c r="B1930" s="73"/>
      <c r="C1930" s="76"/>
      <c r="D1930" s="76" t="str">
        <f>VLOOKUP(B1930,'HEAD OF THE FAMILY'!B1934:J2927,9,FALSE)</f>
        <v>#REF!</v>
      </c>
      <c r="E1930" s="3"/>
      <c r="F1930" s="3"/>
      <c r="G1930" s="7"/>
      <c r="H1930" s="7"/>
      <c r="I1930" s="7"/>
      <c r="J1930" s="60"/>
      <c r="K1930" s="60" t="str">
        <f t="shared" si="2"/>
        <v/>
      </c>
    </row>
    <row r="1931">
      <c r="A1931" s="61" t="str">
        <f t="shared" si="1"/>
        <v/>
      </c>
      <c r="B1931" s="73"/>
      <c r="C1931" s="76"/>
      <c r="D1931" s="76" t="str">
        <f>VLOOKUP(B1931,'HEAD OF THE FAMILY'!B1934:J2928,9,FALSE)</f>
        <v>#REF!</v>
      </c>
      <c r="E1931" s="3"/>
      <c r="F1931" s="3"/>
      <c r="G1931" s="7"/>
      <c r="H1931" s="7"/>
      <c r="I1931" s="7"/>
      <c r="J1931" s="60"/>
      <c r="K1931" s="60" t="str">
        <f t="shared" si="2"/>
        <v/>
      </c>
    </row>
    <row r="1932">
      <c r="A1932" s="61" t="str">
        <f t="shared" si="1"/>
        <v/>
      </c>
      <c r="B1932" s="73"/>
      <c r="C1932" s="76"/>
      <c r="D1932" s="76" t="str">
        <f>VLOOKUP(B1932,'HEAD OF THE FAMILY'!B1934:J2929,9,FALSE)</f>
        <v>#REF!</v>
      </c>
      <c r="E1932" s="3"/>
      <c r="F1932" s="3"/>
      <c r="G1932" s="7"/>
      <c r="H1932" s="7"/>
      <c r="I1932" s="7"/>
      <c r="J1932" s="60"/>
      <c r="K1932" s="60" t="str">
        <f t="shared" si="2"/>
        <v/>
      </c>
    </row>
    <row r="1933">
      <c r="A1933" s="61" t="str">
        <f t="shared" si="1"/>
        <v/>
      </c>
      <c r="B1933" s="73"/>
      <c r="C1933" s="76"/>
      <c r="D1933" s="76" t="str">
        <f>VLOOKUP(B1933,'HEAD OF THE FAMILY'!B1934:J2930,9,FALSE)</f>
        <v>#REF!</v>
      </c>
      <c r="E1933" s="3"/>
      <c r="F1933" s="3"/>
      <c r="G1933" s="7"/>
      <c r="H1933" s="7"/>
      <c r="I1933" s="7"/>
      <c r="J1933" s="60"/>
      <c r="K1933" s="60" t="str">
        <f t="shared" si="2"/>
        <v/>
      </c>
    </row>
    <row r="1934">
      <c r="A1934" s="61" t="str">
        <f t="shared" si="1"/>
        <v/>
      </c>
      <c r="B1934" s="73"/>
      <c r="C1934" s="76"/>
      <c r="D1934" s="76" t="str">
        <f>VLOOKUP(B1934,'HEAD OF THE FAMILY'!B1934:J2931,9,FALSE)</f>
        <v>#REF!</v>
      </c>
      <c r="E1934" s="3"/>
      <c r="F1934" s="3"/>
      <c r="G1934" s="7"/>
      <c r="H1934" s="7"/>
      <c r="I1934" s="7"/>
      <c r="J1934" s="60"/>
      <c r="K1934" s="60" t="str">
        <f t="shared" si="2"/>
        <v/>
      </c>
    </row>
  </sheetData>
  <mergeCells count="2">
    <mergeCell ref="A4:C4"/>
    <mergeCell ref="K4:M4"/>
  </mergeCells>
  <dataValidations>
    <dataValidation type="list" allowBlank="1" showErrorMessage="1" sqref="C2 M2">
      <formula1>"BRGY. OFFICIALS,SENIOR,4PS,SOLO PARENT,PWD,KDBM,THIRD GEN,N/A"</formula1>
    </dataValidation>
  </dataValidation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8.88"/>
    <col customWidth="1" min="3" max="3" width="22.38"/>
    <col customWidth="1" min="4" max="4" width="20.38"/>
    <col customWidth="1" min="5" max="5" width="14.75"/>
    <col customWidth="1" min="6" max="6" width="17.0"/>
    <col customWidth="1" min="7" max="7" width="24.88"/>
  </cols>
  <sheetData>
    <row r="1">
      <c r="A1" s="1"/>
      <c r="B1" s="72"/>
      <c r="C1" s="72"/>
      <c r="D1" s="1"/>
      <c r="E1" s="72"/>
      <c r="F1" s="1"/>
      <c r="G1" s="1"/>
      <c r="H1" s="7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0" t="s">
        <v>1131</v>
      </c>
      <c r="C2" s="72"/>
      <c r="D2" s="1"/>
      <c r="E2" s="72"/>
      <c r="F2" s="1"/>
      <c r="G2" s="1"/>
      <c r="H2" s="7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2"/>
      <c r="C3" s="72"/>
      <c r="D3" s="1"/>
      <c r="E3" s="72"/>
      <c r="F3" s="1"/>
      <c r="G3" s="1"/>
      <c r="H3" s="7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0" t="s">
        <v>7</v>
      </c>
      <c r="C4" s="121" t="s">
        <v>46</v>
      </c>
      <c r="D4" s="1"/>
      <c r="E4" s="70" t="s">
        <v>1138</v>
      </c>
      <c r="F4" s="72" t="str">
        <f>VLOOKUP($C$4,'HEAD OF THE FAMILY'!$B$6:$P1004,7,FALSE)</f>
        <v>MA. LOUELLA L. EJANDRA</v>
      </c>
      <c r="H4" s="7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0" t="s">
        <v>2</v>
      </c>
      <c r="C5" s="72" t="str">
        <f>VLOOKUP($C$4,'HEAD OF THE FAMILY'!$B$6:$P1004,2,FALSE)</f>
        <v>N/A</v>
      </c>
      <c r="D5" s="1"/>
      <c r="E5" s="70" t="s">
        <v>2</v>
      </c>
      <c r="F5" s="72" t="str">
        <f>VLOOKUP($C$4,'HEAD OF THE FAMILY'!$B$6:$P1004,8,FALSE)</f>
        <v/>
      </c>
      <c r="H5" s="7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0" t="s">
        <v>1145</v>
      </c>
      <c r="C6" s="122" t="str">
        <f>VLOOKUP($C$4,'HEAD OF THE FAMILY'!$B$6:$P1004,3,FALSE)</f>
        <v/>
      </c>
      <c r="D6" s="1"/>
      <c r="E6" s="70" t="s">
        <v>1145</v>
      </c>
      <c r="F6" s="122" t="str">
        <f>VLOOKUP($C$4,'HEAD OF THE FAMILY'!$B$6:$P1004,11,FALSE)</f>
        <v/>
      </c>
      <c r="H6" s="7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0" t="s">
        <v>1152</v>
      </c>
      <c r="C7" s="72" t="str">
        <f>VLOOKUP($C$4,'HEAD OF THE FAMILY'!$B$6:$P1004,4,FALSE)</f>
        <v/>
      </c>
      <c r="D7" s="1"/>
      <c r="E7" s="70" t="s">
        <v>1152</v>
      </c>
      <c r="F7" s="72" t="str">
        <f>VLOOKUP($C$4,'HEAD OF THE FAMILY'!$B$6:$P1004,12,FALSE)</f>
        <v/>
      </c>
      <c r="H7" s="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0" t="s">
        <v>1155</v>
      </c>
      <c r="C8" s="72" t="str">
        <f>VLOOKUP($C$4,'HEAD OF THE FAMILY'!$B$6:$P1004,5,FALSE)</f>
        <v>ACTIVE</v>
      </c>
      <c r="D8" s="1"/>
      <c r="E8" s="70" t="s">
        <v>1155</v>
      </c>
      <c r="F8" s="72" t="str">
        <f>VLOOKUP($C$4,'HEAD OF THE FAMILY'!$B$6:$P1004,13,FALSE)</f>
        <v>UNREGISTERED</v>
      </c>
      <c r="G8" s="1"/>
      <c r="H8" s="7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0" t="s">
        <v>1161</v>
      </c>
      <c r="C9" s="72">
        <f>COUNT(A15:A1004)</f>
        <v>3</v>
      </c>
      <c r="D9" s="1"/>
      <c r="G9" s="1"/>
      <c r="H9" s="7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1" t="s">
        <v>1165</v>
      </c>
      <c r="C10" s="72"/>
      <c r="D10" s="6"/>
      <c r="E10" s="72"/>
      <c r="F10" s="1"/>
      <c r="G10" s="1"/>
      <c r="H10" s="72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1" t="s">
        <v>1166</v>
      </c>
      <c r="C11" s="72" t="str">
        <f>VLOOKUP($C$4,'HEAD OF THE FAMILY'!$B$6:$P1004,9,FALSE)</f>
        <v>BLK 3</v>
      </c>
      <c r="D11" s="6"/>
      <c r="E11" s="72"/>
      <c r="F11" s="1"/>
      <c r="G11" s="1"/>
      <c r="H11" s="72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1" t="s">
        <v>1169</v>
      </c>
      <c r="C12" s="72">
        <f>VLOOKUP($C$4,'HEAD OF THE FAMILY'!$B$6:$P1004,10,FALSE)</f>
        <v>5</v>
      </c>
      <c r="D12" s="6"/>
      <c r="E12" s="72"/>
      <c r="F12" s="1"/>
      <c r="G12" s="1"/>
      <c r="H12" s="72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2"/>
      <c r="C13" s="72"/>
      <c r="D13" s="6"/>
      <c r="E13" s="72"/>
      <c r="F13" s="1"/>
      <c r="G13" s="1"/>
      <c r="H13" s="72"/>
      <c r="I13" s="6" t="s">
        <v>1174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4.5" customHeight="1">
      <c r="A14" s="123" t="s">
        <v>22</v>
      </c>
      <c r="B14" s="124" t="str">
        <f>IFERROR(__xludf.DUMMYFUNCTION("QUERY(CHILDREN,""SELECT B,C,F,G,H,I where E='""&amp;C4&amp;""'"",1)"),"SURNAME")</f>
        <v>SURNAME</v>
      </c>
      <c r="C14" s="124" t="str">
        <f>IFERROR(__xludf.DUMMYFUNCTION("""COMPUTED_VALUE"""),"FIRSTNAME")</f>
        <v>FIRSTNAME</v>
      </c>
      <c r="D14" s="124" t="str">
        <f>IFERROR(__xludf.DUMMYFUNCTION("""COMPUTED_VALUE"""),"CATEGORY")</f>
        <v>CATEGORY</v>
      </c>
      <c r="E14" s="124" t="str">
        <f>IFERROR(__xludf.DUMMYFUNCTION("""COMPUTED_VALUE"""),"BIRTHDAY")</f>
        <v>BIRTHDAY</v>
      </c>
      <c r="F14" s="124" t="str">
        <f>IFERROR(__xludf.DUMMYFUNCTION("""COMPUTED_VALUE"""),"PRECINT NO.")</f>
        <v>PRECINT NO.</v>
      </c>
      <c r="G14" s="125" t="str">
        <f>IFERROR(__xludf.DUMMYFUNCTION("""COMPUTED_VALUE"""),"STATUS")</f>
        <v>STATUS</v>
      </c>
      <c r="H14" s="126"/>
      <c r="I14" s="66"/>
      <c r="J14" s="6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27">
        <f t="shared" ref="A15:A1004" si="1">IF(B15="","",ROW()-14)</f>
        <v>1</v>
      </c>
      <c r="B15" s="128" t="str">
        <f>IFERROR(__xludf.DUMMYFUNCTION("""COMPUTED_VALUE"""),"EJANDRA")</f>
        <v>EJANDRA</v>
      </c>
      <c r="C15" s="128" t="str">
        <f>IFERROR(__xludf.DUMMYFUNCTION("""COMPUTED_VALUE"""),"RACE ANDREI")</f>
        <v>RACE ANDREI</v>
      </c>
      <c r="D15" s="129"/>
      <c r="E15" s="128"/>
      <c r="F15" s="129"/>
      <c r="G15" s="129"/>
      <c r="H15" s="72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27">
        <f t="shared" si="1"/>
        <v>2</v>
      </c>
      <c r="B16" s="128" t="str">
        <f>IFERROR(__xludf.DUMMYFUNCTION("""COMPUTED_VALUE"""),"EJANDRA")</f>
        <v>EJANDRA</v>
      </c>
      <c r="C16" s="128" t="str">
        <f>IFERROR(__xludf.DUMMYFUNCTION("""COMPUTED_VALUE"""),"RAJE OSHTON")</f>
        <v>RAJE OSHTON</v>
      </c>
      <c r="D16" s="129"/>
      <c r="E16" s="128"/>
      <c r="F16" s="129"/>
      <c r="G16" s="129"/>
      <c r="H16" s="72"/>
      <c r="I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27">
        <f t="shared" si="1"/>
        <v>3</v>
      </c>
      <c r="B17" s="128" t="str">
        <f>IFERROR(__xludf.DUMMYFUNCTION("""COMPUTED_VALUE"""),"EJANDRA")</f>
        <v>EJANDRA</v>
      </c>
      <c r="C17" s="128" t="str">
        <f>IFERROR(__xludf.DUMMYFUNCTION("""COMPUTED_VALUE"""),"REIN MAXINE")</f>
        <v>REIN MAXINE</v>
      </c>
      <c r="D17" s="129"/>
      <c r="E17" s="128"/>
      <c r="F17" s="129"/>
      <c r="G17" s="129"/>
      <c r="H17" s="72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27" t="str">
        <f t="shared" si="1"/>
        <v/>
      </c>
      <c r="B18" s="128"/>
      <c r="C18" s="128"/>
      <c r="D18" s="129"/>
      <c r="E18" s="128"/>
      <c r="F18" s="129"/>
      <c r="G18" s="129"/>
      <c r="H18" s="72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27" t="str">
        <f t="shared" si="1"/>
        <v/>
      </c>
      <c r="B19" s="128"/>
      <c r="C19" s="128"/>
      <c r="D19" s="129"/>
      <c r="E19" s="128"/>
      <c r="F19" s="129"/>
      <c r="G19" s="129"/>
      <c r="H19" s="72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27" t="str">
        <f t="shared" si="1"/>
        <v/>
      </c>
      <c r="B20" s="128"/>
      <c r="C20" s="128"/>
      <c r="D20" s="129"/>
      <c r="E20" s="128"/>
      <c r="F20" s="129"/>
      <c r="G20" s="129"/>
      <c r="H20" s="7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27" t="str">
        <f t="shared" si="1"/>
        <v/>
      </c>
      <c r="B21" s="128"/>
      <c r="C21" s="128"/>
      <c r="D21" s="129"/>
      <c r="E21" s="128"/>
      <c r="F21" s="129"/>
      <c r="G21" s="129"/>
      <c r="H21" s="7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27" t="str">
        <f t="shared" si="1"/>
        <v/>
      </c>
      <c r="B22" s="128"/>
      <c r="C22" s="128"/>
      <c r="D22" s="129"/>
      <c r="E22" s="128"/>
      <c r="F22" s="129"/>
      <c r="G22" s="129"/>
      <c r="H22" s="7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27" t="str">
        <f t="shared" si="1"/>
        <v/>
      </c>
      <c r="B23" s="128"/>
      <c r="C23" s="128"/>
      <c r="D23" s="129"/>
      <c r="E23" s="128"/>
      <c r="F23" s="129"/>
      <c r="G23" s="129"/>
      <c r="H23" s="7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27" t="str">
        <f t="shared" si="1"/>
        <v/>
      </c>
      <c r="B24" s="128"/>
      <c r="C24" s="128"/>
      <c r="D24" s="129"/>
      <c r="E24" s="128"/>
      <c r="F24" s="129"/>
      <c r="G24" s="129"/>
      <c r="H24" s="7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27" t="str">
        <f t="shared" si="1"/>
        <v/>
      </c>
      <c r="B25" s="128"/>
      <c r="C25" s="128"/>
      <c r="D25" s="129"/>
      <c r="E25" s="128"/>
      <c r="F25" s="129"/>
      <c r="G25" s="129"/>
      <c r="H25" s="72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27" t="str">
        <f t="shared" si="1"/>
        <v/>
      </c>
      <c r="B26" s="128"/>
      <c r="C26" s="128"/>
      <c r="D26" s="129"/>
      <c r="E26" s="128"/>
      <c r="F26" s="129"/>
      <c r="G26" s="129"/>
      <c r="H26" s="72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27" t="str">
        <f t="shared" si="1"/>
        <v/>
      </c>
      <c r="B27" s="128"/>
      <c r="C27" s="128"/>
      <c r="D27" s="129"/>
      <c r="E27" s="128"/>
      <c r="F27" s="129"/>
      <c r="G27" s="129"/>
      <c r="H27" s="7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27" t="str">
        <f t="shared" si="1"/>
        <v/>
      </c>
      <c r="B28" s="128"/>
      <c r="C28" s="128"/>
      <c r="D28" s="129"/>
      <c r="E28" s="128"/>
      <c r="F28" s="129"/>
      <c r="G28" s="129"/>
      <c r="H28" s="72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27" t="str">
        <f t="shared" si="1"/>
        <v/>
      </c>
      <c r="B29" s="128"/>
      <c r="C29" s="128"/>
      <c r="D29" s="129"/>
      <c r="E29" s="128"/>
      <c r="F29" s="129"/>
      <c r="G29" s="129"/>
      <c r="H29" s="72"/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27" t="str">
        <f t="shared" si="1"/>
        <v/>
      </c>
      <c r="B30" s="128"/>
      <c r="C30" s="128"/>
      <c r="D30" s="129"/>
      <c r="E30" s="128"/>
      <c r="F30" s="129"/>
      <c r="G30" s="129"/>
      <c r="H30" s="72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27" t="str">
        <f t="shared" si="1"/>
        <v/>
      </c>
      <c r="B31" s="128"/>
      <c r="C31" s="128"/>
      <c r="D31" s="129"/>
      <c r="E31" s="128"/>
      <c r="F31" s="129"/>
      <c r="G31" s="129"/>
      <c r="H31" s="72"/>
      <c r="I31" s="2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27" t="str">
        <f t="shared" si="1"/>
        <v/>
      </c>
      <c r="B32" s="128"/>
      <c r="C32" s="128"/>
      <c r="D32" s="129"/>
      <c r="E32" s="128"/>
      <c r="F32" s="129"/>
      <c r="G32" s="129"/>
      <c r="H32" s="72"/>
      <c r="I32" s="2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27" t="str">
        <f t="shared" si="1"/>
        <v/>
      </c>
      <c r="B33" s="128"/>
      <c r="C33" s="128"/>
      <c r="D33" s="129"/>
      <c r="E33" s="128"/>
      <c r="F33" s="129"/>
      <c r="G33" s="129"/>
      <c r="H33" s="72"/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27" t="str">
        <f t="shared" si="1"/>
        <v/>
      </c>
      <c r="B34" s="128"/>
      <c r="C34" s="128"/>
      <c r="D34" s="129"/>
      <c r="E34" s="128"/>
      <c r="F34" s="129"/>
      <c r="G34" s="129"/>
      <c r="H34" s="72"/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27" t="str">
        <f t="shared" si="1"/>
        <v/>
      </c>
      <c r="B35" s="128"/>
      <c r="C35" s="128"/>
      <c r="D35" s="129"/>
      <c r="E35" s="128"/>
      <c r="F35" s="129"/>
      <c r="G35" s="129"/>
      <c r="H35" s="72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27" t="str">
        <f t="shared" si="1"/>
        <v/>
      </c>
      <c r="B36" s="128"/>
      <c r="C36" s="128"/>
      <c r="D36" s="129"/>
      <c r="E36" s="128"/>
      <c r="F36" s="129"/>
      <c r="G36" s="129"/>
      <c r="H36" s="72"/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27" t="str">
        <f t="shared" si="1"/>
        <v/>
      </c>
      <c r="B37" s="128"/>
      <c r="C37" s="128"/>
      <c r="D37" s="129"/>
      <c r="E37" s="128"/>
      <c r="F37" s="129"/>
      <c r="G37" s="129"/>
      <c r="H37" s="7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27" t="str">
        <f t="shared" si="1"/>
        <v/>
      </c>
      <c r="B38" s="128"/>
      <c r="C38" s="128"/>
      <c r="D38" s="129"/>
      <c r="E38" s="128"/>
      <c r="F38" s="129"/>
      <c r="G38" s="129"/>
      <c r="H38" s="7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27" t="str">
        <f t="shared" si="1"/>
        <v/>
      </c>
      <c r="B39" s="128"/>
      <c r="C39" s="128"/>
      <c r="D39" s="129"/>
      <c r="E39" s="128"/>
      <c r="F39" s="129"/>
      <c r="G39" s="129"/>
      <c r="H39" s="7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27" t="str">
        <f t="shared" si="1"/>
        <v/>
      </c>
      <c r="B40" s="128"/>
      <c r="C40" s="128"/>
      <c r="D40" s="129"/>
      <c r="E40" s="128"/>
      <c r="F40" s="129"/>
      <c r="G40" s="129"/>
      <c r="H40" s="72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27" t="str">
        <f t="shared" si="1"/>
        <v/>
      </c>
      <c r="B41" s="128"/>
      <c r="C41" s="128"/>
      <c r="D41" s="129"/>
      <c r="E41" s="128"/>
      <c r="F41" s="129"/>
      <c r="G41" s="129"/>
      <c r="H41" s="72"/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27" t="str">
        <f t="shared" si="1"/>
        <v/>
      </c>
      <c r="B42" s="128"/>
      <c r="C42" s="128"/>
      <c r="D42" s="129"/>
      <c r="E42" s="128"/>
      <c r="F42" s="129"/>
      <c r="G42" s="129"/>
      <c r="H42" s="7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27" t="str">
        <f t="shared" si="1"/>
        <v/>
      </c>
      <c r="B43" s="128"/>
      <c r="C43" s="128"/>
      <c r="D43" s="129"/>
      <c r="E43" s="128"/>
      <c r="F43" s="129"/>
      <c r="G43" s="129"/>
      <c r="H43" s="7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27" t="str">
        <f t="shared" si="1"/>
        <v/>
      </c>
      <c r="B44" s="128"/>
      <c r="C44" s="128"/>
      <c r="D44" s="129"/>
      <c r="E44" s="128"/>
      <c r="F44" s="129"/>
      <c r="G44" s="129"/>
      <c r="H44" s="72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27" t="str">
        <f t="shared" si="1"/>
        <v/>
      </c>
      <c r="B45" s="128"/>
      <c r="C45" s="128"/>
      <c r="D45" s="129"/>
      <c r="E45" s="128"/>
      <c r="F45" s="129"/>
      <c r="G45" s="129"/>
      <c r="H45" s="72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27" t="str">
        <f t="shared" si="1"/>
        <v/>
      </c>
      <c r="B46" s="128"/>
      <c r="C46" s="128"/>
      <c r="D46" s="129"/>
      <c r="E46" s="128"/>
      <c r="F46" s="129"/>
      <c r="G46" s="129"/>
      <c r="H46" s="72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27" t="str">
        <f t="shared" si="1"/>
        <v/>
      </c>
      <c r="B47" s="128"/>
      <c r="C47" s="128"/>
      <c r="D47" s="129"/>
      <c r="E47" s="128"/>
      <c r="F47" s="129"/>
      <c r="G47" s="129"/>
      <c r="H47" s="72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27" t="str">
        <f t="shared" si="1"/>
        <v/>
      </c>
      <c r="B48" s="128"/>
      <c r="C48" s="128"/>
      <c r="D48" s="129"/>
      <c r="E48" s="128"/>
      <c r="F48" s="129"/>
      <c r="G48" s="129"/>
      <c r="H48" s="72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27" t="str">
        <f t="shared" si="1"/>
        <v/>
      </c>
      <c r="B49" s="128"/>
      <c r="C49" s="128"/>
      <c r="D49" s="129"/>
      <c r="E49" s="128"/>
      <c r="F49" s="129"/>
      <c r="G49" s="129"/>
      <c r="H49" s="72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27" t="str">
        <f t="shared" si="1"/>
        <v/>
      </c>
      <c r="B50" s="128"/>
      <c r="C50" s="128"/>
      <c r="D50" s="129"/>
      <c r="E50" s="128"/>
      <c r="F50" s="129"/>
      <c r="G50" s="129"/>
      <c r="H50" s="72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27" t="str">
        <f t="shared" si="1"/>
        <v/>
      </c>
      <c r="B51" s="128"/>
      <c r="C51" s="128"/>
      <c r="D51" s="129"/>
      <c r="E51" s="128"/>
      <c r="F51" s="129"/>
      <c r="G51" s="129"/>
      <c r="H51" s="72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27" t="str">
        <f t="shared" si="1"/>
        <v/>
      </c>
      <c r="B52" s="128"/>
      <c r="C52" s="128"/>
      <c r="D52" s="129"/>
      <c r="E52" s="128"/>
      <c r="F52" s="129"/>
      <c r="G52" s="129"/>
      <c r="H52" s="7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27" t="str">
        <f t="shared" si="1"/>
        <v/>
      </c>
      <c r="B53" s="128"/>
      <c r="C53" s="128"/>
      <c r="D53" s="129"/>
      <c r="E53" s="128"/>
      <c r="F53" s="129"/>
      <c r="G53" s="129"/>
      <c r="H53" s="72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27" t="str">
        <f t="shared" si="1"/>
        <v/>
      </c>
      <c r="B54" s="128"/>
      <c r="C54" s="128"/>
      <c r="D54" s="129"/>
      <c r="E54" s="128"/>
      <c r="F54" s="129"/>
      <c r="G54" s="129"/>
      <c r="H54" s="7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27" t="str">
        <f t="shared" si="1"/>
        <v/>
      </c>
      <c r="B55" s="128"/>
      <c r="C55" s="128"/>
      <c r="D55" s="129"/>
      <c r="E55" s="128"/>
      <c r="F55" s="129"/>
      <c r="G55" s="129"/>
      <c r="H55" s="7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27" t="str">
        <f t="shared" si="1"/>
        <v/>
      </c>
      <c r="B56" s="128"/>
      <c r="C56" s="128"/>
      <c r="D56" s="129"/>
      <c r="E56" s="128"/>
      <c r="F56" s="129"/>
      <c r="G56" s="129"/>
      <c r="H56" s="7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27" t="str">
        <f t="shared" si="1"/>
        <v/>
      </c>
      <c r="B57" s="128"/>
      <c r="C57" s="128"/>
      <c r="D57" s="129"/>
      <c r="E57" s="128"/>
      <c r="F57" s="129"/>
      <c r="G57" s="129"/>
      <c r="H57" s="72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27" t="str">
        <f t="shared" si="1"/>
        <v/>
      </c>
      <c r="B58" s="128"/>
      <c r="C58" s="128"/>
      <c r="D58" s="129"/>
      <c r="E58" s="128"/>
      <c r="F58" s="129"/>
      <c r="G58" s="129"/>
      <c r="H58" s="7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27" t="str">
        <f t="shared" si="1"/>
        <v/>
      </c>
      <c r="B59" s="128"/>
      <c r="C59" s="128"/>
      <c r="D59" s="129"/>
      <c r="E59" s="128"/>
      <c r="F59" s="129"/>
      <c r="G59" s="129"/>
      <c r="H59" s="72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27" t="str">
        <f t="shared" si="1"/>
        <v/>
      </c>
      <c r="B60" s="128"/>
      <c r="C60" s="128"/>
      <c r="D60" s="129"/>
      <c r="E60" s="128"/>
      <c r="F60" s="129"/>
      <c r="G60" s="129"/>
      <c r="H60" s="72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27" t="str">
        <f t="shared" si="1"/>
        <v/>
      </c>
      <c r="B61" s="128"/>
      <c r="C61" s="128"/>
      <c r="D61" s="129"/>
      <c r="E61" s="128"/>
      <c r="F61" s="129"/>
      <c r="G61" s="129"/>
      <c r="H61" s="72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27" t="str">
        <f t="shared" si="1"/>
        <v/>
      </c>
      <c r="B62" s="128"/>
      <c r="C62" s="128"/>
      <c r="D62" s="129"/>
      <c r="E62" s="128"/>
      <c r="F62" s="129"/>
      <c r="G62" s="129"/>
      <c r="H62" s="72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27" t="str">
        <f t="shared" si="1"/>
        <v/>
      </c>
      <c r="B63" s="128"/>
      <c r="C63" s="128"/>
      <c r="D63" s="129"/>
      <c r="E63" s="128"/>
      <c r="F63" s="129"/>
      <c r="G63" s="129"/>
      <c r="H63" s="72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27" t="str">
        <f t="shared" si="1"/>
        <v/>
      </c>
      <c r="B64" s="128"/>
      <c r="C64" s="128"/>
      <c r="D64" s="129"/>
      <c r="E64" s="128"/>
      <c r="F64" s="129"/>
      <c r="G64" s="129"/>
      <c r="H64" s="72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27" t="str">
        <f t="shared" si="1"/>
        <v/>
      </c>
      <c r="B65" s="128"/>
      <c r="C65" s="128"/>
      <c r="D65" s="129"/>
      <c r="E65" s="128"/>
      <c r="F65" s="129"/>
      <c r="G65" s="129"/>
      <c r="H65" s="72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27" t="str">
        <f t="shared" si="1"/>
        <v/>
      </c>
      <c r="B66" s="128"/>
      <c r="C66" s="128"/>
      <c r="D66" s="129"/>
      <c r="E66" s="128"/>
      <c r="F66" s="129"/>
      <c r="G66" s="129"/>
      <c r="H66" s="7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27" t="str">
        <f t="shared" si="1"/>
        <v/>
      </c>
      <c r="B67" s="128"/>
      <c r="C67" s="128"/>
      <c r="D67" s="129"/>
      <c r="E67" s="128"/>
      <c r="F67" s="129"/>
      <c r="G67" s="129"/>
      <c r="H67" s="72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27" t="str">
        <f t="shared" si="1"/>
        <v/>
      </c>
      <c r="B68" s="128"/>
      <c r="C68" s="128"/>
      <c r="D68" s="129"/>
      <c r="E68" s="128"/>
      <c r="F68" s="129"/>
      <c r="G68" s="129"/>
      <c r="H68" s="7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27" t="str">
        <f t="shared" si="1"/>
        <v/>
      </c>
      <c r="B69" s="128"/>
      <c r="C69" s="128"/>
      <c r="D69" s="129"/>
      <c r="E69" s="128"/>
      <c r="F69" s="129"/>
      <c r="G69" s="129"/>
      <c r="H69" s="72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27" t="str">
        <f t="shared" si="1"/>
        <v/>
      </c>
      <c r="B70" s="128"/>
      <c r="C70" s="128"/>
      <c r="D70" s="129"/>
      <c r="E70" s="128"/>
      <c r="F70" s="129"/>
      <c r="G70" s="129"/>
      <c r="H70" s="7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27" t="str">
        <f t="shared" si="1"/>
        <v/>
      </c>
      <c r="B71" s="128"/>
      <c r="C71" s="128"/>
      <c r="D71" s="129"/>
      <c r="E71" s="128"/>
      <c r="F71" s="129"/>
      <c r="G71" s="129"/>
      <c r="H71" s="7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27" t="str">
        <f t="shared" si="1"/>
        <v/>
      </c>
      <c r="B72" s="128"/>
      <c r="C72" s="128"/>
      <c r="D72" s="129"/>
      <c r="E72" s="128"/>
      <c r="F72" s="129"/>
      <c r="G72" s="129"/>
      <c r="H72" s="7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27" t="str">
        <f t="shared" si="1"/>
        <v/>
      </c>
      <c r="B73" s="128"/>
      <c r="C73" s="128"/>
      <c r="D73" s="129"/>
      <c r="E73" s="128"/>
      <c r="F73" s="129"/>
      <c r="G73" s="129"/>
      <c r="H73" s="7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27" t="str">
        <f t="shared" si="1"/>
        <v/>
      </c>
      <c r="B74" s="128"/>
      <c r="C74" s="128"/>
      <c r="D74" s="129"/>
      <c r="E74" s="128"/>
      <c r="F74" s="129"/>
      <c r="G74" s="129"/>
      <c r="H74" s="7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27" t="str">
        <f t="shared" si="1"/>
        <v/>
      </c>
      <c r="B75" s="128"/>
      <c r="C75" s="128"/>
      <c r="D75" s="129"/>
      <c r="E75" s="128"/>
      <c r="F75" s="129"/>
      <c r="G75" s="129"/>
      <c r="H75" s="7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27" t="str">
        <f t="shared" si="1"/>
        <v/>
      </c>
      <c r="B76" s="128"/>
      <c r="C76" s="128"/>
      <c r="D76" s="129"/>
      <c r="E76" s="128"/>
      <c r="F76" s="129"/>
      <c r="G76" s="129"/>
      <c r="H76" s="7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27" t="str">
        <f t="shared" si="1"/>
        <v/>
      </c>
      <c r="B77" s="128"/>
      <c r="C77" s="128"/>
      <c r="D77" s="129"/>
      <c r="E77" s="128"/>
      <c r="F77" s="129"/>
      <c r="G77" s="129"/>
      <c r="H77" s="7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27" t="str">
        <f t="shared" si="1"/>
        <v/>
      </c>
      <c r="B78" s="128"/>
      <c r="C78" s="128"/>
      <c r="D78" s="129"/>
      <c r="E78" s="128"/>
      <c r="F78" s="129"/>
      <c r="G78" s="129"/>
      <c r="H78" s="7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27" t="str">
        <f t="shared" si="1"/>
        <v/>
      </c>
      <c r="B79" s="128"/>
      <c r="C79" s="128"/>
      <c r="D79" s="129"/>
      <c r="E79" s="128"/>
      <c r="F79" s="129"/>
      <c r="G79" s="129"/>
      <c r="H79" s="7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27" t="str">
        <f t="shared" si="1"/>
        <v/>
      </c>
      <c r="B80" s="128"/>
      <c r="C80" s="128"/>
      <c r="D80" s="129"/>
      <c r="E80" s="128"/>
      <c r="F80" s="129"/>
      <c r="G80" s="129"/>
      <c r="H80" s="72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27" t="str">
        <f t="shared" si="1"/>
        <v/>
      </c>
      <c r="B81" s="128"/>
      <c r="C81" s="128"/>
      <c r="D81" s="129"/>
      <c r="E81" s="128"/>
      <c r="F81" s="129"/>
      <c r="G81" s="129"/>
      <c r="H81" s="72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27" t="str">
        <f t="shared" si="1"/>
        <v/>
      </c>
      <c r="B82" s="128"/>
      <c r="C82" s="128"/>
      <c r="D82" s="129"/>
      <c r="E82" s="128"/>
      <c r="F82" s="129"/>
      <c r="G82" s="129"/>
      <c r="H82" s="72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27" t="str">
        <f t="shared" si="1"/>
        <v/>
      </c>
      <c r="B83" s="128"/>
      <c r="C83" s="128"/>
      <c r="D83" s="129"/>
      <c r="E83" s="128"/>
      <c r="F83" s="129"/>
      <c r="G83" s="129"/>
      <c r="H83" s="72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27" t="str">
        <f t="shared" si="1"/>
        <v/>
      </c>
      <c r="B84" s="128"/>
      <c r="C84" s="128"/>
      <c r="D84" s="129"/>
      <c r="E84" s="128"/>
      <c r="F84" s="129"/>
      <c r="G84" s="129"/>
      <c r="H84" s="72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27" t="str">
        <f t="shared" si="1"/>
        <v/>
      </c>
      <c r="B85" s="128"/>
      <c r="C85" s="128"/>
      <c r="D85" s="129"/>
      <c r="E85" s="128"/>
      <c r="F85" s="129"/>
      <c r="G85" s="129"/>
      <c r="H85" s="72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27" t="str">
        <f t="shared" si="1"/>
        <v/>
      </c>
      <c r="B86" s="128"/>
      <c r="C86" s="128"/>
      <c r="D86" s="129"/>
      <c r="E86" s="128"/>
      <c r="F86" s="129"/>
      <c r="G86" s="129"/>
      <c r="H86" s="72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27" t="str">
        <f t="shared" si="1"/>
        <v/>
      </c>
      <c r="B87" s="128"/>
      <c r="C87" s="128"/>
      <c r="D87" s="129"/>
      <c r="E87" s="128"/>
      <c r="F87" s="129"/>
      <c r="G87" s="129"/>
      <c r="H87" s="72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27" t="str">
        <f t="shared" si="1"/>
        <v/>
      </c>
      <c r="B88" s="128"/>
      <c r="C88" s="128"/>
      <c r="D88" s="129"/>
      <c r="E88" s="128"/>
      <c r="F88" s="129"/>
      <c r="G88" s="129"/>
      <c r="H88" s="7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27" t="str">
        <f t="shared" si="1"/>
        <v/>
      </c>
      <c r="B89" s="128"/>
      <c r="C89" s="128"/>
      <c r="D89" s="129"/>
      <c r="E89" s="128"/>
      <c r="F89" s="129"/>
      <c r="G89" s="129"/>
      <c r="H89" s="72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27" t="str">
        <f t="shared" si="1"/>
        <v/>
      </c>
      <c r="B90" s="128"/>
      <c r="C90" s="128"/>
      <c r="D90" s="129"/>
      <c r="E90" s="128"/>
      <c r="F90" s="129"/>
      <c r="G90" s="129"/>
      <c r="H90" s="7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27" t="str">
        <f t="shared" si="1"/>
        <v/>
      </c>
      <c r="B91" s="128"/>
      <c r="C91" s="128"/>
      <c r="D91" s="129"/>
      <c r="E91" s="128"/>
      <c r="F91" s="129"/>
      <c r="G91" s="129"/>
      <c r="H91" s="72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27" t="str">
        <f t="shared" si="1"/>
        <v/>
      </c>
      <c r="B92" s="128"/>
      <c r="C92" s="128"/>
      <c r="D92" s="129"/>
      <c r="E92" s="128"/>
      <c r="F92" s="129"/>
      <c r="G92" s="129"/>
      <c r="H92" s="7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27" t="str">
        <f t="shared" si="1"/>
        <v/>
      </c>
      <c r="B93" s="128"/>
      <c r="C93" s="128"/>
      <c r="D93" s="129"/>
      <c r="E93" s="128"/>
      <c r="F93" s="129"/>
      <c r="G93" s="129"/>
      <c r="H93" s="72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27" t="str">
        <f t="shared" si="1"/>
        <v/>
      </c>
      <c r="B94" s="128"/>
      <c r="C94" s="128"/>
      <c r="D94" s="129"/>
      <c r="E94" s="128"/>
      <c r="F94" s="129"/>
      <c r="G94" s="129"/>
      <c r="H94" s="72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27" t="str">
        <f t="shared" si="1"/>
        <v/>
      </c>
      <c r="B95" s="128"/>
      <c r="C95" s="128"/>
      <c r="D95" s="129"/>
      <c r="E95" s="128"/>
      <c r="F95" s="129"/>
      <c r="G95" s="129"/>
      <c r="H95" s="72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27" t="str">
        <f t="shared" si="1"/>
        <v/>
      </c>
      <c r="B96" s="128"/>
      <c r="C96" s="128"/>
      <c r="D96" s="129"/>
      <c r="E96" s="128"/>
      <c r="F96" s="129"/>
      <c r="G96" s="129"/>
      <c r="H96" s="72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27" t="str">
        <f t="shared" si="1"/>
        <v/>
      </c>
      <c r="B97" s="128"/>
      <c r="C97" s="128"/>
      <c r="D97" s="129"/>
      <c r="E97" s="128"/>
      <c r="F97" s="129"/>
      <c r="G97" s="129"/>
      <c r="H97" s="7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27" t="str">
        <f t="shared" si="1"/>
        <v/>
      </c>
      <c r="B98" s="128"/>
      <c r="C98" s="128"/>
      <c r="D98" s="129"/>
      <c r="E98" s="128"/>
      <c r="F98" s="129"/>
      <c r="G98" s="129"/>
      <c r="H98" s="72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27" t="str">
        <f t="shared" si="1"/>
        <v/>
      </c>
      <c r="B99" s="128"/>
      <c r="C99" s="128"/>
      <c r="D99" s="129"/>
      <c r="E99" s="128"/>
      <c r="F99" s="129"/>
      <c r="G99" s="129"/>
      <c r="H99" s="7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27" t="str">
        <f t="shared" si="1"/>
        <v/>
      </c>
      <c r="B100" s="128"/>
      <c r="C100" s="128"/>
      <c r="D100" s="129"/>
      <c r="E100" s="128"/>
      <c r="F100" s="129"/>
      <c r="G100" s="129"/>
      <c r="H100" s="7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27" t="str">
        <f t="shared" si="1"/>
        <v/>
      </c>
      <c r="B101" s="128"/>
      <c r="C101" s="128"/>
      <c r="D101" s="129"/>
      <c r="E101" s="128"/>
      <c r="F101" s="129"/>
      <c r="G101" s="129"/>
      <c r="H101" s="7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27" t="str">
        <f t="shared" si="1"/>
        <v/>
      </c>
      <c r="B102" s="128"/>
      <c r="C102" s="128"/>
      <c r="D102" s="129"/>
      <c r="E102" s="128"/>
      <c r="F102" s="129"/>
      <c r="G102" s="129"/>
      <c r="H102" s="7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27" t="str">
        <f t="shared" si="1"/>
        <v/>
      </c>
      <c r="B103" s="128"/>
      <c r="C103" s="128"/>
      <c r="D103" s="129"/>
      <c r="E103" s="128"/>
      <c r="F103" s="129"/>
      <c r="G103" s="129"/>
      <c r="H103" s="72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27" t="str">
        <f t="shared" si="1"/>
        <v/>
      </c>
      <c r="B104" s="128"/>
      <c r="C104" s="128"/>
      <c r="D104" s="129"/>
      <c r="E104" s="128"/>
      <c r="F104" s="129"/>
      <c r="G104" s="129"/>
      <c r="H104" s="7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27" t="str">
        <f t="shared" si="1"/>
        <v/>
      </c>
      <c r="B105" s="128"/>
      <c r="C105" s="128"/>
      <c r="D105" s="129"/>
      <c r="E105" s="128"/>
      <c r="F105" s="129"/>
      <c r="G105" s="129"/>
      <c r="H105" s="72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27" t="str">
        <f t="shared" si="1"/>
        <v/>
      </c>
      <c r="B106" s="128"/>
      <c r="C106" s="128"/>
      <c r="D106" s="129"/>
      <c r="E106" s="128"/>
      <c r="F106" s="129"/>
      <c r="G106" s="129"/>
      <c r="H106" s="7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27" t="str">
        <f t="shared" si="1"/>
        <v/>
      </c>
      <c r="B107" s="128"/>
      <c r="C107" s="128"/>
      <c r="D107" s="129"/>
      <c r="E107" s="128"/>
      <c r="F107" s="129"/>
      <c r="G107" s="129"/>
      <c r="H107" s="72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27" t="str">
        <f t="shared" si="1"/>
        <v/>
      </c>
      <c r="B108" s="128"/>
      <c r="C108" s="128"/>
      <c r="D108" s="129"/>
      <c r="E108" s="128"/>
      <c r="F108" s="129"/>
      <c r="G108" s="129"/>
      <c r="H108" s="7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27" t="str">
        <f t="shared" si="1"/>
        <v/>
      </c>
      <c r="B109" s="128"/>
      <c r="C109" s="128"/>
      <c r="D109" s="129"/>
      <c r="E109" s="128"/>
      <c r="F109" s="129"/>
      <c r="G109" s="129"/>
      <c r="H109" s="72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27" t="str">
        <f t="shared" si="1"/>
        <v/>
      </c>
      <c r="B110" s="128"/>
      <c r="C110" s="128"/>
      <c r="D110" s="129"/>
      <c r="E110" s="128"/>
      <c r="F110" s="129"/>
      <c r="G110" s="129"/>
      <c r="H110" s="7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27" t="str">
        <f t="shared" si="1"/>
        <v/>
      </c>
      <c r="B111" s="128"/>
      <c r="C111" s="128"/>
      <c r="D111" s="129"/>
      <c r="E111" s="128"/>
      <c r="F111" s="129"/>
      <c r="G111" s="129"/>
      <c r="H111" s="72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27" t="str">
        <f t="shared" si="1"/>
        <v/>
      </c>
      <c r="B112" s="128"/>
      <c r="C112" s="128"/>
      <c r="D112" s="129"/>
      <c r="E112" s="128"/>
      <c r="F112" s="129"/>
      <c r="G112" s="129"/>
      <c r="H112" s="7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27" t="str">
        <f t="shared" si="1"/>
        <v/>
      </c>
      <c r="B113" s="128"/>
      <c r="C113" s="128"/>
      <c r="D113" s="129"/>
      <c r="E113" s="128"/>
      <c r="F113" s="129"/>
      <c r="G113" s="129"/>
      <c r="H113" s="72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27" t="str">
        <f t="shared" si="1"/>
        <v/>
      </c>
      <c r="B114" s="128"/>
      <c r="C114" s="128"/>
      <c r="D114" s="129"/>
      <c r="E114" s="128"/>
      <c r="F114" s="129"/>
      <c r="G114" s="129"/>
      <c r="H114" s="7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27" t="str">
        <f t="shared" si="1"/>
        <v/>
      </c>
      <c r="B115" s="128"/>
      <c r="C115" s="128"/>
      <c r="D115" s="129"/>
      <c r="E115" s="128"/>
      <c r="F115" s="129"/>
      <c r="G115" s="129"/>
      <c r="H115" s="72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27" t="str">
        <f t="shared" si="1"/>
        <v/>
      </c>
      <c r="B116" s="128"/>
      <c r="C116" s="128"/>
      <c r="D116" s="129"/>
      <c r="E116" s="128"/>
      <c r="F116" s="129"/>
      <c r="G116" s="129"/>
      <c r="H116" s="72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27" t="str">
        <f t="shared" si="1"/>
        <v/>
      </c>
      <c r="B117" s="128"/>
      <c r="C117" s="128"/>
      <c r="D117" s="129"/>
      <c r="E117" s="128"/>
      <c r="F117" s="129"/>
      <c r="G117" s="129"/>
      <c r="H117" s="72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27" t="str">
        <f t="shared" si="1"/>
        <v/>
      </c>
      <c r="B118" s="128"/>
      <c r="C118" s="128"/>
      <c r="D118" s="129"/>
      <c r="E118" s="128"/>
      <c r="F118" s="129"/>
      <c r="G118" s="129"/>
      <c r="H118" s="72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27" t="str">
        <f t="shared" si="1"/>
        <v/>
      </c>
      <c r="B119" s="128"/>
      <c r="C119" s="128"/>
      <c r="D119" s="129"/>
      <c r="E119" s="128"/>
      <c r="F119" s="129"/>
      <c r="G119" s="129"/>
      <c r="H119" s="72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27" t="str">
        <f t="shared" si="1"/>
        <v/>
      </c>
      <c r="B120" s="128"/>
      <c r="C120" s="128"/>
      <c r="D120" s="129"/>
      <c r="E120" s="128"/>
      <c r="F120" s="129"/>
      <c r="G120" s="129"/>
      <c r="H120" s="72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27" t="str">
        <f t="shared" si="1"/>
        <v/>
      </c>
      <c r="B121" s="128"/>
      <c r="C121" s="128"/>
      <c r="D121" s="129"/>
      <c r="E121" s="128"/>
      <c r="F121" s="129"/>
      <c r="G121" s="129"/>
      <c r="H121" s="72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27" t="str">
        <f t="shared" si="1"/>
        <v/>
      </c>
      <c r="B122" s="128"/>
      <c r="C122" s="128"/>
      <c r="D122" s="129"/>
      <c r="E122" s="128"/>
      <c r="F122" s="129"/>
      <c r="G122" s="129"/>
      <c r="H122" s="72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27" t="str">
        <f t="shared" si="1"/>
        <v/>
      </c>
      <c r="B123" s="128"/>
      <c r="C123" s="128"/>
      <c r="D123" s="129"/>
      <c r="E123" s="128"/>
      <c r="F123" s="129"/>
      <c r="G123" s="129"/>
      <c r="H123" s="72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27" t="str">
        <f t="shared" si="1"/>
        <v/>
      </c>
      <c r="B124" s="128"/>
      <c r="C124" s="128"/>
      <c r="D124" s="129"/>
      <c r="E124" s="128"/>
      <c r="F124" s="129"/>
      <c r="G124" s="129"/>
      <c r="H124" s="72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27" t="str">
        <f t="shared" si="1"/>
        <v/>
      </c>
      <c r="B125" s="128"/>
      <c r="C125" s="128"/>
      <c r="D125" s="129"/>
      <c r="E125" s="128"/>
      <c r="F125" s="129"/>
      <c r="G125" s="129"/>
      <c r="H125" s="72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27" t="str">
        <f t="shared" si="1"/>
        <v/>
      </c>
      <c r="B126" s="128"/>
      <c r="C126" s="128"/>
      <c r="D126" s="129"/>
      <c r="E126" s="128"/>
      <c r="F126" s="129"/>
      <c r="G126" s="129"/>
      <c r="H126" s="72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27" t="str">
        <f t="shared" si="1"/>
        <v/>
      </c>
      <c r="B127" s="128"/>
      <c r="C127" s="128"/>
      <c r="D127" s="129"/>
      <c r="E127" s="128"/>
      <c r="F127" s="129"/>
      <c r="G127" s="129"/>
      <c r="H127" s="72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27" t="str">
        <f t="shared" si="1"/>
        <v/>
      </c>
      <c r="B128" s="128"/>
      <c r="C128" s="128"/>
      <c r="D128" s="129"/>
      <c r="E128" s="128"/>
      <c r="F128" s="129"/>
      <c r="G128" s="129"/>
      <c r="H128" s="7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27" t="str">
        <f t="shared" si="1"/>
        <v/>
      </c>
      <c r="B129" s="128"/>
      <c r="C129" s="128"/>
      <c r="D129" s="129"/>
      <c r="E129" s="128"/>
      <c r="F129" s="129"/>
      <c r="G129" s="129"/>
      <c r="H129" s="72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27" t="str">
        <f t="shared" si="1"/>
        <v/>
      </c>
      <c r="B130" s="128"/>
      <c r="C130" s="128"/>
      <c r="D130" s="129"/>
      <c r="E130" s="128"/>
      <c r="F130" s="129"/>
      <c r="G130" s="129"/>
      <c r="H130" s="7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27" t="str">
        <f t="shared" si="1"/>
        <v/>
      </c>
      <c r="B131" s="128"/>
      <c r="C131" s="128"/>
      <c r="D131" s="129"/>
      <c r="E131" s="128"/>
      <c r="F131" s="129"/>
      <c r="G131" s="129"/>
      <c r="H131" s="72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27" t="str">
        <f t="shared" si="1"/>
        <v/>
      </c>
      <c r="B132" s="128"/>
      <c r="C132" s="128"/>
      <c r="D132" s="129"/>
      <c r="E132" s="128"/>
      <c r="F132" s="129"/>
      <c r="G132" s="129"/>
      <c r="H132" s="7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27" t="str">
        <f t="shared" si="1"/>
        <v/>
      </c>
      <c r="B133" s="128"/>
      <c r="C133" s="128"/>
      <c r="D133" s="129"/>
      <c r="E133" s="128"/>
      <c r="F133" s="129"/>
      <c r="G133" s="129"/>
      <c r="H133" s="72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27" t="str">
        <f t="shared" si="1"/>
        <v/>
      </c>
      <c r="B134" s="128"/>
      <c r="C134" s="128"/>
      <c r="D134" s="129"/>
      <c r="E134" s="128"/>
      <c r="F134" s="129"/>
      <c r="G134" s="129"/>
      <c r="H134" s="72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27" t="str">
        <f t="shared" si="1"/>
        <v/>
      </c>
      <c r="B135" s="128"/>
      <c r="C135" s="128"/>
      <c r="D135" s="129"/>
      <c r="E135" s="128"/>
      <c r="F135" s="129"/>
      <c r="G135" s="129"/>
      <c r="H135" s="72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27" t="str">
        <f t="shared" si="1"/>
        <v/>
      </c>
      <c r="B136" s="128"/>
      <c r="C136" s="128"/>
      <c r="D136" s="129"/>
      <c r="E136" s="128"/>
      <c r="F136" s="129"/>
      <c r="G136" s="129"/>
      <c r="H136" s="72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27" t="str">
        <f t="shared" si="1"/>
        <v/>
      </c>
      <c r="B137" s="128"/>
      <c r="C137" s="128"/>
      <c r="D137" s="129"/>
      <c r="E137" s="128"/>
      <c r="F137" s="129"/>
      <c r="G137" s="129"/>
      <c r="H137" s="72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27" t="str">
        <f t="shared" si="1"/>
        <v/>
      </c>
      <c r="B138" s="128"/>
      <c r="C138" s="128"/>
      <c r="D138" s="129"/>
      <c r="E138" s="128"/>
      <c r="F138" s="129"/>
      <c r="G138" s="129"/>
      <c r="H138" s="72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27" t="str">
        <f t="shared" si="1"/>
        <v/>
      </c>
      <c r="B139" s="128"/>
      <c r="C139" s="128"/>
      <c r="D139" s="129"/>
      <c r="E139" s="128"/>
      <c r="F139" s="129"/>
      <c r="G139" s="129"/>
      <c r="H139" s="72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27" t="str">
        <f t="shared" si="1"/>
        <v/>
      </c>
      <c r="B140" s="128"/>
      <c r="C140" s="128"/>
      <c r="D140" s="129"/>
      <c r="E140" s="128"/>
      <c r="F140" s="129"/>
      <c r="G140" s="129"/>
      <c r="H140" s="72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27" t="str">
        <f t="shared" si="1"/>
        <v/>
      </c>
      <c r="B141" s="128"/>
      <c r="C141" s="128"/>
      <c r="D141" s="129"/>
      <c r="E141" s="128"/>
      <c r="F141" s="129"/>
      <c r="G141" s="129"/>
      <c r="H141" s="72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27" t="str">
        <f t="shared" si="1"/>
        <v/>
      </c>
      <c r="B142" s="128"/>
      <c r="C142" s="128"/>
      <c r="D142" s="129"/>
      <c r="E142" s="128"/>
      <c r="F142" s="129"/>
      <c r="G142" s="129"/>
      <c r="H142" s="72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27" t="str">
        <f t="shared" si="1"/>
        <v/>
      </c>
      <c r="B143" s="128"/>
      <c r="C143" s="128"/>
      <c r="D143" s="129"/>
      <c r="E143" s="128"/>
      <c r="F143" s="129"/>
      <c r="G143" s="129"/>
      <c r="H143" s="72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27" t="str">
        <f t="shared" si="1"/>
        <v/>
      </c>
      <c r="B144" s="128"/>
      <c r="C144" s="128"/>
      <c r="D144" s="129"/>
      <c r="E144" s="128"/>
      <c r="F144" s="129"/>
      <c r="G144" s="129"/>
      <c r="H144" s="72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27" t="str">
        <f t="shared" si="1"/>
        <v/>
      </c>
      <c r="B145" s="128"/>
      <c r="C145" s="128"/>
      <c r="D145" s="129"/>
      <c r="E145" s="128"/>
      <c r="F145" s="129"/>
      <c r="G145" s="129"/>
      <c r="H145" s="72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27" t="str">
        <f t="shared" si="1"/>
        <v/>
      </c>
      <c r="B146" s="128"/>
      <c r="C146" s="128"/>
      <c r="D146" s="129"/>
      <c r="E146" s="128"/>
      <c r="F146" s="129"/>
      <c r="G146" s="129"/>
      <c r="H146" s="72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27" t="str">
        <f t="shared" si="1"/>
        <v/>
      </c>
      <c r="B147" s="128"/>
      <c r="C147" s="128"/>
      <c r="D147" s="129"/>
      <c r="E147" s="128"/>
      <c r="F147" s="129"/>
      <c r="G147" s="129"/>
      <c r="H147" s="72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27" t="str">
        <f t="shared" si="1"/>
        <v/>
      </c>
      <c r="B148" s="128"/>
      <c r="C148" s="128"/>
      <c r="D148" s="129"/>
      <c r="E148" s="128"/>
      <c r="F148" s="129"/>
      <c r="G148" s="129"/>
      <c r="H148" s="72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27" t="str">
        <f t="shared" si="1"/>
        <v/>
      </c>
      <c r="B149" s="128"/>
      <c r="C149" s="128"/>
      <c r="D149" s="129"/>
      <c r="E149" s="128"/>
      <c r="F149" s="129"/>
      <c r="G149" s="129"/>
      <c r="H149" s="72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27" t="str">
        <f t="shared" si="1"/>
        <v/>
      </c>
      <c r="B150" s="128"/>
      <c r="C150" s="128"/>
      <c r="D150" s="129"/>
      <c r="E150" s="128"/>
      <c r="F150" s="129"/>
      <c r="G150" s="129"/>
      <c r="H150" s="72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27" t="str">
        <f t="shared" si="1"/>
        <v/>
      </c>
      <c r="B151" s="128"/>
      <c r="C151" s="128"/>
      <c r="D151" s="129"/>
      <c r="E151" s="128"/>
      <c r="F151" s="129"/>
      <c r="G151" s="129"/>
      <c r="H151" s="72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27" t="str">
        <f t="shared" si="1"/>
        <v/>
      </c>
      <c r="B152" s="128"/>
      <c r="C152" s="128"/>
      <c r="D152" s="129"/>
      <c r="E152" s="128"/>
      <c r="F152" s="129"/>
      <c r="G152" s="129"/>
      <c r="H152" s="72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27" t="str">
        <f t="shared" si="1"/>
        <v/>
      </c>
      <c r="B153" s="128"/>
      <c r="C153" s="128"/>
      <c r="D153" s="129"/>
      <c r="E153" s="128"/>
      <c r="F153" s="129"/>
      <c r="G153" s="129"/>
      <c r="H153" s="72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27" t="str">
        <f t="shared" si="1"/>
        <v/>
      </c>
      <c r="B154" s="128"/>
      <c r="C154" s="128"/>
      <c r="D154" s="129"/>
      <c r="E154" s="128"/>
      <c r="F154" s="129"/>
      <c r="G154" s="129"/>
      <c r="H154" s="72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27" t="str">
        <f t="shared" si="1"/>
        <v/>
      </c>
      <c r="B155" s="128"/>
      <c r="C155" s="128"/>
      <c r="D155" s="129"/>
      <c r="E155" s="128"/>
      <c r="F155" s="129"/>
      <c r="G155" s="129"/>
      <c r="H155" s="72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27" t="str">
        <f t="shared" si="1"/>
        <v/>
      </c>
      <c r="B156" s="128"/>
      <c r="C156" s="128"/>
      <c r="D156" s="129"/>
      <c r="E156" s="128"/>
      <c r="F156" s="129"/>
      <c r="G156" s="129"/>
      <c r="H156" s="72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27" t="str">
        <f t="shared" si="1"/>
        <v/>
      </c>
      <c r="B157" s="128"/>
      <c r="C157" s="128"/>
      <c r="D157" s="129"/>
      <c r="E157" s="128"/>
      <c r="F157" s="129"/>
      <c r="G157" s="129"/>
      <c r="H157" s="72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27" t="str">
        <f t="shared" si="1"/>
        <v/>
      </c>
      <c r="B158" s="128"/>
      <c r="C158" s="128"/>
      <c r="D158" s="129"/>
      <c r="E158" s="128"/>
      <c r="F158" s="129"/>
      <c r="G158" s="129"/>
      <c r="H158" s="72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27" t="str">
        <f t="shared" si="1"/>
        <v/>
      </c>
      <c r="B159" s="128"/>
      <c r="C159" s="128"/>
      <c r="D159" s="129"/>
      <c r="E159" s="128"/>
      <c r="F159" s="129"/>
      <c r="G159" s="129"/>
      <c r="H159" s="7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27" t="str">
        <f t="shared" si="1"/>
        <v/>
      </c>
      <c r="B160" s="128"/>
      <c r="C160" s="128"/>
      <c r="D160" s="129"/>
      <c r="E160" s="128"/>
      <c r="F160" s="129"/>
      <c r="G160" s="129"/>
      <c r="H160" s="72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27" t="str">
        <f t="shared" si="1"/>
        <v/>
      </c>
      <c r="B161" s="128"/>
      <c r="C161" s="128"/>
      <c r="D161" s="129"/>
      <c r="E161" s="128"/>
      <c r="F161" s="129"/>
      <c r="G161" s="129"/>
      <c r="H161" s="7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27" t="str">
        <f t="shared" si="1"/>
        <v/>
      </c>
      <c r="B162" s="128"/>
      <c r="C162" s="128"/>
      <c r="D162" s="129"/>
      <c r="E162" s="128"/>
      <c r="F162" s="129"/>
      <c r="G162" s="129"/>
      <c r="H162" s="72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27" t="str">
        <f t="shared" si="1"/>
        <v/>
      </c>
      <c r="B163" s="128"/>
      <c r="C163" s="128"/>
      <c r="D163" s="129"/>
      <c r="E163" s="128"/>
      <c r="F163" s="129"/>
      <c r="G163" s="129"/>
      <c r="H163" s="72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27" t="str">
        <f t="shared" si="1"/>
        <v/>
      </c>
      <c r="B164" s="128"/>
      <c r="C164" s="128"/>
      <c r="D164" s="129"/>
      <c r="E164" s="128"/>
      <c r="F164" s="129"/>
      <c r="G164" s="129"/>
      <c r="H164" s="72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27" t="str">
        <f t="shared" si="1"/>
        <v/>
      </c>
      <c r="B165" s="128"/>
      <c r="C165" s="128"/>
      <c r="D165" s="129"/>
      <c r="E165" s="128"/>
      <c r="F165" s="129"/>
      <c r="G165" s="129"/>
      <c r="H165" s="72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27" t="str">
        <f t="shared" si="1"/>
        <v/>
      </c>
      <c r="B166" s="128"/>
      <c r="C166" s="128"/>
      <c r="D166" s="129"/>
      <c r="E166" s="128"/>
      <c r="F166" s="129"/>
      <c r="G166" s="129"/>
      <c r="H166" s="72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27" t="str">
        <f t="shared" si="1"/>
        <v/>
      </c>
      <c r="B167" s="128"/>
      <c r="C167" s="128"/>
      <c r="D167" s="129"/>
      <c r="E167" s="128"/>
      <c r="F167" s="129"/>
      <c r="G167" s="129"/>
      <c r="H167" s="72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27" t="str">
        <f t="shared" si="1"/>
        <v/>
      </c>
      <c r="B168" s="128"/>
      <c r="C168" s="128"/>
      <c r="D168" s="129"/>
      <c r="E168" s="128"/>
      <c r="F168" s="129"/>
      <c r="G168" s="129"/>
      <c r="H168" s="72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27" t="str">
        <f t="shared" si="1"/>
        <v/>
      </c>
      <c r="B169" s="128"/>
      <c r="C169" s="128"/>
      <c r="D169" s="129"/>
      <c r="E169" s="128"/>
      <c r="F169" s="129"/>
      <c r="G169" s="129"/>
      <c r="H169" s="72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27" t="str">
        <f t="shared" si="1"/>
        <v/>
      </c>
      <c r="B170" s="128"/>
      <c r="C170" s="128"/>
      <c r="D170" s="129"/>
      <c r="E170" s="128"/>
      <c r="F170" s="129"/>
      <c r="G170" s="129"/>
      <c r="H170" s="72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27" t="str">
        <f t="shared" si="1"/>
        <v/>
      </c>
      <c r="B171" s="128"/>
      <c r="C171" s="128"/>
      <c r="D171" s="129"/>
      <c r="E171" s="128"/>
      <c r="F171" s="129"/>
      <c r="G171" s="129"/>
      <c r="H171" s="72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27" t="str">
        <f t="shared" si="1"/>
        <v/>
      </c>
      <c r="B172" s="128"/>
      <c r="C172" s="128"/>
      <c r="D172" s="129"/>
      <c r="E172" s="128"/>
      <c r="F172" s="129"/>
      <c r="G172" s="129"/>
      <c r="H172" s="7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27" t="str">
        <f t="shared" si="1"/>
        <v/>
      </c>
      <c r="B173" s="128"/>
      <c r="C173" s="128"/>
      <c r="D173" s="129"/>
      <c r="E173" s="128"/>
      <c r="F173" s="129"/>
      <c r="G173" s="129"/>
      <c r="H173" s="72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27" t="str">
        <f t="shared" si="1"/>
        <v/>
      </c>
      <c r="B174" s="128"/>
      <c r="C174" s="128"/>
      <c r="D174" s="129"/>
      <c r="E174" s="128"/>
      <c r="F174" s="129"/>
      <c r="G174" s="129"/>
      <c r="H174" s="72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27" t="str">
        <f t="shared" si="1"/>
        <v/>
      </c>
      <c r="B175" s="128"/>
      <c r="C175" s="128"/>
      <c r="D175" s="129"/>
      <c r="E175" s="128"/>
      <c r="F175" s="129"/>
      <c r="G175" s="129"/>
      <c r="H175" s="72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27" t="str">
        <f t="shared" si="1"/>
        <v/>
      </c>
      <c r="B176" s="128"/>
      <c r="C176" s="128"/>
      <c r="D176" s="129"/>
      <c r="E176" s="128"/>
      <c r="F176" s="129"/>
      <c r="G176" s="129"/>
      <c r="H176" s="72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27" t="str">
        <f t="shared" si="1"/>
        <v/>
      </c>
      <c r="B177" s="128"/>
      <c r="C177" s="128"/>
      <c r="D177" s="129"/>
      <c r="E177" s="128"/>
      <c r="F177" s="129"/>
      <c r="G177" s="129"/>
      <c r="H177" s="72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27" t="str">
        <f t="shared" si="1"/>
        <v/>
      </c>
      <c r="B178" s="128"/>
      <c r="C178" s="128"/>
      <c r="D178" s="129"/>
      <c r="E178" s="128"/>
      <c r="F178" s="129"/>
      <c r="G178" s="129"/>
      <c r="H178" s="7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27" t="str">
        <f t="shared" si="1"/>
        <v/>
      </c>
      <c r="B179" s="128"/>
      <c r="C179" s="128"/>
      <c r="D179" s="129"/>
      <c r="E179" s="128"/>
      <c r="F179" s="129"/>
      <c r="G179" s="129"/>
      <c r="H179" s="72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27" t="str">
        <f t="shared" si="1"/>
        <v/>
      </c>
      <c r="B180" s="128"/>
      <c r="C180" s="128"/>
      <c r="D180" s="129"/>
      <c r="E180" s="128"/>
      <c r="F180" s="129"/>
      <c r="G180" s="129"/>
      <c r="H180" s="72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27" t="str">
        <f t="shared" si="1"/>
        <v/>
      </c>
      <c r="B181" s="128"/>
      <c r="C181" s="128"/>
      <c r="D181" s="129"/>
      <c r="E181" s="128"/>
      <c r="F181" s="129"/>
      <c r="G181" s="129"/>
      <c r="H181" s="72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27" t="str">
        <f t="shared" si="1"/>
        <v/>
      </c>
      <c r="B182" s="128"/>
      <c r="C182" s="128"/>
      <c r="D182" s="129"/>
      <c r="E182" s="128"/>
      <c r="F182" s="129"/>
      <c r="G182" s="129"/>
      <c r="H182" s="72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27" t="str">
        <f t="shared" si="1"/>
        <v/>
      </c>
      <c r="B183" s="128"/>
      <c r="C183" s="128"/>
      <c r="D183" s="129"/>
      <c r="E183" s="128"/>
      <c r="F183" s="129"/>
      <c r="G183" s="129"/>
      <c r="H183" s="72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27" t="str">
        <f t="shared" si="1"/>
        <v/>
      </c>
      <c r="B184" s="128"/>
      <c r="C184" s="128"/>
      <c r="D184" s="129"/>
      <c r="E184" s="128"/>
      <c r="F184" s="129"/>
      <c r="G184" s="129"/>
      <c r="H184" s="72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27" t="str">
        <f t="shared" si="1"/>
        <v/>
      </c>
      <c r="B185" s="128"/>
      <c r="C185" s="128"/>
      <c r="D185" s="129"/>
      <c r="E185" s="128"/>
      <c r="F185" s="129"/>
      <c r="G185" s="129"/>
      <c r="H185" s="72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27" t="str">
        <f t="shared" si="1"/>
        <v/>
      </c>
      <c r="B186" s="128"/>
      <c r="C186" s="128"/>
      <c r="D186" s="129"/>
      <c r="E186" s="128"/>
      <c r="F186" s="129"/>
      <c r="G186" s="129"/>
      <c r="H186" s="72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27" t="str">
        <f t="shared" si="1"/>
        <v/>
      </c>
      <c r="B187" s="128"/>
      <c r="C187" s="128"/>
      <c r="D187" s="129"/>
      <c r="E187" s="128"/>
      <c r="F187" s="129"/>
      <c r="G187" s="129"/>
      <c r="H187" s="72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27" t="str">
        <f t="shared" si="1"/>
        <v/>
      </c>
      <c r="B188" s="128"/>
      <c r="C188" s="128"/>
      <c r="D188" s="129"/>
      <c r="E188" s="128"/>
      <c r="F188" s="129"/>
      <c r="G188" s="129"/>
      <c r="H188" s="72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27" t="str">
        <f t="shared" si="1"/>
        <v/>
      </c>
      <c r="B189" s="128"/>
      <c r="C189" s="128"/>
      <c r="D189" s="129"/>
      <c r="E189" s="128"/>
      <c r="F189" s="129"/>
      <c r="G189" s="129"/>
      <c r="H189" s="72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27" t="str">
        <f t="shared" si="1"/>
        <v/>
      </c>
      <c r="B190" s="128"/>
      <c r="C190" s="128"/>
      <c r="D190" s="129"/>
      <c r="E190" s="128"/>
      <c r="F190" s="129"/>
      <c r="G190" s="129"/>
      <c r="H190" s="72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27" t="str">
        <f t="shared" si="1"/>
        <v/>
      </c>
      <c r="B191" s="128"/>
      <c r="C191" s="128"/>
      <c r="D191" s="129"/>
      <c r="E191" s="128"/>
      <c r="F191" s="129"/>
      <c r="G191" s="129"/>
      <c r="H191" s="72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27" t="str">
        <f t="shared" si="1"/>
        <v/>
      </c>
      <c r="B192" s="128"/>
      <c r="C192" s="128"/>
      <c r="D192" s="129"/>
      <c r="E192" s="128"/>
      <c r="F192" s="129"/>
      <c r="G192" s="129"/>
      <c r="H192" s="7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27" t="str">
        <f t="shared" si="1"/>
        <v/>
      </c>
      <c r="B193" s="128"/>
      <c r="C193" s="128"/>
      <c r="D193" s="129"/>
      <c r="E193" s="128"/>
      <c r="F193" s="129"/>
      <c r="G193" s="129"/>
      <c r="H193" s="7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27" t="str">
        <f t="shared" si="1"/>
        <v/>
      </c>
      <c r="B194" s="128"/>
      <c r="C194" s="128"/>
      <c r="D194" s="129"/>
      <c r="E194" s="128"/>
      <c r="F194" s="129"/>
      <c r="G194" s="129"/>
      <c r="H194" s="7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27" t="str">
        <f t="shared" si="1"/>
        <v/>
      </c>
      <c r="B195" s="128"/>
      <c r="C195" s="128"/>
      <c r="D195" s="129"/>
      <c r="E195" s="128"/>
      <c r="F195" s="129"/>
      <c r="G195" s="129"/>
      <c r="H195" s="7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27" t="str">
        <f t="shared" si="1"/>
        <v/>
      </c>
      <c r="B196" s="128"/>
      <c r="C196" s="128"/>
      <c r="D196" s="129"/>
      <c r="E196" s="128"/>
      <c r="F196" s="129"/>
      <c r="G196" s="129"/>
      <c r="H196" s="72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27" t="str">
        <f t="shared" si="1"/>
        <v/>
      </c>
      <c r="B197" s="128"/>
      <c r="C197" s="128"/>
      <c r="D197" s="129"/>
      <c r="E197" s="128"/>
      <c r="F197" s="129"/>
      <c r="G197" s="129"/>
      <c r="H197" s="72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27" t="str">
        <f t="shared" si="1"/>
        <v/>
      </c>
      <c r="B198" s="128"/>
      <c r="C198" s="128"/>
      <c r="D198" s="129"/>
      <c r="E198" s="128"/>
      <c r="F198" s="129"/>
      <c r="G198" s="129"/>
      <c r="H198" s="72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27" t="str">
        <f t="shared" si="1"/>
        <v/>
      </c>
      <c r="B199" s="128"/>
      <c r="C199" s="128"/>
      <c r="D199" s="129"/>
      <c r="E199" s="128"/>
      <c r="F199" s="129"/>
      <c r="G199" s="129"/>
      <c r="H199" s="72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27" t="str">
        <f t="shared" si="1"/>
        <v/>
      </c>
      <c r="B200" s="128"/>
      <c r="C200" s="128"/>
      <c r="D200" s="129"/>
      <c r="E200" s="128"/>
      <c r="F200" s="129"/>
      <c r="G200" s="129"/>
      <c r="H200" s="72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27" t="str">
        <f t="shared" si="1"/>
        <v/>
      </c>
      <c r="B201" s="128"/>
      <c r="C201" s="128"/>
      <c r="D201" s="129"/>
      <c r="E201" s="128"/>
      <c r="F201" s="129"/>
      <c r="G201" s="129"/>
      <c r="H201" s="72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27" t="str">
        <f t="shared" si="1"/>
        <v/>
      </c>
      <c r="B202" s="128"/>
      <c r="C202" s="128"/>
      <c r="D202" s="129"/>
      <c r="E202" s="128"/>
      <c r="F202" s="129"/>
      <c r="G202" s="129"/>
      <c r="H202" s="72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27" t="str">
        <f t="shared" si="1"/>
        <v/>
      </c>
      <c r="B203" s="128"/>
      <c r="C203" s="128"/>
      <c r="D203" s="129"/>
      <c r="E203" s="128"/>
      <c r="F203" s="129"/>
      <c r="G203" s="129"/>
      <c r="H203" s="72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27" t="str">
        <f t="shared" si="1"/>
        <v/>
      </c>
      <c r="B204" s="128"/>
      <c r="C204" s="128"/>
      <c r="D204" s="129"/>
      <c r="E204" s="128"/>
      <c r="F204" s="129"/>
      <c r="G204" s="129"/>
      <c r="H204" s="72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27" t="str">
        <f t="shared" si="1"/>
        <v/>
      </c>
      <c r="B205" s="128"/>
      <c r="C205" s="128"/>
      <c r="D205" s="129"/>
      <c r="E205" s="128"/>
      <c r="F205" s="129"/>
      <c r="G205" s="129"/>
      <c r="H205" s="72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27" t="str">
        <f t="shared" si="1"/>
        <v/>
      </c>
      <c r="B206" s="128"/>
      <c r="C206" s="128"/>
      <c r="D206" s="129"/>
      <c r="E206" s="128"/>
      <c r="F206" s="129"/>
      <c r="G206" s="129"/>
      <c r="H206" s="72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27" t="str">
        <f t="shared" si="1"/>
        <v/>
      </c>
      <c r="B207" s="128"/>
      <c r="C207" s="128"/>
      <c r="D207" s="129"/>
      <c r="E207" s="128"/>
      <c r="F207" s="129"/>
      <c r="G207" s="129"/>
      <c r="H207" s="72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27" t="str">
        <f t="shared" si="1"/>
        <v/>
      </c>
      <c r="B208" s="128"/>
      <c r="C208" s="128"/>
      <c r="D208" s="129"/>
      <c r="E208" s="128"/>
      <c r="F208" s="129"/>
      <c r="G208" s="129"/>
      <c r="H208" s="72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27" t="str">
        <f t="shared" si="1"/>
        <v/>
      </c>
      <c r="B209" s="128"/>
      <c r="C209" s="128"/>
      <c r="D209" s="129"/>
      <c r="E209" s="128"/>
      <c r="F209" s="129"/>
      <c r="G209" s="129"/>
      <c r="H209" s="72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27" t="str">
        <f t="shared" si="1"/>
        <v/>
      </c>
      <c r="B210" s="128"/>
      <c r="C210" s="128"/>
      <c r="D210" s="129"/>
      <c r="E210" s="128"/>
      <c r="F210" s="129"/>
      <c r="G210" s="129"/>
      <c r="H210" s="72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27" t="str">
        <f t="shared" si="1"/>
        <v/>
      </c>
      <c r="B211" s="128"/>
      <c r="C211" s="128"/>
      <c r="D211" s="129"/>
      <c r="E211" s="128"/>
      <c r="F211" s="129"/>
      <c r="G211" s="129"/>
      <c r="H211" s="72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27" t="str">
        <f t="shared" si="1"/>
        <v/>
      </c>
      <c r="B212" s="128"/>
      <c r="C212" s="128"/>
      <c r="D212" s="129"/>
      <c r="E212" s="128"/>
      <c r="F212" s="129"/>
      <c r="G212" s="129"/>
      <c r="H212" s="72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27" t="str">
        <f t="shared" si="1"/>
        <v/>
      </c>
      <c r="B213" s="128"/>
      <c r="C213" s="128"/>
      <c r="D213" s="129"/>
      <c r="E213" s="128"/>
      <c r="F213" s="129"/>
      <c r="G213" s="129"/>
      <c r="H213" s="72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27" t="str">
        <f t="shared" si="1"/>
        <v/>
      </c>
      <c r="B214" s="128"/>
      <c r="C214" s="128"/>
      <c r="D214" s="129"/>
      <c r="E214" s="128"/>
      <c r="F214" s="129"/>
      <c r="G214" s="129"/>
      <c r="H214" s="72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27" t="str">
        <f t="shared" si="1"/>
        <v/>
      </c>
      <c r="B215" s="128"/>
      <c r="C215" s="128"/>
      <c r="D215" s="129"/>
      <c r="E215" s="128"/>
      <c r="F215" s="129"/>
      <c r="G215" s="129"/>
      <c r="H215" s="72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27" t="str">
        <f t="shared" si="1"/>
        <v/>
      </c>
      <c r="B216" s="128"/>
      <c r="C216" s="128"/>
      <c r="D216" s="129"/>
      <c r="E216" s="128"/>
      <c r="F216" s="129"/>
      <c r="G216" s="129"/>
      <c r="H216" s="72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27" t="str">
        <f t="shared" si="1"/>
        <v/>
      </c>
      <c r="B217" s="128"/>
      <c r="C217" s="128"/>
      <c r="D217" s="129"/>
      <c r="E217" s="128"/>
      <c r="F217" s="129"/>
      <c r="G217" s="129"/>
      <c r="H217" s="72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27" t="str">
        <f t="shared" si="1"/>
        <v/>
      </c>
      <c r="B218" s="128"/>
      <c r="C218" s="128"/>
      <c r="D218" s="129"/>
      <c r="E218" s="128"/>
      <c r="F218" s="129"/>
      <c r="G218" s="129"/>
      <c r="H218" s="72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27" t="str">
        <f t="shared" si="1"/>
        <v/>
      </c>
      <c r="B219" s="128"/>
      <c r="C219" s="128"/>
      <c r="D219" s="129"/>
      <c r="E219" s="128"/>
      <c r="F219" s="129"/>
      <c r="G219" s="129"/>
      <c r="H219" s="72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27" t="str">
        <f t="shared" si="1"/>
        <v/>
      </c>
      <c r="B220" s="128"/>
      <c r="C220" s="128"/>
      <c r="D220" s="129"/>
      <c r="E220" s="128"/>
      <c r="F220" s="129"/>
      <c r="G220" s="129"/>
      <c r="H220" s="72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27" t="str">
        <f t="shared" si="1"/>
        <v/>
      </c>
      <c r="B221" s="128"/>
      <c r="C221" s="128"/>
      <c r="D221" s="129"/>
      <c r="E221" s="128"/>
      <c r="F221" s="129"/>
      <c r="G221" s="129"/>
      <c r="H221" s="7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27" t="str">
        <f t="shared" si="1"/>
        <v/>
      </c>
      <c r="B222" s="128"/>
      <c r="C222" s="128"/>
      <c r="D222" s="129"/>
      <c r="E222" s="128"/>
      <c r="F222" s="129"/>
      <c r="G222" s="129"/>
      <c r="H222" s="72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27" t="str">
        <f t="shared" si="1"/>
        <v/>
      </c>
      <c r="B223" s="128"/>
      <c r="C223" s="128"/>
      <c r="D223" s="129"/>
      <c r="E223" s="128"/>
      <c r="F223" s="129"/>
      <c r="G223" s="129"/>
      <c r="H223" s="7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27" t="str">
        <f t="shared" si="1"/>
        <v/>
      </c>
      <c r="B224" s="128"/>
      <c r="C224" s="128"/>
      <c r="D224" s="129"/>
      <c r="E224" s="128"/>
      <c r="F224" s="129"/>
      <c r="G224" s="129"/>
      <c r="H224" s="7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27" t="str">
        <f t="shared" si="1"/>
        <v/>
      </c>
      <c r="B225" s="128"/>
      <c r="C225" s="128"/>
      <c r="D225" s="129"/>
      <c r="E225" s="128"/>
      <c r="F225" s="129"/>
      <c r="G225" s="129"/>
      <c r="H225" s="7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27" t="str">
        <f t="shared" si="1"/>
        <v/>
      </c>
      <c r="B226" s="128"/>
      <c r="C226" s="128"/>
      <c r="D226" s="129"/>
      <c r="E226" s="128"/>
      <c r="F226" s="129"/>
      <c r="G226" s="129"/>
      <c r="H226" s="7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27" t="str">
        <f t="shared" si="1"/>
        <v/>
      </c>
      <c r="B227" s="128"/>
      <c r="C227" s="128"/>
      <c r="D227" s="129"/>
      <c r="E227" s="128"/>
      <c r="F227" s="129"/>
      <c r="G227" s="129"/>
      <c r="H227" s="72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27" t="str">
        <f t="shared" si="1"/>
        <v/>
      </c>
      <c r="B228" s="128"/>
      <c r="C228" s="128"/>
      <c r="D228" s="129"/>
      <c r="E228" s="128"/>
      <c r="F228" s="129"/>
      <c r="G228" s="129"/>
      <c r="H228" s="72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27" t="str">
        <f t="shared" si="1"/>
        <v/>
      </c>
      <c r="B229" s="128"/>
      <c r="C229" s="128"/>
      <c r="D229" s="129"/>
      <c r="E229" s="128"/>
      <c r="F229" s="129"/>
      <c r="G229" s="129"/>
      <c r="H229" s="72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27" t="str">
        <f t="shared" si="1"/>
        <v/>
      </c>
      <c r="B230" s="128"/>
      <c r="C230" s="128"/>
      <c r="D230" s="129"/>
      <c r="E230" s="128"/>
      <c r="F230" s="129"/>
      <c r="G230" s="129"/>
      <c r="H230" s="72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27" t="str">
        <f t="shared" si="1"/>
        <v/>
      </c>
      <c r="B231" s="128"/>
      <c r="C231" s="128"/>
      <c r="D231" s="129"/>
      <c r="E231" s="128"/>
      <c r="F231" s="129"/>
      <c r="G231" s="129"/>
      <c r="H231" s="72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27" t="str">
        <f t="shared" si="1"/>
        <v/>
      </c>
      <c r="B232" s="128"/>
      <c r="C232" s="128"/>
      <c r="D232" s="129"/>
      <c r="E232" s="128"/>
      <c r="F232" s="129"/>
      <c r="G232" s="129"/>
      <c r="H232" s="7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27" t="str">
        <f t="shared" si="1"/>
        <v/>
      </c>
      <c r="B233" s="128"/>
      <c r="C233" s="128"/>
      <c r="D233" s="129"/>
      <c r="E233" s="128"/>
      <c r="F233" s="129"/>
      <c r="G233" s="129"/>
      <c r="H233" s="7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27" t="str">
        <f t="shared" si="1"/>
        <v/>
      </c>
      <c r="B234" s="128"/>
      <c r="C234" s="128"/>
      <c r="D234" s="129"/>
      <c r="E234" s="128"/>
      <c r="F234" s="129"/>
      <c r="G234" s="129"/>
      <c r="H234" s="7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27" t="str">
        <f t="shared" si="1"/>
        <v/>
      </c>
      <c r="B235" s="128"/>
      <c r="C235" s="128"/>
      <c r="D235" s="129"/>
      <c r="E235" s="128"/>
      <c r="F235" s="129"/>
      <c r="G235" s="129"/>
      <c r="H235" s="7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27" t="str">
        <f t="shared" si="1"/>
        <v/>
      </c>
      <c r="B236" s="128"/>
      <c r="C236" s="128"/>
      <c r="D236" s="129"/>
      <c r="E236" s="128"/>
      <c r="F236" s="129"/>
      <c r="G236" s="129"/>
      <c r="H236" s="7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27" t="str">
        <f t="shared" si="1"/>
        <v/>
      </c>
      <c r="B237" s="128"/>
      <c r="C237" s="128"/>
      <c r="D237" s="129"/>
      <c r="E237" s="128"/>
      <c r="F237" s="129"/>
      <c r="G237" s="129"/>
      <c r="H237" s="7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27" t="str">
        <f t="shared" si="1"/>
        <v/>
      </c>
      <c r="B238" s="128"/>
      <c r="C238" s="128"/>
      <c r="D238" s="129"/>
      <c r="E238" s="128"/>
      <c r="F238" s="129"/>
      <c r="G238" s="129"/>
      <c r="H238" s="7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27" t="str">
        <f t="shared" si="1"/>
        <v/>
      </c>
      <c r="B239" s="128"/>
      <c r="C239" s="128"/>
      <c r="D239" s="129"/>
      <c r="E239" s="128"/>
      <c r="F239" s="129"/>
      <c r="G239" s="129"/>
      <c r="H239" s="7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27" t="str">
        <f t="shared" si="1"/>
        <v/>
      </c>
      <c r="B240" s="128"/>
      <c r="C240" s="128"/>
      <c r="D240" s="129"/>
      <c r="E240" s="128"/>
      <c r="F240" s="129"/>
      <c r="G240" s="129"/>
      <c r="H240" s="7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27" t="str">
        <f t="shared" si="1"/>
        <v/>
      </c>
      <c r="B241" s="128"/>
      <c r="C241" s="128"/>
      <c r="D241" s="129"/>
      <c r="E241" s="128"/>
      <c r="F241" s="129"/>
      <c r="G241" s="129"/>
      <c r="H241" s="7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27" t="str">
        <f t="shared" si="1"/>
        <v/>
      </c>
      <c r="B242" s="128"/>
      <c r="C242" s="128"/>
      <c r="D242" s="129"/>
      <c r="E242" s="128"/>
      <c r="F242" s="129"/>
      <c r="G242" s="129"/>
      <c r="H242" s="7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27" t="str">
        <f t="shared" si="1"/>
        <v/>
      </c>
      <c r="B243" s="128"/>
      <c r="C243" s="128"/>
      <c r="D243" s="129"/>
      <c r="E243" s="128"/>
      <c r="F243" s="129"/>
      <c r="G243" s="129"/>
      <c r="H243" s="7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27" t="str">
        <f t="shared" si="1"/>
        <v/>
      </c>
      <c r="B244" s="128"/>
      <c r="C244" s="128"/>
      <c r="D244" s="129"/>
      <c r="E244" s="128"/>
      <c r="F244" s="129"/>
      <c r="G244" s="129"/>
      <c r="H244" s="7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27" t="str">
        <f t="shared" si="1"/>
        <v/>
      </c>
      <c r="B245" s="128"/>
      <c r="C245" s="128"/>
      <c r="D245" s="129"/>
      <c r="E245" s="128"/>
      <c r="F245" s="129"/>
      <c r="G245" s="129"/>
      <c r="H245" s="7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27" t="str">
        <f t="shared" si="1"/>
        <v/>
      </c>
      <c r="B246" s="128"/>
      <c r="C246" s="128"/>
      <c r="D246" s="129"/>
      <c r="E246" s="128"/>
      <c r="F246" s="129"/>
      <c r="G246" s="129"/>
      <c r="H246" s="7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27" t="str">
        <f t="shared" si="1"/>
        <v/>
      </c>
      <c r="B247" s="128"/>
      <c r="C247" s="128"/>
      <c r="D247" s="129"/>
      <c r="E247" s="128"/>
      <c r="F247" s="129"/>
      <c r="G247" s="129"/>
      <c r="H247" s="7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27" t="str">
        <f t="shared" si="1"/>
        <v/>
      </c>
      <c r="B248" s="128"/>
      <c r="C248" s="128"/>
      <c r="D248" s="129"/>
      <c r="E248" s="128"/>
      <c r="F248" s="129"/>
      <c r="G248" s="129"/>
      <c r="H248" s="7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27" t="str">
        <f t="shared" si="1"/>
        <v/>
      </c>
      <c r="B249" s="128"/>
      <c r="C249" s="128"/>
      <c r="D249" s="129"/>
      <c r="E249" s="128"/>
      <c r="F249" s="129"/>
      <c r="G249" s="129"/>
      <c r="H249" s="7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27" t="str">
        <f t="shared" si="1"/>
        <v/>
      </c>
      <c r="B250" s="128"/>
      <c r="C250" s="128"/>
      <c r="D250" s="129"/>
      <c r="E250" s="128"/>
      <c r="F250" s="129"/>
      <c r="G250" s="129"/>
      <c r="H250" s="7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27" t="str">
        <f t="shared" si="1"/>
        <v/>
      </c>
      <c r="B251" s="128"/>
      <c r="C251" s="128"/>
      <c r="D251" s="129"/>
      <c r="E251" s="128"/>
      <c r="F251" s="129"/>
      <c r="G251" s="129"/>
      <c r="H251" s="7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27" t="str">
        <f t="shared" si="1"/>
        <v/>
      </c>
      <c r="B252" s="128"/>
      <c r="C252" s="128"/>
      <c r="D252" s="129"/>
      <c r="E252" s="128"/>
      <c r="F252" s="129"/>
      <c r="G252" s="129"/>
      <c r="H252" s="7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27" t="str">
        <f t="shared" si="1"/>
        <v/>
      </c>
      <c r="B253" s="128"/>
      <c r="C253" s="128"/>
      <c r="D253" s="129"/>
      <c r="E253" s="128"/>
      <c r="F253" s="129"/>
      <c r="G253" s="129"/>
      <c r="H253" s="7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27" t="str">
        <f t="shared" si="1"/>
        <v/>
      </c>
      <c r="B254" s="128"/>
      <c r="C254" s="128"/>
      <c r="D254" s="129"/>
      <c r="E254" s="128"/>
      <c r="F254" s="129"/>
      <c r="G254" s="129"/>
      <c r="H254" s="7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27" t="str">
        <f t="shared" si="1"/>
        <v/>
      </c>
      <c r="B255" s="128"/>
      <c r="C255" s="128"/>
      <c r="D255" s="129"/>
      <c r="E255" s="128"/>
      <c r="F255" s="129"/>
      <c r="G255" s="129"/>
      <c r="H255" s="7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27" t="str">
        <f t="shared" si="1"/>
        <v/>
      </c>
      <c r="B256" s="128"/>
      <c r="C256" s="128"/>
      <c r="D256" s="129"/>
      <c r="E256" s="128"/>
      <c r="F256" s="129"/>
      <c r="G256" s="129"/>
      <c r="H256" s="7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27" t="str">
        <f t="shared" si="1"/>
        <v/>
      </c>
      <c r="B257" s="128"/>
      <c r="C257" s="128"/>
      <c r="D257" s="129"/>
      <c r="E257" s="128"/>
      <c r="F257" s="129"/>
      <c r="G257" s="129"/>
      <c r="H257" s="7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27" t="str">
        <f t="shared" si="1"/>
        <v/>
      </c>
      <c r="B258" s="128"/>
      <c r="C258" s="128"/>
      <c r="D258" s="129"/>
      <c r="E258" s="128"/>
      <c r="F258" s="129"/>
      <c r="G258" s="129"/>
      <c r="H258" s="7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27" t="str">
        <f t="shared" si="1"/>
        <v/>
      </c>
      <c r="B259" s="128"/>
      <c r="C259" s="128"/>
      <c r="D259" s="129"/>
      <c r="E259" s="128"/>
      <c r="F259" s="129"/>
      <c r="G259" s="129"/>
      <c r="H259" s="7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27" t="str">
        <f t="shared" si="1"/>
        <v/>
      </c>
      <c r="B260" s="128"/>
      <c r="C260" s="128"/>
      <c r="D260" s="129"/>
      <c r="E260" s="128"/>
      <c r="F260" s="129"/>
      <c r="G260" s="129"/>
      <c r="H260" s="7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27" t="str">
        <f t="shared" si="1"/>
        <v/>
      </c>
      <c r="B261" s="128"/>
      <c r="C261" s="128"/>
      <c r="D261" s="129"/>
      <c r="E261" s="128"/>
      <c r="F261" s="129"/>
      <c r="G261" s="129"/>
      <c r="H261" s="7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27" t="str">
        <f t="shared" si="1"/>
        <v/>
      </c>
      <c r="B262" s="128"/>
      <c r="C262" s="128"/>
      <c r="D262" s="129"/>
      <c r="E262" s="128"/>
      <c r="F262" s="129"/>
      <c r="G262" s="129"/>
      <c r="H262" s="7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27" t="str">
        <f t="shared" si="1"/>
        <v/>
      </c>
      <c r="B263" s="128"/>
      <c r="C263" s="128"/>
      <c r="D263" s="129"/>
      <c r="E263" s="128"/>
      <c r="F263" s="129"/>
      <c r="G263" s="129"/>
      <c r="H263" s="7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27" t="str">
        <f t="shared" si="1"/>
        <v/>
      </c>
      <c r="B264" s="128"/>
      <c r="C264" s="128"/>
      <c r="D264" s="129"/>
      <c r="E264" s="128"/>
      <c r="F264" s="129"/>
      <c r="G264" s="129"/>
      <c r="H264" s="7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27" t="str">
        <f t="shared" si="1"/>
        <v/>
      </c>
      <c r="B265" s="128"/>
      <c r="C265" s="128"/>
      <c r="D265" s="129"/>
      <c r="E265" s="128"/>
      <c r="F265" s="129"/>
      <c r="G265" s="129"/>
      <c r="H265" s="7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27" t="str">
        <f t="shared" si="1"/>
        <v/>
      </c>
      <c r="B266" s="128"/>
      <c r="C266" s="128"/>
      <c r="D266" s="129"/>
      <c r="E266" s="128"/>
      <c r="F266" s="129"/>
      <c r="G266" s="129"/>
      <c r="H266" s="72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27" t="str">
        <f t="shared" si="1"/>
        <v/>
      </c>
      <c r="B267" s="128"/>
      <c r="C267" s="128"/>
      <c r="D267" s="129"/>
      <c r="E267" s="128"/>
      <c r="F267" s="129"/>
      <c r="G267" s="129"/>
      <c r="H267" s="72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27" t="str">
        <f t="shared" si="1"/>
        <v/>
      </c>
      <c r="B268" s="128"/>
      <c r="C268" s="128"/>
      <c r="D268" s="129"/>
      <c r="E268" s="128"/>
      <c r="F268" s="129"/>
      <c r="G268" s="129"/>
      <c r="H268" s="72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27" t="str">
        <f t="shared" si="1"/>
        <v/>
      </c>
      <c r="B269" s="128"/>
      <c r="C269" s="128"/>
      <c r="D269" s="129"/>
      <c r="E269" s="128"/>
      <c r="F269" s="129"/>
      <c r="G269" s="129"/>
      <c r="H269" s="72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27" t="str">
        <f t="shared" si="1"/>
        <v/>
      </c>
      <c r="B270" s="128"/>
      <c r="C270" s="128"/>
      <c r="D270" s="129"/>
      <c r="E270" s="128"/>
      <c r="F270" s="129"/>
      <c r="G270" s="129"/>
      <c r="H270" s="72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27" t="str">
        <f t="shared" si="1"/>
        <v/>
      </c>
      <c r="B271" s="128"/>
      <c r="C271" s="128"/>
      <c r="D271" s="129"/>
      <c r="E271" s="128"/>
      <c r="F271" s="129"/>
      <c r="G271" s="129"/>
      <c r="H271" s="72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27" t="str">
        <f t="shared" si="1"/>
        <v/>
      </c>
      <c r="B272" s="128"/>
      <c r="C272" s="128"/>
      <c r="D272" s="129"/>
      <c r="E272" s="128"/>
      <c r="F272" s="129"/>
      <c r="G272" s="129"/>
      <c r="H272" s="72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27" t="str">
        <f t="shared" si="1"/>
        <v/>
      </c>
      <c r="B273" s="128"/>
      <c r="C273" s="128"/>
      <c r="D273" s="129"/>
      <c r="E273" s="128"/>
      <c r="F273" s="129"/>
      <c r="G273" s="129"/>
      <c r="H273" s="72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27" t="str">
        <f t="shared" si="1"/>
        <v/>
      </c>
      <c r="B274" s="128"/>
      <c r="C274" s="128"/>
      <c r="D274" s="129"/>
      <c r="E274" s="128"/>
      <c r="F274" s="129"/>
      <c r="G274" s="129"/>
      <c r="H274" s="72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27" t="str">
        <f t="shared" si="1"/>
        <v/>
      </c>
      <c r="B275" s="128"/>
      <c r="C275" s="128"/>
      <c r="D275" s="129"/>
      <c r="E275" s="128"/>
      <c r="F275" s="129"/>
      <c r="G275" s="129"/>
      <c r="H275" s="72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27" t="str">
        <f t="shared" si="1"/>
        <v/>
      </c>
      <c r="B276" s="128"/>
      <c r="C276" s="128"/>
      <c r="D276" s="129"/>
      <c r="E276" s="128"/>
      <c r="F276" s="129"/>
      <c r="G276" s="129"/>
      <c r="H276" s="72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27" t="str">
        <f t="shared" si="1"/>
        <v/>
      </c>
      <c r="B277" s="128"/>
      <c r="C277" s="128"/>
      <c r="D277" s="129"/>
      <c r="E277" s="128"/>
      <c r="F277" s="129"/>
      <c r="G277" s="129"/>
      <c r="H277" s="72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27" t="str">
        <f t="shared" si="1"/>
        <v/>
      </c>
      <c r="B278" s="128"/>
      <c r="C278" s="128"/>
      <c r="D278" s="129"/>
      <c r="E278" s="128"/>
      <c r="F278" s="129"/>
      <c r="G278" s="129"/>
      <c r="H278" s="72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27" t="str">
        <f t="shared" si="1"/>
        <v/>
      </c>
      <c r="B279" s="128"/>
      <c r="C279" s="128"/>
      <c r="D279" s="129"/>
      <c r="E279" s="128"/>
      <c r="F279" s="129"/>
      <c r="G279" s="129"/>
      <c r="H279" s="72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27" t="str">
        <f t="shared" si="1"/>
        <v/>
      </c>
      <c r="B280" s="128"/>
      <c r="C280" s="128"/>
      <c r="D280" s="129"/>
      <c r="E280" s="128"/>
      <c r="F280" s="129"/>
      <c r="G280" s="129"/>
      <c r="H280" s="72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27" t="str">
        <f t="shared" si="1"/>
        <v/>
      </c>
      <c r="B281" s="128"/>
      <c r="C281" s="128"/>
      <c r="D281" s="129"/>
      <c r="E281" s="128"/>
      <c r="F281" s="129"/>
      <c r="G281" s="129"/>
      <c r="H281" s="72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27" t="str">
        <f t="shared" si="1"/>
        <v/>
      </c>
      <c r="B282" s="128"/>
      <c r="C282" s="128"/>
      <c r="D282" s="129"/>
      <c r="E282" s="128"/>
      <c r="F282" s="129"/>
      <c r="G282" s="129"/>
      <c r="H282" s="72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27" t="str">
        <f t="shared" si="1"/>
        <v/>
      </c>
      <c r="B283" s="128"/>
      <c r="C283" s="128"/>
      <c r="D283" s="129"/>
      <c r="E283" s="128"/>
      <c r="F283" s="129"/>
      <c r="G283" s="129"/>
      <c r="H283" s="7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27" t="str">
        <f t="shared" si="1"/>
        <v/>
      </c>
      <c r="B284" s="128"/>
      <c r="C284" s="128"/>
      <c r="D284" s="129"/>
      <c r="E284" s="128"/>
      <c r="F284" s="129"/>
      <c r="G284" s="129"/>
      <c r="H284" s="72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27" t="str">
        <f t="shared" si="1"/>
        <v/>
      </c>
      <c r="B285" s="128"/>
      <c r="C285" s="128"/>
      <c r="D285" s="129"/>
      <c r="E285" s="128"/>
      <c r="F285" s="129"/>
      <c r="G285" s="129"/>
      <c r="H285" s="7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27" t="str">
        <f t="shared" si="1"/>
        <v/>
      </c>
      <c r="B286" s="128"/>
      <c r="C286" s="128"/>
      <c r="D286" s="129"/>
      <c r="E286" s="128"/>
      <c r="F286" s="129"/>
      <c r="G286" s="129"/>
      <c r="H286" s="7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27" t="str">
        <f t="shared" si="1"/>
        <v/>
      </c>
      <c r="B287" s="128"/>
      <c r="C287" s="128"/>
      <c r="D287" s="129"/>
      <c r="E287" s="128"/>
      <c r="F287" s="129"/>
      <c r="G287" s="129"/>
      <c r="H287" s="72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27" t="str">
        <f t="shared" si="1"/>
        <v/>
      </c>
      <c r="B288" s="128"/>
      <c r="C288" s="128"/>
      <c r="D288" s="129"/>
      <c r="E288" s="128"/>
      <c r="F288" s="129"/>
      <c r="G288" s="129"/>
      <c r="H288" s="72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27" t="str">
        <f t="shared" si="1"/>
        <v/>
      </c>
      <c r="B289" s="128"/>
      <c r="C289" s="128"/>
      <c r="D289" s="129"/>
      <c r="E289" s="128"/>
      <c r="F289" s="129"/>
      <c r="G289" s="129"/>
      <c r="H289" s="72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27" t="str">
        <f t="shared" si="1"/>
        <v/>
      </c>
      <c r="B290" s="128"/>
      <c r="C290" s="128"/>
      <c r="D290" s="129"/>
      <c r="E290" s="128"/>
      <c r="F290" s="129"/>
      <c r="G290" s="129"/>
      <c r="H290" s="72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27" t="str">
        <f t="shared" si="1"/>
        <v/>
      </c>
      <c r="B291" s="128"/>
      <c r="C291" s="128"/>
      <c r="D291" s="129"/>
      <c r="E291" s="128"/>
      <c r="F291" s="129"/>
      <c r="G291" s="129"/>
      <c r="H291" s="72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27" t="str">
        <f t="shared" si="1"/>
        <v/>
      </c>
      <c r="B292" s="128"/>
      <c r="C292" s="128"/>
      <c r="D292" s="129"/>
      <c r="E292" s="128"/>
      <c r="F292" s="129"/>
      <c r="G292" s="129"/>
      <c r="H292" s="72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27" t="str">
        <f t="shared" si="1"/>
        <v/>
      </c>
      <c r="B293" s="128"/>
      <c r="C293" s="128"/>
      <c r="D293" s="129"/>
      <c r="E293" s="128"/>
      <c r="F293" s="129"/>
      <c r="G293" s="129"/>
      <c r="H293" s="72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27" t="str">
        <f t="shared" si="1"/>
        <v/>
      </c>
      <c r="B294" s="128"/>
      <c r="C294" s="128"/>
      <c r="D294" s="129"/>
      <c r="E294" s="128"/>
      <c r="F294" s="129"/>
      <c r="G294" s="129"/>
      <c r="H294" s="72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27" t="str">
        <f t="shared" si="1"/>
        <v/>
      </c>
      <c r="B295" s="128"/>
      <c r="C295" s="128"/>
      <c r="D295" s="129"/>
      <c r="E295" s="128"/>
      <c r="F295" s="129"/>
      <c r="G295" s="129"/>
      <c r="H295" s="72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27" t="str">
        <f t="shared" si="1"/>
        <v/>
      </c>
      <c r="B296" s="128"/>
      <c r="C296" s="128"/>
      <c r="D296" s="129"/>
      <c r="E296" s="128"/>
      <c r="F296" s="129"/>
      <c r="G296" s="129"/>
      <c r="H296" s="72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27" t="str">
        <f t="shared" si="1"/>
        <v/>
      </c>
      <c r="B297" s="128"/>
      <c r="C297" s="128"/>
      <c r="D297" s="129"/>
      <c r="E297" s="128"/>
      <c r="F297" s="129"/>
      <c r="G297" s="129"/>
      <c r="H297" s="72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27" t="str">
        <f t="shared" si="1"/>
        <v/>
      </c>
      <c r="B298" s="128"/>
      <c r="C298" s="128"/>
      <c r="D298" s="129"/>
      <c r="E298" s="128"/>
      <c r="F298" s="129"/>
      <c r="G298" s="129"/>
      <c r="H298" s="72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27" t="str">
        <f t="shared" si="1"/>
        <v/>
      </c>
      <c r="B299" s="128"/>
      <c r="C299" s="128"/>
      <c r="D299" s="129"/>
      <c r="E299" s="128"/>
      <c r="F299" s="129"/>
      <c r="G299" s="129"/>
      <c r="H299" s="72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27" t="str">
        <f t="shared" si="1"/>
        <v/>
      </c>
      <c r="B300" s="128"/>
      <c r="C300" s="128"/>
      <c r="D300" s="129"/>
      <c r="E300" s="128"/>
      <c r="F300" s="129"/>
      <c r="G300" s="129"/>
      <c r="H300" s="72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27" t="str">
        <f t="shared" si="1"/>
        <v/>
      </c>
      <c r="B301" s="128"/>
      <c r="C301" s="128"/>
      <c r="D301" s="129"/>
      <c r="E301" s="128"/>
      <c r="F301" s="129"/>
      <c r="G301" s="129"/>
      <c r="H301" s="72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27" t="str">
        <f t="shared" si="1"/>
        <v/>
      </c>
      <c r="B302" s="128"/>
      <c r="C302" s="128"/>
      <c r="D302" s="129"/>
      <c r="E302" s="128"/>
      <c r="F302" s="129"/>
      <c r="G302" s="129"/>
      <c r="H302" s="72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27" t="str">
        <f t="shared" si="1"/>
        <v/>
      </c>
      <c r="B303" s="128"/>
      <c r="C303" s="128"/>
      <c r="D303" s="129"/>
      <c r="E303" s="128"/>
      <c r="F303" s="129"/>
      <c r="G303" s="129"/>
      <c r="H303" s="72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27" t="str">
        <f t="shared" si="1"/>
        <v/>
      </c>
      <c r="B304" s="128"/>
      <c r="C304" s="128"/>
      <c r="D304" s="129"/>
      <c r="E304" s="128"/>
      <c r="F304" s="129"/>
      <c r="G304" s="129"/>
      <c r="H304" s="72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27" t="str">
        <f t="shared" si="1"/>
        <v/>
      </c>
      <c r="B305" s="128"/>
      <c r="C305" s="128"/>
      <c r="D305" s="129"/>
      <c r="E305" s="128"/>
      <c r="F305" s="129"/>
      <c r="G305" s="129"/>
      <c r="H305" s="72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27" t="str">
        <f t="shared" si="1"/>
        <v/>
      </c>
      <c r="B306" s="128"/>
      <c r="C306" s="128"/>
      <c r="D306" s="129"/>
      <c r="E306" s="128"/>
      <c r="F306" s="129"/>
      <c r="G306" s="129"/>
      <c r="H306" s="72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27" t="str">
        <f t="shared" si="1"/>
        <v/>
      </c>
      <c r="B307" s="128"/>
      <c r="C307" s="128"/>
      <c r="D307" s="129"/>
      <c r="E307" s="128"/>
      <c r="F307" s="129"/>
      <c r="G307" s="129"/>
      <c r="H307" s="72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27" t="str">
        <f t="shared" si="1"/>
        <v/>
      </c>
      <c r="B308" s="128"/>
      <c r="C308" s="128"/>
      <c r="D308" s="129"/>
      <c r="E308" s="128"/>
      <c r="F308" s="129"/>
      <c r="G308" s="129"/>
      <c r="H308" s="72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27" t="str">
        <f t="shared" si="1"/>
        <v/>
      </c>
      <c r="B309" s="128"/>
      <c r="C309" s="128"/>
      <c r="D309" s="129"/>
      <c r="E309" s="128"/>
      <c r="F309" s="129"/>
      <c r="G309" s="129"/>
      <c r="H309" s="72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27" t="str">
        <f t="shared" si="1"/>
        <v/>
      </c>
      <c r="B310" s="128"/>
      <c r="C310" s="128"/>
      <c r="D310" s="129"/>
      <c r="E310" s="128"/>
      <c r="F310" s="129"/>
      <c r="G310" s="129"/>
      <c r="H310" s="72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27" t="str">
        <f t="shared" si="1"/>
        <v/>
      </c>
      <c r="B311" s="128"/>
      <c r="C311" s="128"/>
      <c r="D311" s="129"/>
      <c r="E311" s="128"/>
      <c r="F311" s="129"/>
      <c r="G311" s="129"/>
      <c r="H311" s="72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27" t="str">
        <f t="shared" si="1"/>
        <v/>
      </c>
      <c r="B312" s="128"/>
      <c r="C312" s="128"/>
      <c r="D312" s="129"/>
      <c r="E312" s="128"/>
      <c r="F312" s="129"/>
      <c r="G312" s="129"/>
      <c r="H312" s="72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27" t="str">
        <f t="shared" si="1"/>
        <v/>
      </c>
      <c r="B313" s="128"/>
      <c r="C313" s="128"/>
      <c r="D313" s="129"/>
      <c r="E313" s="128"/>
      <c r="F313" s="129"/>
      <c r="G313" s="129"/>
      <c r="H313" s="72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27" t="str">
        <f t="shared" si="1"/>
        <v/>
      </c>
      <c r="B314" s="128"/>
      <c r="C314" s="128"/>
      <c r="D314" s="129"/>
      <c r="E314" s="128"/>
      <c r="F314" s="129"/>
      <c r="G314" s="129"/>
      <c r="H314" s="72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27" t="str">
        <f t="shared" si="1"/>
        <v/>
      </c>
      <c r="B315" s="128"/>
      <c r="C315" s="128"/>
      <c r="D315" s="129"/>
      <c r="E315" s="128"/>
      <c r="F315" s="129"/>
      <c r="G315" s="129"/>
      <c r="H315" s="72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27" t="str">
        <f t="shared" si="1"/>
        <v/>
      </c>
      <c r="B316" s="128"/>
      <c r="C316" s="128"/>
      <c r="D316" s="129"/>
      <c r="E316" s="128"/>
      <c r="F316" s="129"/>
      <c r="G316" s="129"/>
      <c r="H316" s="7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27" t="str">
        <f t="shared" si="1"/>
        <v/>
      </c>
      <c r="B317" s="128"/>
      <c r="C317" s="128"/>
      <c r="D317" s="129"/>
      <c r="E317" s="128"/>
      <c r="F317" s="129"/>
      <c r="G317" s="129"/>
      <c r="H317" s="72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27" t="str">
        <f t="shared" si="1"/>
        <v/>
      </c>
      <c r="B318" s="128"/>
      <c r="C318" s="128"/>
      <c r="D318" s="129"/>
      <c r="E318" s="128"/>
      <c r="F318" s="129"/>
      <c r="G318" s="129"/>
      <c r="H318" s="72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27" t="str">
        <f t="shared" si="1"/>
        <v/>
      </c>
      <c r="B319" s="128"/>
      <c r="C319" s="128"/>
      <c r="D319" s="129"/>
      <c r="E319" s="128"/>
      <c r="F319" s="129"/>
      <c r="G319" s="129"/>
      <c r="H319" s="72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27" t="str">
        <f t="shared" si="1"/>
        <v/>
      </c>
      <c r="B320" s="128"/>
      <c r="C320" s="128"/>
      <c r="D320" s="129"/>
      <c r="E320" s="128"/>
      <c r="F320" s="129"/>
      <c r="G320" s="129"/>
      <c r="H320" s="72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27" t="str">
        <f t="shared" si="1"/>
        <v/>
      </c>
      <c r="B321" s="128"/>
      <c r="C321" s="128"/>
      <c r="D321" s="129"/>
      <c r="E321" s="128"/>
      <c r="F321" s="129"/>
      <c r="G321" s="129"/>
      <c r="H321" s="72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27" t="str">
        <f t="shared" si="1"/>
        <v/>
      </c>
      <c r="B322" s="128"/>
      <c r="C322" s="128"/>
      <c r="D322" s="129"/>
      <c r="E322" s="128"/>
      <c r="F322" s="129"/>
      <c r="G322" s="129"/>
      <c r="H322" s="72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27" t="str">
        <f t="shared" si="1"/>
        <v/>
      </c>
      <c r="B323" s="128"/>
      <c r="C323" s="128"/>
      <c r="D323" s="129"/>
      <c r="E323" s="128"/>
      <c r="F323" s="129"/>
      <c r="G323" s="129"/>
      <c r="H323" s="72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27" t="str">
        <f t="shared" si="1"/>
        <v/>
      </c>
      <c r="B324" s="128"/>
      <c r="C324" s="128"/>
      <c r="D324" s="129"/>
      <c r="E324" s="128"/>
      <c r="F324" s="129"/>
      <c r="G324" s="129"/>
      <c r="H324" s="72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27" t="str">
        <f t="shared" si="1"/>
        <v/>
      </c>
      <c r="B325" s="128"/>
      <c r="C325" s="128"/>
      <c r="D325" s="129"/>
      <c r="E325" s="128"/>
      <c r="F325" s="129"/>
      <c r="G325" s="129"/>
      <c r="H325" s="72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27" t="str">
        <f t="shared" si="1"/>
        <v/>
      </c>
      <c r="B326" s="128"/>
      <c r="C326" s="128"/>
      <c r="D326" s="129"/>
      <c r="E326" s="128"/>
      <c r="F326" s="129"/>
      <c r="G326" s="129"/>
      <c r="H326" s="72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27" t="str">
        <f t="shared" si="1"/>
        <v/>
      </c>
      <c r="B327" s="128"/>
      <c r="C327" s="128"/>
      <c r="D327" s="129"/>
      <c r="E327" s="128"/>
      <c r="F327" s="129"/>
      <c r="G327" s="129"/>
      <c r="H327" s="72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27" t="str">
        <f t="shared" si="1"/>
        <v/>
      </c>
      <c r="B328" s="128"/>
      <c r="C328" s="128"/>
      <c r="D328" s="129"/>
      <c r="E328" s="128"/>
      <c r="F328" s="129"/>
      <c r="G328" s="129"/>
      <c r="H328" s="72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27" t="str">
        <f t="shared" si="1"/>
        <v/>
      </c>
      <c r="B329" s="128"/>
      <c r="C329" s="128"/>
      <c r="D329" s="129"/>
      <c r="E329" s="128"/>
      <c r="F329" s="129"/>
      <c r="G329" s="129"/>
      <c r="H329" s="72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27" t="str">
        <f t="shared" si="1"/>
        <v/>
      </c>
      <c r="B330" s="128"/>
      <c r="C330" s="128"/>
      <c r="D330" s="129"/>
      <c r="E330" s="128"/>
      <c r="F330" s="129"/>
      <c r="G330" s="129"/>
      <c r="H330" s="72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27" t="str">
        <f t="shared" si="1"/>
        <v/>
      </c>
      <c r="B331" s="128"/>
      <c r="C331" s="128"/>
      <c r="D331" s="129"/>
      <c r="E331" s="128"/>
      <c r="F331" s="129"/>
      <c r="G331" s="129"/>
      <c r="H331" s="72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27" t="str">
        <f t="shared" si="1"/>
        <v/>
      </c>
      <c r="B332" s="128"/>
      <c r="C332" s="128"/>
      <c r="D332" s="129"/>
      <c r="E332" s="128"/>
      <c r="F332" s="129"/>
      <c r="G332" s="129"/>
      <c r="H332" s="72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27" t="str">
        <f t="shared" si="1"/>
        <v/>
      </c>
      <c r="B333" s="128"/>
      <c r="C333" s="128"/>
      <c r="D333" s="129"/>
      <c r="E333" s="128"/>
      <c r="F333" s="129"/>
      <c r="G333" s="129"/>
      <c r="H333" s="72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27" t="str">
        <f t="shared" si="1"/>
        <v/>
      </c>
      <c r="B334" s="128"/>
      <c r="C334" s="128"/>
      <c r="D334" s="129"/>
      <c r="E334" s="128"/>
      <c r="F334" s="129"/>
      <c r="G334" s="129"/>
      <c r="H334" s="72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27" t="str">
        <f t="shared" si="1"/>
        <v/>
      </c>
      <c r="B335" s="128"/>
      <c r="C335" s="128"/>
      <c r="D335" s="129"/>
      <c r="E335" s="128"/>
      <c r="F335" s="129"/>
      <c r="G335" s="129"/>
      <c r="H335" s="72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27" t="str">
        <f t="shared" si="1"/>
        <v/>
      </c>
      <c r="B336" s="128"/>
      <c r="C336" s="128"/>
      <c r="D336" s="129"/>
      <c r="E336" s="128"/>
      <c r="F336" s="129"/>
      <c r="G336" s="129"/>
      <c r="H336" s="72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27" t="str">
        <f t="shared" si="1"/>
        <v/>
      </c>
      <c r="B337" s="128"/>
      <c r="C337" s="128"/>
      <c r="D337" s="129"/>
      <c r="E337" s="128"/>
      <c r="F337" s="129"/>
      <c r="G337" s="129"/>
      <c r="H337" s="72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27" t="str">
        <f t="shared" si="1"/>
        <v/>
      </c>
      <c r="B338" s="128"/>
      <c r="C338" s="128"/>
      <c r="D338" s="129"/>
      <c r="E338" s="128"/>
      <c r="F338" s="129"/>
      <c r="G338" s="129"/>
      <c r="H338" s="72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27" t="str">
        <f t="shared" si="1"/>
        <v/>
      </c>
      <c r="B339" s="128"/>
      <c r="C339" s="128"/>
      <c r="D339" s="129"/>
      <c r="E339" s="128"/>
      <c r="F339" s="129"/>
      <c r="G339" s="129"/>
      <c r="H339" s="72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27" t="str">
        <f t="shared" si="1"/>
        <v/>
      </c>
      <c r="B340" s="128"/>
      <c r="C340" s="128"/>
      <c r="D340" s="129"/>
      <c r="E340" s="128"/>
      <c r="F340" s="129"/>
      <c r="G340" s="129"/>
      <c r="H340" s="72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27" t="str">
        <f t="shared" si="1"/>
        <v/>
      </c>
      <c r="B341" s="128"/>
      <c r="C341" s="128"/>
      <c r="D341" s="129"/>
      <c r="E341" s="128"/>
      <c r="F341" s="129"/>
      <c r="G341" s="129"/>
      <c r="H341" s="72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27" t="str">
        <f t="shared" si="1"/>
        <v/>
      </c>
      <c r="B342" s="128"/>
      <c r="C342" s="128"/>
      <c r="D342" s="129"/>
      <c r="E342" s="128"/>
      <c r="F342" s="129"/>
      <c r="G342" s="129"/>
      <c r="H342" s="72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27" t="str">
        <f t="shared" si="1"/>
        <v/>
      </c>
      <c r="B343" s="128"/>
      <c r="C343" s="128"/>
      <c r="D343" s="129"/>
      <c r="E343" s="128"/>
      <c r="F343" s="129"/>
      <c r="G343" s="129"/>
      <c r="H343" s="72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27" t="str">
        <f t="shared" si="1"/>
        <v/>
      </c>
      <c r="B344" s="128"/>
      <c r="C344" s="128"/>
      <c r="D344" s="129"/>
      <c r="E344" s="128"/>
      <c r="F344" s="129"/>
      <c r="G344" s="129"/>
      <c r="H344" s="72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27" t="str">
        <f t="shared" si="1"/>
        <v/>
      </c>
      <c r="B345" s="128"/>
      <c r="C345" s="128"/>
      <c r="D345" s="129"/>
      <c r="E345" s="128"/>
      <c r="F345" s="129"/>
      <c r="G345" s="129"/>
      <c r="H345" s="72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27" t="str">
        <f t="shared" si="1"/>
        <v/>
      </c>
      <c r="B346" s="128"/>
      <c r="C346" s="128"/>
      <c r="D346" s="129"/>
      <c r="E346" s="128"/>
      <c r="F346" s="129"/>
      <c r="G346" s="129"/>
      <c r="H346" s="72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27" t="str">
        <f t="shared" si="1"/>
        <v/>
      </c>
      <c r="B347" s="128"/>
      <c r="C347" s="128"/>
      <c r="D347" s="129"/>
      <c r="E347" s="128"/>
      <c r="F347" s="129"/>
      <c r="G347" s="129"/>
      <c r="H347" s="7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27" t="str">
        <f t="shared" si="1"/>
        <v/>
      </c>
      <c r="B348" s="128"/>
      <c r="C348" s="128"/>
      <c r="D348" s="129"/>
      <c r="E348" s="128"/>
      <c r="F348" s="129"/>
      <c r="G348" s="129"/>
      <c r="H348" s="72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27" t="str">
        <f t="shared" si="1"/>
        <v/>
      </c>
      <c r="B349" s="128"/>
      <c r="C349" s="128"/>
      <c r="D349" s="129"/>
      <c r="E349" s="128"/>
      <c r="F349" s="129"/>
      <c r="G349" s="129"/>
      <c r="H349" s="72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27" t="str">
        <f t="shared" si="1"/>
        <v/>
      </c>
      <c r="B350" s="128"/>
      <c r="C350" s="128"/>
      <c r="D350" s="129"/>
      <c r="E350" s="128"/>
      <c r="F350" s="129"/>
      <c r="G350" s="129"/>
      <c r="H350" s="72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27" t="str">
        <f t="shared" si="1"/>
        <v/>
      </c>
      <c r="B351" s="128"/>
      <c r="C351" s="128"/>
      <c r="D351" s="129"/>
      <c r="E351" s="128"/>
      <c r="F351" s="129"/>
      <c r="G351" s="129"/>
      <c r="H351" s="72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27" t="str">
        <f t="shared" si="1"/>
        <v/>
      </c>
      <c r="B352" s="128"/>
      <c r="C352" s="128"/>
      <c r="D352" s="129"/>
      <c r="E352" s="128"/>
      <c r="F352" s="129"/>
      <c r="G352" s="129"/>
      <c r="H352" s="72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27" t="str">
        <f t="shared" si="1"/>
        <v/>
      </c>
      <c r="B353" s="128"/>
      <c r="C353" s="128"/>
      <c r="D353" s="129"/>
      <c r="E353" s="128"/>
      <c r="F353" s="129"/>
      <c r="G353" s="129"/>
      <c r="H353" s="72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27" t="str">
        <f t="shared" si="1"/>
        <v/>
      </c>
      <c r="B354" s="128"/>
      <c r="C354" s="128"/>
      <c r="D354" s="129"/>
      <c r="E354" s="128"/>
      <c r="F354" s="129"/>
      <c r="G354" s="129"/>
      <c r="H354" s="72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27" t="str">
        <f t="shared" si="1"/>
        <v/>
      </c>
      <c r="B355" s="128"/>
      <c r="C355" s="128"/>
      <c r="D355" s="129"/>
      <c r="E355" s="128"/>
      <c r="F355" s="129"/>
      <c r="G355" s="129"/>
      <c r="H355" s="72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27" t="str">
        <f t="shared" si="1"/>
        <v/>
      </c>
      <c r="B356" s="128"/>
      <c r="C356" s="128"/>
      <c r="D356" s="129"/>
      <c r="E356" s="128"/>
      <c r="F356" s="129"/>
      <c r="G356" s="129"/>
      <c r="H356" s="72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27" t="str">
        <f t="shared" si="1"/>
        <v/>
      </c>
      <c r="B357" s="128"/>
      <c r="C357" s="128"/>
      <c r="D357" s="129"/>
      <c r="E357" s="128"/>
      <c r="F357" s="129"/>
      <c r="G357" s="129"/>
      <c r="H357" s="72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27" t="str">
        <f t="shared" si="1"/>
        <v/>
      </c>
      <c r="B358" s="128"/>
      <c r="C358" s="128"/>
      <c r="D358" s="129"/>
      <c r="E358" s="128"/>
      <c r="F358" s="129"/>
      <c r="G358" s="129"/>
      <c r="H358" s="72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27" t="str">
        <f t="shared" si="1"/>
        <v/>
      </c>
      <c r="B359" s="128"/>
      <c r="C359" s="128"/>
      <c r="D359" s="129"/>
      <c r="E359" s="128"/>
      <c r="F359" s="129"/>
      <c r="G359" s="129"/>
      <c r="H359" s="72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27" t="str">
        <f t="shared" si="1"/>
        <v/>
      </c>
      <c r="B360" s="128"/>
      <c r="C360" s="128"/>
      <c r="D360" s="129"/>
      <c r="E360" s="128"/>
      <c r="F360" s="129"/>
      <c r="G360" s="129"/>
      <c r="H360" s="72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27" t="str">
        <f t="shared" si="1"/>
        <v/>
      </c>
      <c r="B361" s="128"/>
      <c r="C361" s="128"/>
      <c r="D361" s="129"/>
      <c r="E361" s="128"/>
      <c r="F361" s="129"/>
      <c r="G361" s="129"/>
      <c r="H361" s="72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27" t="str">
        <f t="shared" si="1"/>
        <v/>
      </c>
      <c r="B362" s="128"/>
      <c r="C362" s="128"/>
      <c r="D362" s="129"/>
      <c r="E362" s="128"/>
      <c r="F362" s="129"/>
      <c r="G362" s="129"/>
      <c r="H362" s="72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27" t="str">
        <f t="shared" si="1"/>
        <v/>
      </c>
      <c r="B363" s="128"/>
      <c r="C363" s="128"/>
      <c r="D363" s="129"/>
      <c r="E363" s="128"/>
      <c r="F363" s="129"/>
      <c r="G363" s="129"/>
      <c r="H363" s="72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27" t="str">
        <f t="shared" si="1"/>
        <v/>
      </c>
      <c r="B364" s="128"/>
      <c r="C364" s="128"/>
      <c r="D364" s="129"/>
      <c r="E364" s="128"/>
      <c r="F364" s="129"/>
      <c r="G364" s="129"/>
      <c r="H364" s="72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27" t="str">
        <f t="shared" si="1"/>
        <v/>
      </c>
      <c r="B365" s="128"/>
      <c r="C365" s="128"/>
      <c r="D365" s="129"/>
      <c r="E365" s="128"/>
      <c r="F365" s="129"/>
      <c r="G365" s="129"/>
      <c r="H365" s="72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27" t="str">
        <f t="shared" si="1"/>
        <v/>
      </c>
      <c r="B366" s="128"/>
      <c r="C366" s="128"/>
      <c r="D366" s="129"/>
      <c r="E366" s="128"/>
      <c r="F366" s="129"/>
      <c r="G366" s="129"/>
      <c r="H366" s="72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27" t="str">
        <f t="shared" si="1"/>
        <v/>
      </c>
      <c r="B367" s="128"/>
      <c r="C367" s="128"/>
      <c r="D367" s="129"/>
      <c r="E367" s="128"/>
      <c r="F367" s="129"/>
      <c r="G367" s="129"/>
      <c r="H367" s="72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27" t="str">
        <f t="shared" si="1"/>
        <v/>
      </c>
      <c r="B368" s="128"/>
      <c r="C368" s="128"/>
      <c r="D368" s="129"/>
      <c r="E368" s="128"/>
      <c r="F368" s="129"/>
      <c r="G368" s="129"/>
      <c r="H368" s="72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27" t="str">
        <f t="shared" si="1"/>
        <v/>
      </c>
      <c r="B369" s="128"/>
      <c r="C369" s="128"/>
      <c r="D369" s="129"/>
      <c r="E369" s="128"/>
      <c r="F369" s="129"/>
      <c r="G369" s="129"/>
      <c r="H369" s="72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27" t="str">
        <f t="shared" si="1"/>
        <v/>
      </c>
      <c r="B370" s="128"/>
      <c r="C370" s="128"/>
      <c r="D370" s="129"/>
      <c r="E370" s="128"/>
      <c r="F370" s="129"/>
      <c r="G370" s="129"/>
      <c r="H370" s="72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27" t="str">
        <f t="shared" si="1"/>
        <v/>
      </c>
      <c r="B371" s="128"/>
      <c r="C371" s="128"/>
      <c r="D371" s="129"/>
      <c r="E371" s="128"/>
      <c r="F371" s="129"/>
      <c r="G371" s="129"/>
      <c r="H371" s="72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27" t="str">
        <f t="shared" si="1"/>
        <v/>
      </c>
      <c r="B372" s="128"/>
      <c r="C372" s="128"/>
      <c r="D372" s="129"/>
      <c r="E372" s="128"/>
      <c r="F372" s="129"/>
      <c r="G372" s="129"/>
      <c r="H372" s="72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27" t="str">
        <f t="shared" si="1"/>
        <v/>
      </c>
      <c r="B373" s="128"/>
      <c r="C373" s="128"/>
      <c r="D373" s="129"/>
      <c r="E373" s="128"/>
      <c r="F373" s="129"/>
      <c r="G373" s="129"/>
      <c r="H373" s="72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27" t="str">
        <f t="shared" si="1"/>
        <v/>
      </c>
      <c r="B374" s="128"/>
      <c r="C374" s="128"/>
      <c r="D374" s="129"/>
      <c r="E374" s="128"/>
      <c r="F374" s="129"/>
      <c r="G374" s="129"/>
      <c r="H374" s="72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27" t="str">
        <f t="shared" si="1"/>
        <v/>
      </c>
      <c r="B375" s="128"/>
      <c r="C375" s="128"/>
      <c r="D375" s="129"/>
      <c r="E375" s="128"/>
      <c r="F375" s="129"/>
      <c r="G375" s="129"/>
      <c r="H375" s="72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27" t="str">
        <f t="shared" si="1"/>
        <v/>
      </c>
      <c r="B376" s="128"/>
      <c r="C376" s="128"/>
      <c r="D376" s="129"/>
      <c r="E376" s="128"/>
      <c r="F376" s="129"/>
      <c r="G376" s="129"/>
      <c r="H376" s="72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27" t="str">
        <f t="shared" si="1"/>
        <v/>
      </c>
      <c r="B377" s="128"/>
      <c r="C377" s="128"/>
      <c r="D377" s="129"/>
      <c r="E377" s="128"/>
      <c r="F377" s="129"/>
      <c r="G377" s="129"/>
      <c r="H377" s="72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27" t="str">
        <f t="shared" si="1"/>
        <v/>
      </c>
      <c r="B378" s="128"/>
      <c r="C378" s="128"/>
      <c r="D378" s="129"/>
      <c r="E378" s="128"/>
      <c r="F378" s="129"/>
      <c r="G378" s="129"/>
      <c r="H378" s="7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27" t="str">
        <f t="shared" si="1"/>
        <v/>
      </c>
      <c r="B379" s="128"/>
      <c r="C379" s="128"/>
      <c r="D379" s="129"/>
      <c r="E379" s="128"/>
      <c r="F379" s="129"/>
      <c r="G379" s="129"/>
      <c r="H379" s="72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27" t="str">
        <f t="shared" si="1"/>
        <v/>
      </c>
      <c r="B380" s="128"/>
      <c r="C380" s="128"/>
      <c r="D380" s="129"/>
      <c r="E380" s="128"/>
      <c r="F380" s="129"/>
      <c r="G380" s="129"/>
      <c r="H380" s="72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27" t="str">
        <f t="shared" si="1"/>
        <v/>
      </c>
      <c r="B381" s="128"/>
      <c r="C381" s="128"/>
      <c r="D381" s="129"/>
      <c r="E381" s="128"/>
      <c r="F381" s="129"/>
      <c r="G381" s="129"/>
      <c r="H381" s="72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27" t="str">
        <f t="shared" si="1"/>
        <v/>
      </c>
      <c r="B382" s="128"/>
      <c r="C382" s="128"/>
      <c r="D382" s="129"/>
      <c r="E382" s="128"/>
      <c r="F382" s="129"/>
      <c r="G382" s="129"/>
      <c r="H382" s="72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27" t="str">
        <f t="shared" si="1"/>
        <v/>
      </c>
      <c r="B383" s="128"/>
      <c r="C383" s="128"/>
      <c r="D383" s="129"/>
      <c r="E383" s="128"/>
      <c r="F383" s="129"/>
      <c r="G383" s="129"/>
      <c r="H383" s="72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27" t="str">
        <f t="shared" si="1"/>
        <v/>
      </c>
      <c r="B384" s="128"/>
      <c r="C384" s="128"/>
      <c r="D384" s="129"/>
      <c r="E384" s="128"/>
      <c r="F384" s="129"/>
      <c r="G384" s="129"/>
      <c r="H384" s="72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27" t="str">
        <f t="shared" si="1"/>
        <v/>
      </c>
      <c r="B385" s="128"/>
      <c r="C385" s="128"/>
      <c r="D385" s="129"/>
      <c r="E385" s="128"/>
      <c r="F385" s="129"/>
      <c r="G385" s="129"/>
      <c r="H385" s="72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27" t="str">
        <f t="shared" si="1"/>
        <v/>
      </c>
      <c r="B386" s="128"/>
      <c r="C386" s="128"/>
      <c r="D386" s="129"/>
      <c r="E386" s="128"/>
      <c r="F386" s="129"/>
      <c r="G386" s="129"/>
      <c r="H386" s="72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27" t="str">
        <f t="shared" si="1"/>
        <v/>
      </c>
      <c r="B387" s="128"/>
      <c r="C387" s="128"/>
      <c r="D387" s="129"/>
      <c r="E387" s="128"/>
      <c r="F387" s="129"/>
      <c r="G387" s="129"/>
      <c r="H387" s="72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27" t="str">
        <f t="shared" si="1"/>
        <v/>
      </c>
      <c r="B388" s="128"/>
      <c r="C388" s="128"/>
      <c r="D388" s="129"/>
      <c r="E388" s="128"/>
      <c r="F388" s="129"/>
      <c r="G388" s="129"/>
      <c r="H388" s="72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27" t="str">
        <f t="shared" si="1"/>
        <v/>
      </c>
      <c r="B389" s="128"/>
      <c r="C389" s="128"/>
      <c r="D389" s="129"/>
      <c r="E389" s="128"/>
      <c r="F389" s="129"/>
      <c r="G389" s="129"/>
      <c r="H389" s="72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27" t="str">
        <f t="shared" si="1"/>
        <v/>
      </c>
      <c r="B390" s="128"/>
      <c r="C390" s="128"/>
      <c r="D390" s="129"/>
      <c r="E390" s="128"/>
      <c r="F390" s="129"/>
      <c r="G390" s="129"/>
      <c r="H390" s="72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27" t="str">
        <f t="shared" si="1"/>
        <v/>
      </c>
      <c r="B391" s="128"/>
      <c r="C391" s="128"/>
      <c r="D391" s="129"/>
      <c r="E391" s="128"/>
      <c r="F391" s="129"/>
      <c r="G391" s="129"/>
      <c r="H391" s="72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27" t="str">
        <f t="shared" si="1"/>
        <v/>
      </c>
      <c r="B392" s="128"/>
      <c r="C392" s="128"/>
      <c r="D392" s="129"/>
      <c r="E392" s="128"/>
      <c r="F392" s="129"/>
      <c r="G392" s="129"/>
      <c r="H392" s="72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27" t="str">
        <f t="shared" si="1"/>
        <v/>
      </c>
      <c r="B393" s="128"/>
      <c r="C393" s="128"/>
      <c r="D393" s="129"/>
      <c r="E393" s="128"/>
      <c r="F393" s="129"/>
      <c r="G393" s="129"/>
      <c r="H393" s="72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27" t="str">
        <f t="shared" si="1"/>
        <v/>
      </c>
      <c r="B394" s="128"/>
      <c r="C394" s="128"/>
      <c r="D394" s="129"/>
      <c r="E394" s="128"/>
      <c r="F394" s="129"/>
      <c r="G394" s="129"/>
      <c r="H394" s="72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27" t="str">
        <f t="shared" si="1"/>
        <v/>
      </c>
      <c r="B395" s="128"/>
      <c r="C395" s="128"/>
      <c r="D395" s="129"/>
      <c r="E395" s="128"/>
      <c r="F395" s="129"/>
      <c r="G395" s="129"/>
      <c r="H395" s="72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27" t="str">
        <f t="shared" si="1"/>
        <v/>
      </c>
      <c r="B396" s="128"/>
      <c r="C396" s="128"/>
      <c r="D396" s="129"/>
      <c r="E396" s="128"/>
      <c r="F396" s="129"/>
      <c r="G396" s="129"/>
      <c r="H396" s="72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27" t="str">
        <f t="shared" si="1"/>
        <v/>
      </c>
      <c r="B397" s="128"/>
      <c r="C397" s="128"/>
      <c r="D397" s="129"/>
      <c r="E397" s="128"/>
      <c r="F397" s="129"/>
      <c r="G397" s="129"/>
      <c r="H397" s="72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27" t="str">
        <f t="shared" si="1"/>
        <v/>
      </c>
      <c r="B398" s="128"/>
      <c r="C398" s="128"/>
      <c r="D398" s="129"/>
      <c r="E398" s="128"/>
      <c r="F398" s="129"/>
      <c r="G398" s="129"/>
      <c r="H398" s="72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27" t="str">
        <f t="shared" si="1"/>
        <v/>
      </c>
      <c r="B399" s="128"/>
      <c r="C399" s="128"/>
      <c r="D399" s="129"/>
      <c r="E399" s="128"/>
      <c r="F399" s="129"/>
      <c r="G399" s="129"/>
      <c r="H399" s="72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27" t="str">
        <f t="shared" si="1"/>
        <v/>
      </c>
      <c r="B400" s="128"/>
      <c r="C400" s="128"/>
      <c r="D400" s="129"/>
      <c r="E400" s="128"/>
      <c r="F400" s="129"/>
      <c r="G400" s="129"/>
      <c r="H400" s="72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27" t="str">
        <f t="shared" si="1"/>
        <v/>
      </c>
      <c r="B401" s="128"/>
      <c r="C401" s="128"/>
      <c r="D401" s="129"/>
      <c r="E401" s="128"/>
      <c r="F401" s="129"/>
      <c r="G401" s="129"/>
      <c r="H401" s="72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27" t="str">
        <f t="shared" si="1"/>
        <v/>
      </c>
      <c r="B402" s="128"/>
      <c r="C402" s="128"/>
      <c r="D402" s="129"/>
      <c r="E402" s="128"/>
      <c r="F402" s="129"/>
      <c r="G402" s="129"/>
      <c r="H402" s="72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27" t="str">
        <f t="shared" si="1"/>
        <v/>
      </c>
      <c r="B403" s="128"/>
      <c r="C403" s="128"/>
      <c r="D403" s="129"/>
      <c r="E403" s="128"/>
      <c r="F403" s="129"/>
      <c r="G403" s="129"/>
      <c r="H403" s="72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27" t="str">
        <f t="shared" si="1"/>
        <v/>
      </c>
      <c r="B404" s="128"/>
      <c r="C404" s="128"/>
      <c r="D404" s="129"/>
      <c r="E404" s="128"/>
      <c r="F404" s="129"/>
      <c r="G404" s="129"/>
      <c r="H404" s="72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27" t="str">
        <f t="shared" si="1"/>
        <v/>
      </c>
      <c r="B405" s="128"/>
      <c r="C405" s="128"/>
      <c r="D405" s="129"/>
      <c r="E405" s="128"/>
      <c r="F405" s="129"/>
      <c r="G405" s="129"/>
      <c r="H405" s="72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27" t="str">
        <f t="shared" si="1"/>
        <v/>
      </c>
      <c r="B406" s="128"/>
      <c r="C406" s="128"/>
      <c r="D406" s="129"/>
      <c r="E406" s="128"/>
      <c r="F406" s="129"/>
      <c r="G406" s="129"/>
      <c r="H406" s="72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27" t="str">
        <f t="shared" si="1"/>
        <v/>
      </c>
      <c r="B407" s="128"/>
      <c r="C407" s="128"/>
      <c r="D407" s="129"/>
      <c r="E407" s="128"/>
      <c r="F407" s="129"/>
      <c r="G407" s="129"/>
      <c r="H407" s="72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27" t="str">
        <f t="shared" si="1"/>
        <v/>
      </c>
      <c r="B408" s="128"/>
      <c r="C408" s="128"/>
      <c r="D408" s="129"/>
      <c r="E408" s="128"/>
      <c r="F408" s="129"/>
      <c r="G408" s="129"/>
      <c r="H408" s="72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27" t="str">
        <f t="shared" si="1"/>
        <v/>
      </c>
      <c r="B409" s="128"/>
      <c r="C409" s="128"/>
      <c r="D409" s="129"/>
      <c r="E409" s="128"/>
      <c r="F409" s="129"/>
      <c r="G409" s="129"/>
      <c r="H409" s="7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27" t="str">
        <f t="shared" si="1"/>
        <v/>
      </c>
      <c r="B410" s="128"/>
      <c r="C410" s="128"/>
      <c r="D410" s="129"/>
      <c r="E410" s="128"/>
      <c r="F410" s="129"/>
      <c r="G410" s="129"/>
      <c r="H410" s="72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27" t="str">
        <f t="shared" si="1"/>
        <v/>
      </c>
      <c r="B411" s="128"/>
      <c r="C411" s="128"/>
      <c r="D411" s="129"/>
      <c r="E411" s="128"/>
      <c r="F411" s="129"/>
      <c r="G411" s="129"/>
      <c r="H411" s="72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27" t="str">
        <f t="shared" si="1"/>
        <v/>
      </c>
      <c r="B412" s="128"/>
      <c r="C412" s="128"/>
      <c r="D412" s="129"/>
      <c r="E412" s="128"/>
      <c r="F412" s="129"/>
      <c r="G412" s="129"/>
      <c r="H412" s="72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27" t="str">
        <f t="shared" si="1"/>
        <v/>
      </c>
      <c r="B413" s="128"/>
      <c r="C413" s="128"/>
      <c r="D413" s="129"/>
      <c r="E413" s="128"/>
      <c r="F413" s="129"/>
      <c r="G413" s="129"/>
      <c r="H413" s="72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27" t="str">
        <f t="shared" si="1"/>
        <v/>
      </c>
      <c r="B414" s="128"/>
      <c r="C414" s="128"/>
      <c r="D414" s="129"/>
      <c r="E414" s="128"/>
      <c r="F414" s="129"/>
      <c r="G414" s="129"/>
      <c r="H414" s="72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27" t="str">
        <f t="shared" si="1"/>
        <v/>
      </c>
      <c r="B415" s="128"/>
      <c r="C415" s="128"/>
      <c r="D415" s="129"/>
      <c r="E415" s="128"/>
      <c r="F415" s="129"/>
      <c r="G415" s="129"/>
      <c r="H415" s="72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27" t="str">
        <f t="shared" si="1"/>
        <v/>
      </c>
      <c r="B416" s="128"/>
      <c r="C416" s="128"/>
      <c r="D416" s="129"/>
      <c r="E416" s="128"/>
      <c r="F416" s="129"/>
      <c r="G416" s="129"/>
      <c r="H416" s="72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27" t="str">
        <f t="shared" si="1"/>
        <v/>
      </c>
      <c r="B417" s="128"/>
      <c r="C417" s="128"/>
      <c r="D417" s="129"/>
      <c r="E417" s="128"/>
      <c r="F417" s="129"/>
      <c r="G417" s="129"/>
      <c r="H417" s="72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27" t="str">
        <f t="shared" si="1"/>
        <v/>
      </c>
      <c r="B418" s="128"/>
      <c r="C418" s="128"/>
      <c r="D418" s="129"/>
      <c r="E418" s="128"/>
      <c r="F418" s="129"/>
      <c r="G418" s="129"/>
      <c r="H418" s="72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27" t="str">
        <f t="shared" si="1"/>
        <v/>
      </c>
      <c r="B419" s="128"/>
      <c r="C419" s="128"/>
      <c r="D419" s="129"/>
      <c r="E419" s="128"/>
      <c r="F419" s="129"/>
      <c r="G419" s="129"/>
      <c r="H419" s="72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27" t="str">
        <f t="shared" si="1"/>
        <v/>
      </c>
      <c r="B420" s="128"/>
      <c r="C420" s="128"/>
      <c r="D420" s="129"/>
      <c r="E420" s="128"/>
      <c r="F420" s="129"/>
      <c r="G420" s="129"/>
      <c r="H420" s="72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27" t="str">
        <f t="shared" si="1"/>
        <v/>
      </c>
      <c r="B421" s="128"/>
      <c r="C421" s="128"/>
      <c r="D421" s="129"/>
      <c r="E421" s="128"/>
      <c r="F421" s="129"/>
      <c r="G421" s="129"/>
      <c r="H421" s="72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27" t="str">
        <f t="shared" si="1"/>
        <v/>
      </c>
      <c r="B422" s="128"/>
      <c r="C422" s="128"/>
      <c r="D422" s="129"/>
      <c r="E422" s="128"/>
      <c r="F422" s="129"/>
      <c r="G422" s="129"/>
      <c r="H422" s="72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27" t="str">
        <f t="shared" si="1"/>
        <v/>
      </c>
      <c r="B423" s="128"/>
      <c r="C423" s="128"/>
      <c r="D423" s="129"/>
      <c r="E423" s="128"/>
      <c r="F423" s="129"/>
      <c r="G423" s="129"/>
      <c r="H423" s="72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27" t="str">
        <f t="shared" si="1"/>
        <v/>
      </c>
      <c r="B424" s="128"/>
      <c r="C424" s="128"/>
      <c r="D424" s="129"/>
      <c r="E424" s="128"/>
      <c r="F424" s="129"/>
      <c r="G424" s="129"/>
      <c r="H424" s="72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27" t="str">
        <f t="shared" si="1"/>
        <v/>
      </c>
      <c r="B425" s="128"/>
      <c r="C425" s="128"/>
      <c r="D425" s="129"/>
      <c r="E425" s="128"/>
      <c r="F425" s="129"/>
      <c r="G425" s="129"/>
      <c r="H425" s="72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27" t="str">
        <f t="shared" si="1"/>
        <v/>
      </c>
      <c r="B426" s="128"/>
      <c r="C426" s="128"/>
      <c r="D426" s="129"/>
      <c r="E426" s="128"/>
      <c r="F426" s="129"/>
      <c r="G426" s="129"/>
      <c r="H426" s="72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27" t="str">
        <f t="shared" si="1"/>
        <v/>
      </c>
      <c r="B427" s="128"/>
      <c r="C427" s="128"/>
      <c r="D427" s="129"/>
      <c r="E427" s="128"/>
      <c r="F427" s="129"/>
      <c r="G427" s="129"/>
      <c r="H427" s="72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27" t="str">
        <f t="shared" si="1"/>
        <v/>
      </c>
      <c r="B428" s="128"/>
      <c r="C428" s="128"/>
      <c r="D428" s="129"/>
      <c r="E428" s="128"/>
      <c r="F428" s="129"/>
      <c r="G428" s="129"/>
      <c r="H428" s="72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27" t="str">
        <f t="shared" si="1"/>
        <v/>
      </c>
      <c r="B429" s="128"/>
      <c r="C429" s="128"/>
      <c r="D429" s="129"/>
      <c r="E429" s="128"/>
      <c r="F429" s="129"/>
      <c r="G429" s="129"/>
      <c r="H429" s="72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27" t="str">
        <f t="shared" si="1"/>
        <v/>
      </c>
      <c r="B430" s="128"/>
      <c r="C430" s="128"/>
      <c r="D430" s="129"/>
      <c r="E430" s="128"/>
      <c r="F430" s="129"/>
      <c r="G430" s="129"/>
      <c r="H430" s="72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27" t="str">
        <f t="shared" si="1"/>
        <v/>
      </c>
      <c r="B431" s="128"/>
      <c r="C431" s="128"/>
      <c r="D431" s="129"/>
      <c r="E431" s="128"/>
      <c r="F431" s="129"/>
      <c r="G431" s="129"/>
      <c r="H431" s="72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27" t="str">
        <f t="shared" si="1"/>
        <v/>
      </c>
      <c r="B432" s="128"/>
      <c r="C432" s="128"/>
      <c r="D432" s="129"/>
      <c r="E432" s="128"/>
      <c r="F432" s="129"/>
      <c r="G432" s="129"/>
      <c r="H432" s="72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27" t="str">
        <f t="shared" si="1"/>
        <v/>
      </c>
      <c r="B433" s="128"/>
      <c r="C433" s="128"/>
      <c r="D433" s="129"/>
      <c r="E433" s="128"/>
      <c r="F433" s="129"/>
      <c r="G433" s="129"/>
      <c r="H433" s="72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27" t="str">
        <f t="shared" si="1"/>
        <v/>
      </c>
      <c r="B434" s="128"/>
      <c r="C434" s="128"/>
      <c r="D434" s="129"/>
      <c r="E434" s="128"/>
      <c r="F434" s="129"/>
      <c r="G434" s="129"/>
      <c r="H434" s="72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27" t="str">
        <f t="shared" si="1"/>
        <v/>
      </c>
      <c r="B435" s="128"/>
      <c r="C435" s="128"/>
      <c r="D435" s="129"/>
      <c r="E435" s="128"/>
      <c r="F435" s="129"/>
      <c r="G435" s="129"/>
      <c r="H435" s="72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27" t="str">
        <f t="shared" si="1"/>
        <v/>
      </c>
      <c r="B436" s="128"/>
      <c r="C436" s="128"/>
      <c r="D436" s="129"/>
      <c r="E436" s="128"/>
      <c r="F436" s="129"/>
      <c r="G436" s="129"/>
      <c r="H436" s="72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27" t="str">
        <f t="shared" si="1"/>
        <v/>
      </c>
      <c r="B437" s="128"/>
      <c r="C437" s="128"/>
      <c r="D437" s="129"/>
      <c r="E437" s="128"/>
      <c r="F437" s="129"/>
      <c r="G437" s="129"/>
      <c r="H437" s="72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27" t="str">
        <f t="shared" si="1"/>
        <v/>
      </c>
      <c r="B438" s="128"/>
      <c r="C438" s="128"/>
      <c r="D438" s="129"/>
      <c r="E438" s="128"/>
      <c r="F438" s="129"/>
      <c r="G438" s="129"/>
      <c r="H438" s="72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27" t="str">
        <f t="shared" si="1"/>
        <v/>
      </c>
      <c r="B439" s="128"/>
      <c r="C439" s="128"/>
      <c r="D439" s="129"/>
      <c r="E439" s="128"/>
      <c r="F439" s="129"/>
      <c r="G439" s="129"/>
      <c r="H439" s="72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27" t="str">
        <f t="shared" si="1"/>
        <v/>
      </c>
      <c r="B440" s="128"/>
      <c r="C440" s="128"/>
      <c r="D440" s="129"/>
      <c r="E440" s="128"/>
      <c r="F440" s="129"/>
      <c r="G440" s="129"/>
      <c r="H440" s="7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27" t="str">
        <f t="shared" si="1"/>
        <v/>
      </c>
      <c r="B441" s="128"/>
      <c r="C441" s="128"/>
      <c r="D441" s="129"/>
      <c r="E441" s="128"/>
      <c r="F441" s="129"/>
      <c r="G441" s="129"/>
      <c r="H441" s="72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27" t="str">
        <f t="shared" si="1"/>
        <v/>
      </c>
      <c r="B442" s="128"/>
      <c r="C442" s="128"/>
      <c r="D442" s="129"/>
      <c r="E442" s="128"/>
      <c r="F442" s="129"/>
      <c r="G442" s="129"/>
      <c r="H442" s="72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27" t="str">
        <f t="shared" si="1"/>
        <v/>
      </c>
      <c r="B443" s="128"/>
      <c r="C443" s="128"/>
      <c r="D443" s="129"/>
      <c r="E443" s="128"/>
      <c r="F443" s="129"/>
      <c r="G443" s="129"/>
      <c r="H443" s="72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27" t="str">
        <f t="shared" si="1"/>
        <v/>
      </c>
      <c r="B444" s="128"/>
      <c r="C444" s="128"/>
      <c r="D444" s="129"/>
      <c r="E444" s="128"/>
      <c r="F444" s="129"/>
      <c r="G444" s="129"/>
      <c r="H444" s="72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27" t="str">
        <f t="shared" si="1"/>
        <v/>
      </c>
      <c r="B445" s="128"/>
      <c r="C445" s="128"/>
      <c r="D445" s="129"/>
      <c r="E445" s="128"/>
      <c r="F445" s="129"/>
      <c r="G445" s="129"/>
      <c r="H445" s="72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27" t="str">
        <f t="shared" si="1"/>
        <v/>
      </c>
      <c r="B446" s="128"/>
      <c r="C446" s="128"/>
      <c r="D446" s="129"/>
      <c r="E446" s="128"/>
      <c r="F446" s="129"/>
      <c r="G446" s="129"/>
      <c r="H446" s="72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27" t="str">
        <f t="shared" si="1"/>
        <v/>
      </c>
      <c r="B447" s="128"/>
      <c r="C447" s="128"/>
      <c r="D447" s="129"/>
      <c r="E447" s="128"/>
      <c r="F447" s="129"/>
      <c r="G447" s="129"/>
      <c r="H447" s="72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27" t="str">
        <f t="shared" si="1"/>
        <v/>
      </c>
      <c r="B448" s="128"/>
      <c r="C448" s="128"/>
      <c r="D448" s="129"/>
      <c r="E448" s="128"/>
      <c r="F448" s="129"/>
      <c r="G448" s="129"/>
      <c r="H448" s="72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27" t="str">
        <f t="shared" si="1"/>
        <v/>
      </c>
      <c r="B449" s="128"/>
      <c r="C449" s="128"/>
      <c r="D449" s="129"/>
      <c r="E449" s="128"/>
      <c r="F449" s="129"/>
      <c r="G449" s="129"/>
      <c r="H449" s="72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27" t="str">
        <f t="shared" si="1"/>
        <v/>
      </c>
      <c r="B450" s="128"/>
      <c r="C450" s="128"/>
      <c r="D450" s="129"/>
      <c r="E450" s="128"/>
      <c r="F450" s="129"/>
      <c r="G450" s="129"/>
      <c r="H450" s="72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27" t="str">
        <f t="shared" si="1"/>
        <v/>
      </c>
      <c r="B451" s="128"/>
      <c r="C451" s="128"/>
      <c r="D451" s="129"/>
      <c r="E451" s="128"/>
      <c r="F451" s="129"/>
      <c r="G451" s="129"/>
      <c r="H451" s="72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27" t="str">
        <f t="shared" si="1"/>
        <v/>
      </c>
      <c r="B452" s="128"/>
      <c r="C452" s="128"/>
      <c r="D452" s="129"/>
      <c r="E452" s="128"/>
      <c r="F452" s="129"/>
      <c r="G452" s="129"/>
      <c r="H452" s="72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27" t="str">
        <f t="shared" si="1"/>
        <v/>
      </c>
      <c r="B453" s="128"/>
      <c r="C453" s="128"/>
      <c r="D453" s="129"/>
      <c r="E453" s="128"/>
      <c r="F453" s="129"/>
      <c r="G453" s="129"/>
      <c r="H453" s="72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27" t="str">
        <f t="shared" si="1"/>
        <v/>
      </c>
      <c r="B454" s="128"/>
      <c r="C454" s="128"/>
      <c r="D454" s="129"/>
      <c r="E454" s="128"/>
      <c r="F454" s="129"/>
      <c r="G454" s="129"/>
      <c r="H454" s="72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27" t="str">
        <f t="shared" si="1"/>
        <v/>
      </c>
      <c r="B455" s="128"/>
      <c r="C455" s="128"/>
      <c r="D455" s="129"/>
      <c r="E455" s="128"/>
      <c r="F455" s="129"/>
      <c r="G455" s="129"/>
      <c r="H455" s="72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27" t="str">
        <f t="shared" si="1"/>
        <v/>
      </c>
      <c r="B456" s="128"/>
      <c r="C456" s="128"/>
      <c r="D456" s="129"/>
      <c r="E456" s="128"/>
      <c r="F456" s="129"/>
      <c r="G456" s="129"/>
      <c r="H456" s="72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27" t="str">
        <f t="shared" si="1"/>
        <v/>
      </c>
      <c r="B457" s="128"/>
      <c r="C457" s="128"/>
      <c r="D457" s="129"/>
      <c r="E457" s="128"/>
      <c r="F457" s="129"/>
      <c r="G457" s="129"/>
      <c r="H457" s="72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27" t="str">
        <f t="shared" si="1"/>
        <v/>
      </c>
      <c r="B458" s="128"/>
      <c r="C458" s="128"/>
      <c r="D458" s="129"/>
      <c r="E458" s="128"/>
      <c r="F458" s="129"/>
      <c r="G458" s="129"/>
      <c r="H458" s="72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27" t="str">
        <f t="shared" si="1"/>
        <v/>
      </c>
      <c r="B459" s="128"/>
      <c r="C459" s="128"/>
      <c r="D459" s="129"/>
      <c r="E459" s="128"/>
      <c r="F459" s="129"/>
      <c r="G459" s="129"/>
      <c r="H459" s="72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27" t="str">
        <f t="shared" si="1"/>
        <v/>
      </c>
      <c r="B460" s="128"/>
      <c r="C460" s="128"/>
      <c r="D460" s="129"/>
      <c r="E460" s="128"/>
      <c r="F460" s="129"/>
      <c r="G460" s="129"/>
      <c r="H460" s="72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27" t="str">
        <f t="shared" si="1"/>
        <v/>
      </c>
      <c r="B461" s="128"/>
      <c r="C461" s="128"/>
      <c r="D461" s="129"/>
      <c r="E461" s="128"/>
      <c r="F461" s="129"/>
      <c r="G461" s="129"/>
      <c r="H461" s="72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27" t="str">
        <f t="shared" si="1"/>
        <v/>
      </c>
      <c r="B462" s="128"/>
      <c r="C462" s="128"/>
      <c r="D462" s="129"/>
      <c r="E462" s="128"/>
      <c r="F462" s="129"/>
      <c r="G462" s="129"/>
      <c r="H462" s="72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27" t="str">
        <f t="shared" si="1"/>
        <v/>
      </c>
      <c r="B463" s="128"/>
      <c r="C463" s="128"/>
      <c r="D463" s="129"/>
      <c r="E463" s="128"/>
      <c r="F463" s="129"/>
      <c r="G463" s="129"/>
      <c r="H463" s="72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27" t="str">
        <f t="shared" si="1"/>
        <v/>
      </c>
      <c r="B464" s="128"/>
      <c r="C464" s="128"/>
      <c r="D464" s="129"/>
      <c r="E464" s="128"/>
      <c r="F464" s="129"/>
      <c r="G464" s="129"/>
      <c r="H464" s="72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27" t="str">
        <f t="shared" si="1"/>
        <v/>
      </c>
      <c r="B465" s="128"/>
      <c r="C465" s="128"/>
      <c r="D465" s="129"/>
      <c r="E465" s="128"/>
      <c r="F465" s="129"/>
      <c r="G465" s="129"/>
      <c r="H465" s="72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27" t="str">
        <f t="shared" si="1"/>
        <v/>
      </c>
      <c r="B466" s="128"/>
      <c r="C466" s="128"/>
      <c r="D466" s="129"/>
      <c r="E466" s="128"/>
      <c r="F466" s="129"/>
      <c r="G466" s="129"/>
      <c r="H466" s="72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27" t="str">
        <f t="shared" si="1"/>
        <v/>
      </c>
      <c r="B467" s="128"/>
      <c r="C467" s="128"/>
      <c r="D467" s="129"/>
      <c r="E467" s="128"/>
      <c r="F467" s="129"/>
      <c r="G467" s="129"/>
      <c r="H467" s="72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27" t="str">
        <f t="shared" si="1"/>
        <v/>
      </c>
      <c r="B468" s="128"/>
      <c r="C468" s="128"/>
      <c r="D468" s="129"/>
      <c r="E468" s="128"/>
      <c r="F468" s="129"/>
      <c r="G468" s="129"/>
      <c r="H468" s="72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27" t="str">
        <f t="shared" si="1"/>
        <v/>
      </c>
      <c r="B469" s="128"/>
      <c r="C469" s="128"/>
      <c r="D469" s="129"/>
      <c r="E469" s="128"/>
      <c r="F469" s="129"/>
      <c r="G469" s="129"/>
      <c r="H469" s="72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27" t="str">
        <f t="shared" si="1"/>
        <v/>
      </c>
      <c r="B470" s="128"/>
      <c r="C470" s="128"/>
      <c r="D470" s="129"/>
      <c r="E470" s="128"/>
      <c r="F470" s="129"/>
      <c r="G470" s="129"/>
      <c r="H470" s="72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27" t="str">
        <f t="shared" si="1"/>
        <v/>
      </c>
      <c r="B471" s="128"/>
      <c r="C471" s="128"/>
      <c r="D471" s="129"/>
      <c r="E471" s="128"/>
      <c r="F471" s="129"/>
      <c r="G471" s="129"/>
      <c r="H471" s="7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27" t="str">
        <f t="shared" si="1"/>
        <v/>
      </c>
      <c r="B472" s="128"/>
      <c r="C472" s="128"/>
      <c r="D472" s="129"/>
      <c r="E472" s="128"/>
      <c r="F472" s="129"/>
      <c r="G472" s="129"/>
      <c r="H472" s="72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27" t="str">
        <f t="shared" si="1"/>
        <v/>
      </c>
      <c r="B473" s="128"/>
      <c r="C473" s="128"/>
      <c r="D473" s="129"/>
      <c r="E473" s="128"/>
      <c r="F473" s="129"/>
      <c r="G473" s="129"/>
      <c r="H473" s="72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27" t="str">
        <f t="shared" si="1"/>
        <v/>
      </c>
      <c r="B474" s="128"/>
      <c r="C474" s="128"/>
      <c r="D474" s="129"/>
      <c r="E474" s="128"/>
      <c r="F474" s="129"/>
      <c r="G474" s="129"/>
      <c r="H474" s="72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27" t="str">
        <f t="shared" si="1"/>
        <v/>
      </c>
      <c r="B475" s="128"/>
      <c r="C475" s="128"/>
      <c r="D475" s="129"/>
      <c r="E475" s="128"/>
      <c r="F475" s="129"/>
      <c r="G475" s="129"/>
      <c r="H475" s="72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27" t="str">
        <f t="shared" si="1"/>
        <v/>
      </c>
      <c r="B476" s="128"/>
      <c r="C476" s="128"/>
      <c r="D476" s="129"/>
      <c r="E476" s="128"/>
      <c r="F476" s="129"/>
      <c r="G476" s="129"/>
      <c r="H476" s="72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27" t="str">
        <f t="shared" si="1"/>
        <v/>
      </c>
      <c r="B477" s="128"/>
      <c r="C477" s="128"/>
      <c r="D477" s="129"/>
      <c r="E477" s="128"/>
      <c r="F477" s="129"/>
      <c r="G477" s="129"/>
      <c r="H477" s="72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27" t="str">
        <f t="shared" si="1"/>
        <v/>
      </c>
      <c r="B478" s="128"/>
      <c r="C478" s="128"/>
      <c r="D478" s="129"/>
      <c r="E478" s="128"/>
      <c r="F478" s="129"/>
      <c r="G478" s="129"/>
      <c r="H478" s="72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27" t="str">
        <f t="shared" si="1"/>
        <v/>
      </c>
      <c r="B479" s="128"/>
      <c r="C479" s="128"/>
      <c r="D479" s="129"/>
      <c r="E479" s="128"/>
      <c r="F479" s="129"/>
      <c r="G479" s="129"/>
      <c r="H479" s="72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27" t="str">
        <f t="shared" si="1"/>
        <v/>
      </c>
      <c r="B480" s="128"/>
      <c r="C480" s="128"/>
      <c r="D480" s="129"/>
      <c r="E480" s="128"/>
      <c r="F480" s="129"/>
      <c r="G480" s="129"/>
      <c r="H480" s="72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27" t="str">
        <f t="shared" si="1"/>
        <v/>
      </c>
      <c r="B481" s="128"/>
      <c r="C481" s="128"/>
      <c r="D481" s="129"/>
      <c r="E481" s="128"/>
      <c r="F481" s="129"/>
      <c r="G481" s="129"/>
      <c r="H481" s="72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27" t="str">
        <f t="shared" si="1"/>
        <v/>
      </c>
      <c r="B482" s="128"/>
      <c r="C482" s="128"/>
      <c r="D482" s="129"/>
      <c r="E482" s="128"/>
      <c r="F482" s="129"/>
      <c r="G482" s="129"/>
      <c r="H482" s="72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27" t="str">
        <f t="shared" si="1"/>
        <v/>
      </c>
      <c r="B483" s="128"/>
      <c r="C483" s="128"/>
      <c r="D483" s="129"/>
      <c r="E483" s="128"/>
      <c r="F483" s="129"/>
      <c r="G483" s="129"/>
      <c r="H483" s="72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27" t="str">
        <f t="shared" si="1"/>
        <v/>
      </c>
      <c r="B484" s="128"/>
      <c r="C484" s="128"/>
      <c r="D484" s="129"/>
      <c r="E484" s="128"/>
      <c r="F484" s="129"/>
      <c r="G484" s="129"/>
      <c r="H484" s="72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27" t="str">
        <f t="shared" si="1"/>
        <v/>
      </c>
      <c r="B485" s="128"/>
      <c r="C485" s="128"/>
      <c r="D485" s="129"/>
      <c r="E485" s="128"/>
      <c r="F485" s="129"/>
      <c r="G485" s="129"/>
      <c r="H485" s="72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27" t="str">
        <f t="shared" si="1"/>
        <v/>
      </c>
      <c r="B486" s="128"/>
      <c r="C486" s="128"/>
      <c r="D486" s="129"/>
      <c r="E486" s="128"/>
      <c r="F486" s="129"/>
      <c r="G486" s="129"/>
      <c r="H486" s="72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27" t="str">
        <f t="shared" si="1"/>
        <v/>
      </c>
      <c r="B487" s="128"/>
      <c r="C487" s="128"/>
      <c r="D487" s="129"/>
      <c r="E487" s="128"/>
      <c r="F487" s="129"/>
      <c r="G487" s="129"/>
      <c r="H487" s="72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27" t="str">
        <f t="shared" si="1"/>
        <v/>
      </c>
      <c r="B488" s="128"/>
      <c r="C488" s="128"/>
      <c r="D488" s="129"/>
      <c r="E488" s="128"/>
      <c r="F488" s="129"/>
      <c r="G488" s="129"/>
      <c r="H488" s="72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27" t="str">
        <f t="shared" si="1"/>
        <v/>
      </c>
      <c r="B489" s="128"/>
      <c r="C489" s="128"/>
      <c r="D489" s="129"/>
      <c r="E489" s="128"/>
      <c r="F489" s="129"/>
      <c r="G489" s="129"/>
      <c r="H489" s="72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27" t="str">
        <f t="shared" si="1"/>
        <v/>
      </c>
      <c r="B490" s="128"/>
      <c r="C490" s="128"/>
      <c r="D490" s="129"/>
      <c r="E490" s="128"/>
      <c r="F490" s="129"/>
      <c r="G490" s="129"/>
      <c r="H490" s="72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27" t="str">
        <f t="shared" si="1"/>
        <v/>
      </c>
      <c r="B491" s="128"/>
      <c r="C491" s="128"/>
      <c r="D491" s="129"/>
      <c r="E491" s="128"/>
      <c r="F491" s="129"/>
      <c r="G491" s="129"/>
      <c r="H491" s="72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27" t="str">
        <f t="shared" si="1"/>
        <v/>
      </c>
      <c r="B492" s="128"/>
      <c r="C492" s="128"/>
      <c r="D492" s="129"/>
      <c r="E492" s="128"/>
      <c r="F492" s="129"/>
      <c r="G492" s="129"/>
      <c r="H492" s="72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27" t="str">
        <f t="shared" si="1"/>
        <v/>
      </c>
      <c r="B493" s="128"/>
      <c r="C493" s="128"/>
      <c r="D493" s="129"/>
      <c r="E493" s="128"/>
      <c r="F493" s="129"/>
      <c r="G493" s="129"/>
      <c r="H493" s="72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27" t="str">
        <f t="shared" si="1"/>
        <v/>
      </c>
      <c r="B494" s="128"/>
      <c r="C494" s="128"/>
      <c r="D494" s="129"/>
      <c r="E494" s="128"/>
      <c r="F494" s="129"/>
      <c r="G494" s="129"/>
      <c r="H494" s="72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27" t="str">
        <f t="shared" si="1"/>
        <v/>
      </c>
      <c r="B495" s="128"/>
      <c r="C495" s="128"/>
      <c r="D495" s="129"/>
      <c r="E495" s="128"/>
      <c r="F495" s="129"/>
      <c r="G495" s="129"/>
      <c r="H495" s="72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27" t="str">
        <f t="shared" si="1"/>
        <v/>
      </c>
      <c r="B496" s="128"/>
      <c r="C496" s="128"/>
      <c r="D496" s="129"/>
      <c r="E496" s="128"/>
      <c r="F496" s="129"/>
      <c r="G496" s="129"/>
      <c r="H496" s="72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27" t="str">
        <f t="shared" si="1"/>
        <v/>
      </c>
      <c r="B497" s="128"/>
      <c r="C497" s="128"/>
      <c r="D497" s="129"/>
      <c r="E497" s="128"/>
      <c r="F497" s="129"/>
      <c r="G497" s="129"/>
      <c r="H497" s="72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27" t="str">
        <f t="shared" si="1"/>
        <v/>
      </c>
      <c r="B498" s="128"/>
      <c r="C498" s="128"/>
      <c r="D498" s="129"/>
      <c r="E498" s="128"/>
      <c r="F498" s="129"/>
      <c r="G498" s="129"/>
      <c r="H498" s="72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27" t="str">
        <f t="shared" si="1"/>
        <v/>
      </c>
      <c r="B499" s="128"/>
      <c r="C499" s="128"/>
      <c r="D499" s="129"/>
      <c r="E499" s="128"/>
      <c r="F499" s="129"/>
      <c r="G499" s="129"/>
      <c r="H499" s="72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27" t="str">
        <f t="shared" si="1"/>
        <v/>
      </c>
      <c r="B500" s="128"/>
      <c r="C500" s="128"/>
      <c r="D500" s="129"/>
      <c r="E500" s="128"/>
      <c r="F500" s="129"/>
      <c r="G500" s="129"/>
      <c r="H500" s="72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27" t="str">
        <f t="shared" si="1"/>
        <v/>
      </c>
      <c r="B501" s="128"/>
      <c r="C501" s="128"/>
      <c r="D501" s="129"/>
      <c r="E501" s="128"/>
      <c r="F501" s="129"/>
      <c r="G501" s="129"/>
      <c r="H501" s="72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27" t="str">
        <f t="shared" si="1"/>
        <v/>
      </c>
      <c r="B502" s="128"/>
      <c r="C502" s="128"/>
      <c r="D502" s="129"/>
      <c r="E502" s="128"/>
      <c r="F502" s="129"/>
      <c r="G502" s="129"/>
      <c r="H502" s="7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27" t="str">
        <f t="shared" si="1"/>
        <v/>
      </c>
      <c r="B503" s="128"/>
      <c r="C503" s="128"/>
      <c r="D503" s="129"/>
      <c r="E503" s="128"/>
      <c r="F503" s="129"/>
      <c r="G503" s="129"/>
      <c r="H503" s="72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27" t="str">
        <f t="shared" si="1"/>
        <v/>
      </c>
      <c r="B504" s="128"/>
      <c r="C504" s="128"/>
      <c r="D504" s="129"/>
      <c r="E504" s="128"/>
      <c r="F504" s="129"/>
      <c r="G504" s="129"/>
      <c r="H504" s="72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27" t="str">
        <f t="shared" si="1"/>
        <v/>
      </c>
      <c r="B505" s="128"/>
      <c r="C505" s="128"/>
      <c r="D505" s="129"/>
      <c r="E505" s="128"/>
      <c r="F505" s="129"/>
      <c r="G505" s="129"/>
      <c r="H505" s="72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27" t="str">
        <f t="shared" si="1"/>
        <v/>
      </c>
      <c r="B506" s="128"/>
      <c r="C506" s="128"/>
      <c r="D506" s="129"/>
      <c r="E506" s="128"/>
      <c r="F506" s="129"/>
      <c r="G506" s="129"/>
      <c r="H506" s="72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27" t="str">
        <f t="shared" si="1"/>
        <v/>
      </c>
      <c r="B507" s="128"/>
      <c r="C507" s="128"/>
      <c r="D507" s="129"/>
      <c r="E507" s="128"/>
      <c r="F507" s="129"/>
      <c r="G507" s="129"/>
      <c r="H507" s="72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27" t="str">
        <f t="shared" si="1"/>
        <v/>
      </c>
      <c r="B508" s="128"/>
      <c r="C508" s="128"/>
      <c r="D508" s="129"/>
      <c r="E508" s="128"/>
      <c r="F508" s="129"/>
      <c r="G508" s="129"/>
      <c r="H508" s="72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27" t="str">
        <f t="shared" si="1"/>
        <v/>
      </c>
      <c r="B509" s="128"/>
      <c r="C509" s="128"/>
      <c r="D509" s="129"/>
      <c r="E509" s="128"/>
      <c r="F509" s="129"/>
      <c r="G509" s="129"/>
      <c r="H509" s="72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27" t="str">
        <f t="shared" si="1"/>
        <v/>
      </c>
      <c r="B510" s="128"/>
      <c r="C510" s="128"/>
      <c r="D510" s="129"/>
      <c r="E510" s="128"/>
      <c r="F510" s="129"/>
      <c r="G510" s="129"/>
      <c r="H510" s="72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27" t="str">
        <f t="shared" si="1"/>
        <v/>
      </c>
      <c r="B511" s="128"/>
      <c r="C511" s="128"/>
      <c r="D511" s="129"/>
      <c r="E511" s="128"/>
      <c r="F511" s="129"/>
      <c r="G511" s="129"/>
      <c r="H511" s="72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27" t="str">
        <f t="shared" si="1"/>
        <v/>
      </c>
      <c r="B512" s="128"/>
      <c r="C512" s="128"/>
      <c r="D512" s="129"/>
      <c r="E512" s="128"/>
      <c r="F512" s="129"/>
      <c r="G512" s="129"/>
      <c r="H512" s="72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27" t="str">
        <f t="shared" si="1"/>
        <v/>
      </c>
      <c r="B513" s="128"/>
      <c r="C513" s="128"/>
      <c r="D513" s="129"/>
      <c r="E513" s="128"/>
      <c r="F513" s="129"/>
      <c r="G513" s="129"/>
      <c r="H513" s="72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27" t="str">
        <f t="shared" si="1"/>
        <v/>
      </c>
      <c r="B514" s="128"/>
      <c r="C514" s="128"/>
      <c r="D514" s="129"/>
      <c r="E514" s="128"/>
      <c r="F514" s="129"/>
      <c r="G514" s="129"/>
      <c r="H514" s="72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27" t="str">
        <f t="shared" si="1"/>
        <v/>
      </c>
      <c r="B515" s="128"/>
      <c r="C515" s="128"/>
      <c r="D515" s="129"/>
      <c r="E515" s="128"/>
      <c r="F515" s="129"/>
      <c r="G515" s="129"/>
      <c r="H515" s="72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27" t="str">
        <f t="shared" si="1"/>
        <v/>
      </c>
      <c r="B516" s="128"/>
      <c r="C516" s="128"/>
      <c r="D516" s="129"/>
      <c r="E516" s="128"/>
      <c r="F516" s="129"/>
      <c r="G516" s="129"/>
      <c r="H516" s="72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27" t="str">
        <f t="shared" si="1"/>
        <v/>
      </c>
      <c r="B517" s="128"/>
      <c r="C517" s="128"/>
      <c r="D517" s="129"/>
      <c r="E517" s="128"/>
      <c r="F517" s="129"/>
      <c r="G517" s="129"/>
      <c r="H517" s="72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27" t="str">
        <f t="shared" si="1"/>
        <v/>
      </c>
      <c r="B518" s="128"/>
      <c r="C518" s="128"/>
      <c r="D518" s="129"/>
      <c r="E518" s="128"/>
      <c r="F518" s="129"/>
      <c r="G518" s="129"/>
      <c r="H518" s="72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27" t="str">
        <f t="shared" si="1"/>
        <v/>
      </c>
      <c r="B519" s="128"/>
      <c r="C519" s="128"/>
      <c r="D519" s="129"/>
      <c r="E519" s="128"/>
      <c r="F519" s="129"/>
      <c r="G519" s="129"/>
      <c r="H519" s="72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27" t="str">
        <f t="shared" si="1"/>
        <v/>
      </c>
      <c r="B520" s="128"/>
      <c r="C520" s="128"/>
      <c r="D520" s="129"/>
      <c r="E520" s="128"/>
      <c r="F520" s="129"/>
      <c r="G520" s="129"/>
      <c r="H520" s="72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27" t="str">
        <f t="shared" si="1"/>
        <v/>
      </c>
      <c r="B521" s="128"/>
      <c r="C521" s="128"/>
      <c r="D521" s="129"/>
      <c r="E521" s="128"/>
      <c r="F521" s="129"/>
      <c r="G521" s="129"/>
      <c r="H521" s="72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27" t="str">
        <f t="shared" si="1"/>
        <v/>
      </c>
      <c r="B522" s="128"/>
      <c r="C522" s="128"/>
      <c r="D522" s="129"/>
      <c r="E522" s="128"/>
      <c r="F522" s="129"/>
      <c r="G522" s="129"/>
      <c r="H522" s="72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27" t="str">
        <f t="shared" si="1"/>
        <v/>
      </c>
      <c r="B523" s="128"/>
      <c r="C523" s="128"/>
      <c r="D523" s="129"/>
      <c r="E523" s="128"/>
      <c r="F523" s="129"/>
      <c r="G523" s="129"/>
      <c r="H523" s="72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27" t="str">
        <f t="shared" si="1"/>
        <v/>
      </c>
      <c r="B524" s="128"/>
      <c r="C524" s="128"/>
      <c r="D524" s="129"/>
      <c r="E524" s="128"/>
      <c r="F524" s="129"/>
      <c r="G524" s="129"/>
      <c r="H524" s="72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27" t="str">
        <f t="shared" si="1"/>
        <v/>
      </c>
      <c r="B525" s="128"/>
      <c r="C525" s="128"/>
      <c r="D525" s="129"/>
      <c r="E525" s="128"/>
      <c r="F525" s="129"/>
      <c r="G525" s="129"/>
      <c r="H525" s="72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27" t="str">
        <f t="shared" si="1"/>
        <v/>
      </c>
      <c r="B526" s="128"/>
      <c r="C526" s="128"/>
      <c r="D526" s="129"/>
      <c r="E526" s="128"/>
      <c r="F526" s="129"/>
      <c r="G526" s="129"/>
      <c r="H526" s="72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27" t="str">
        <f t="shared" si="1"/>
        <v/>
      </c>
      <c r="B527" s="128"/>
      <c r="C527" s="128"/>
      <c r="D527" s="129"/>
      <c r="E527" s="128"/>
      <c r="F527" s="129"/>
      <c r="G527" s="129"/>
      <c r="H527" s="72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27" t="str">
        <f t="shared" si="1"/>
        <v/>
      </c>
      <c r="B528" s="128"/>
      <c r="C528" s="128"/>
      <c r="D528" s="129"/>
      <c r="E528" s="128"/>
      <c r="F528" s="129"/>
      <c r="G528" s="129"/>
      <c r="H528" s="72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27" t="str">
        <f t="shared" si="1"/>
        <v/>
      </c>
      <c r="B529" s="128"/>
      <c r="C529" s="128"/>
      <c r="D529" s="129"/>
      <c r="E529" s="128"/>
      <c r="F529" s="129"/>
      <c r="G529" s="129"/>
      <c r="H529" s="72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27" t="str">
        <f t="shared" si="1"/>
        <v/>
      </c>
      <c r="B530" s="128"/>
      <c r="C530" s="128"/>
      <c r="D530" s="129"/>
      <c r="E530" s="128"/>
      <c r="F530" s="129"/>
      <c r="G530" s="129"/>
      <c r="H530" s="72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27" t="str">
        <f t="shared" si="1"/>
        <v/>
      </c>
      <c r="B531" s="128"/>
      <c r="C531" s="128"/>
      <c r="D531" s="129"/>
      <c r="E531" s="128"/>
      <c r="F531" s="129"/>
      <c r="G531" s="129"/>
      <c r="H531" s="72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27" t="str">
        <f t="shared" si="1"/>
        <v/>
      </c>
      <c r="B532" s="128"/>
      <c r="C532" s="128"/>
      <c r="D532" s="129"/>
      <c r="E532" s="128"/>
      <c r="F532" s="129"/>
      <c r="G532" s="129"/>
      <c r="H532" s="72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27" t="str">
        <f t="shared" si="1"/>
        <v/>
      </c>
      <c r="B533" s="128"/>
      <c r="C533" s="128"/>
      <c r="D533" s="129"/>
      <c r="E533" s="128"/>
      <c r="F533" s="129"/>
      <c r="G533" s="129"/>
      <c r="H533" s="7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27" t="str">
        <f t="shared" si="1"/>
        <v/>
      </c>
      <c r="B534" s="128"/>
      <c r="C534" s="128"/>
      <c r="D534" s="129"/>
      <c r="E534" s="128"/>
      <c r="F534" s="129"/>
      <c r="G534" s="129"/>
      <c r="H534" s="72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27" t="str">
        <f t="shared" si="1"/>
        <v/>
      </c>
      <c r="B535" s="128"/>
      <c r="C535" s="128"/>
      <c r="D535" s="129"/>
      <c r="E535" s="128"/>
      <c r="F535" s="129"/>
      <c r="G535" s="129"/>
      <c r="H535" s="72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27" t="str">
        <f t="shared" si="1"/>
        <v/>
      </c>
      <c r="B536" s="128"/>
      <c r="C536" s="128"/>
      <c r="D536" s="129"/>
      <c r="E536" s="128"/>
      <c r="F536" s="129"/>
      <c r="G536" s="129"/>
      <c r="H536" s="72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27" t="str">
        <f t="shared" si="1"/>
        <v/>
      </c>
      <c r="B537" s="128"/>
      <c r="C537" s="128"/>
      <c r="D537" s="129"/>
      <c r="E537" s="128"/>
      <c r="F537" s="129"/>
      <c r="G537" s="129"/>
      <c r="H537" s="72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27" t="str">
        <f t="shared" si="1"/>
        <v/>
      </c>
      <c r="B538" s="128"/>
      <c r="C538" s="128"/>
      <c r="D538" s="129"/>
      <c r="E538" s="128"/>
      <c r="F538" s="129"/>
      <c r="G538" s="129"/>
      <c r="H538" s="72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27" t="str">
        <f t="shared" si="1"/>
        <v/>
      </c>
      <c r="B539" s="128"/>
      <c r="C539" s="128"/>
      <c r="D539" s="129"/>
      <c r="E539" s="128"/>
      <c r="F539" s="129"/>
      <c r="G539" s="129"/>
      <c r="H539" s="72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27" t="str">
        <f t="shared" si="1"/>
        <v/>
      </c>
      <c r="B540" s="128"/>
      <c r="C540" s="128"/>
      <c r="D540" s="129"/>
      <c r="E540" s="128"/>
      <c r="F540" s="129"/>
      <c r="G540" s="129"/>
      <c r="H540" s="72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27" t="str">
        <f t="shared" si="1"/>
        <v/>
      </c>
      <c r="B541" s="128"/>
      <c r="C541" s="128"/>
      <c r="D541" s="129"/>
      <c r="E541" s="128"/>
      <c r="F541" s="129"/>
      <c r="G541" s="129"/>
      <c r="H541" s="72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27" t="str">
        <f t="shared" si="1"/>
        <v/>
      </c>
      <c r="B542" s="128"/>
      <c r="C542" s="128"/>
      <c r="D542" s="129"/>
      <c r="E542" s="128"/>
      <c r="F542" s="129"/>
      <c r="G542" s="129"/>
      <c r="H542" s="72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27" t="str">
        <f t="shared" si="1"/>
        <v/>
      </c>
      <c r="B543" s="128"/>
      <c r="C543" s="128"/>
      <c r="D543" s="129"/>
      <c r="E543" s="128"/>
      <c r="F543" s="129"/>
      <c r="G543" s="129"/>
      <c r="H543" s="72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27" t="str">
        <f t="shared" si="1"/>
        <v/>
      </c>
      <c r="B544" s="128"/>
      <c r="C544" s="128"/>
      <c r="D544" s="129"/>
      <c r="E544" s="128"/>
      <c r="F544" s="129"/>
      <c r="G544" s="129"/>
      <c r="H544" s="72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27" t="str">
        <f t="shared" si="1"/>
        <v/>
      </c>
      <c r="B545" s="128"/>
      <c r="C545" s="128"/>
      <c r="D545" s="129"/>
      <c r="E545" s="128"/>
      <c r="F545" s="129"/>
      <c r="G545" s="129"/>
      <c r="H545" s="72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27" t="str">
        <f t="shared" si="1"/>
        <v/>
      </c>
      <c r="B546" s="128"/>
      <c r="C546" s="128"/>
      <c r="D546" s="129"/>
      <c r="E546" s="128"/>
      <c r="F546" s="129"/>
      <c r="G546" s="129"/>
      <c r="H546" s="72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27" t="str">
        <f t="shared" si="1"/>
        <v/>
      </c>
      <c r="B547" s="128"/>
      <c r="C547" s="128"/>
      <c r="D547" s="129"/>
      <c r="E547" s="128"/>
      <c r="F547" s="129"/>
      <c r="G547" s="129"/>
      <c r="H547" s="72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27" t="str">
        <f t="shared" si="1"/>
        <v/>
      </c>
      <c r="B548" s="128"/>
      <c r="C548" s="128"/>
      <c r="D548" s="129"/>
      <c r="E548" s="128"/>
      <c r="F548" s="129"/>
      <c r="G548" s="129"/>
      <c r="H548" s="72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27" t="str">
        <f t="shared" si="1"/>
        <v/>
      </c>
      <c r="B549" s="128"/>
      <c r="C549" s="128"/>
      <c r="D549" s="129"/>
      <c r="E549" s="128"/>
      <c r="F549" s="129"/>
      <c r="G549" s="129"/>
      <c r="H549" s="72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27" t="str">
        <f t="shared" si="1"/>
        <v/>
      </c>
      <c r="B550" s="128"/>
      <c r="C550" s="128"/>
      <c r="D550" s="129"/>
      <c r="E550" s="128"/>
      <c r="F550" s="129"/>
      <c r="G550" s="129"/>
      <c r="H550" s="72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27" t="str">
        <f t="shared" si="1"/>
        <v/>
      </c>
      <c r="B551" s="128"/>
      <c r="C551" s="128"/>
      <c r="D551" s="129"/>
      <c r="E551" s="128"/>
      <c r="F551" s="129"/>
      <c r="G551" s="129"/>
      <c r="H551" s="72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27" t="str">
        <f t="shared" si="1"/>
        <v/>
      </c>
      <c r="B552" s="128"/>
      <c r="C552" s="128"/>
      <c r="D552" s="129"/>
      <c r="E552" s="128"/>
      <c r="F552" s="129"/>
      <c r="G552" s="129"/>
      <c r="H552" s="72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27" t="str">
        <f t="shared" si="1"/>
        <v/>
      </c>
      <c r="B553" s="128"/>
      <c r="C553" s="128"/>
      <c r="D553" s="129"/>
      <c r="E553" s="128"/>
      <c r="F553" s="129"/>
      <c r="G553" s="129"/>
      <c r="H553" s="72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27" t="str">
        <f t="shared" si="1"/>
        <v/>
      </c>
      <c r="B554" s="128"/>
      <c r="C554" s="128"/>
      <c r="D554" s="129"/>
      <c r="E554" s="128"/>
      <c r="F554" s="129"/>
      <c r="G554" s="129"/>
      <c r="H554" s="72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27" t="str">
        <f t="shared" si="1"/>
        <v/>
      </c>
      <c r="B555" s="128"/>
      <c r="C555" s="128"/>
      <c r="D555" s="129"/>
      <c r="E555" s="128"/>
      <c r="F555" s="129"/>
      <c r="G555" s="129"/>
      <c r="H555" s="72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27" t="str">
        <f t="shared" si="1"/>
        <v/>
      </c>
      <c r="B556" s="128"/>
      <c r="C556" s="128"/>
      <c r="D556" s="129"/>
      <c r="E556" s="128"/>
      <c r="F556" s="129"/>
      <c r="G556" s="129"/>
      <c r="H556" s="72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27" t="str">
        <f t="shared" si="1"/>
        <v/>
      </c>
      <c r="B557" s="128"/>
      <c r="C557" s="128"/>
      <c r="D557" s="129"/>
      <c r="E557" s="128"/>
      <c r="F557" s="129"/>
      <c r="G557" s="129"/>
      <c r="H557" s="72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27" t="str">
        <f t="shared" si="1"/>
        <v/>
      </c>
      <c r="B558" s="128"/>
      <c r="C558" s="128"/>
      <c r="D558" s="129"/>
      <c r="E558" s="128"/>
      <c r="F558" s="129"/>
      <c r="G558" s="129"/>
      <c r="H558" s="72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27" t="str">
        <f t="shared" si="1"/>
        <v/>
      </c>
      <c r="B559" s="128"/>
      <c r="C559" s="128"/>
      <c r="D559" s="129"/>
      <c r="E559" s="128"/>
      <c r="F559" s="129"/>
      <c r="G559" s="129"/>
      <c r="H559" s="72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27" t="str">
        <f t="shared" si="1"/>
        <v/>
      </c>
      <c r="B560" s="128"/>
      <c r="C560" s="128"/>
      <c r="D560" s="129"/>
      <c r="E560" s="128"/>
      <c r="F560" s="129"/>
      <c r="G560" s="129"/>
      <c r="H560" s="72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27" t="str">
        <f t="shared" si="1"/>
        <v/>
      </c>
      <c r="B561" s="128"/>
      <c r="C561" s="128"/>
      <c r="D561" s="129"/>
      <c r="E561" s="128"/>
      <c r="F561" s="129"/>
      <c r="G561" s="129"/>
      <c r="H561" s="72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27" t="str">
        <f t="shared" si="1"/>
        <v/>
      </c>
      <c r="B562" s="128"/>
      <c r="C562" s="128"/>
      <c r="D562" s="129"/>
      <c r="E562" s="128"/>
      <c r="F562" s="129"/>
      <c r="G562" s="129"/>
      <c r="H562" s="7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27" t="str">
        <f t="shared" si="1"/>
        <v/>
      </c>
      <c r="B563" s="128"/>
      <c r="C563" s="128"/>
      <c r="D563" s="129"/>
      <c r="E563" s="128"/>
      <c r="F563" s="129"/>
      <c r="G563" s="129"/>
      <c r="H563" s="72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27" t="str">
        <f t="shared" si="1"/>
        <v/>
      </c>
      <c r="B564" s="128"/>
      <c r="C564" s="128"/>
      <c r="D564" s="129"/>
      <c r="E564" s="128"/>
      <c r="F564" s="129"/>
      <c r="G564" s="129"/>
      <c r="H564" s="7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27" t="str">
        <f t="shared" si="1"/>
        <v/>
      </c>
      <c r="B565" s="128"/>
      <c r="C565" s="128"/>
      <c r="D565" s="129"/>
      <c r="E565" s="128"/>
      <c r="F565" s="129"/>
      <c r="G565" s="129"/>
      <c r="H565" s="7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27" t="str">
        <f t="shared" si="1"/>
        <v/>
      </c>
      <c r="B566" s="128"/>
      <c r="C566" s="128"/>
      <c r="D566" s="129"/>
      <c r="E566" s="128"/>
      <c r="F566" s="129"/>
      <c r="G566" s="129"/>
      <c r="H566" s="7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27" t="str">
        <f t="shared" si="1"/>
        <v/>
      </c>
      <c r="B567" s="128"/>
      <c r="C567" s="128"/>
      <c r="D567" s="129"/>
      <c r="E567" s="128"/>
      <c r="F567" s="129"/>
      <c r="G567" s="129"/>
      <c r="H567" s="7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27" t="str">
        <f t="shared" si="1"/>
        <v/>
      </c>
      <c r="B568" s="128"/>
      <c r="C568" s="128"/>
      <c r="D568" s="129"/>
      <c r="E568" s="128"/>
      <c r="F568" s="129"/>
      <c r="G568" s="129"/>
      <c r="H568" s="72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27" t="str">
        <f t="shared" si="1"/>
        <v/>
      </c>
      <c r="B569" s="128"/>
      <c r="C569" s="128"/>
      <c r="D569" s="129"/>
      <c r="E569" s="128"/>
      <c r="F569" s="129"/>
      <c r="G569" s="129"/>
      <c r="H569" s="72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27" t="str">
        <f t="shared" si="1"/>
        <v/>
      </c>
      <c r="B570" s="128"/>
      <c r="C570" s="128"/>
      <c r="D570" s="129"/>
      <c r="E570" s="128"/>
      <c r="F570" s="129"/>
      <c r="G570" s="129"/>
      <c r="H570" s="72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27" t="str">
        <f t="shared" si="1"/>
        <v/>
      </c>
      <c r="B571" s="128"/>
      <c r="C571" s="128"/>
      <c r="D571" s="129"/>
      <c r="E571" s="128"/>
      <c r="F571" s="129"/>
      <c r="G571" s="129"/>
      <c r="H571" s="72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27" t="str">
        <f t="shared" si="1"/>
        <v/>
      </c>
      <c r="B572" s="128"/>
      <c r="C572" s="128"/>
      <c r="D572" s="129"/>
      <c r="E572" s="128"/>
      <c r="F572" s="129"/>
      <c r="G572" s="129"/>
      <c r="H572" s="72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27" t="str">
        <f t="shared" si="1"/>
        <v/>
      </c>
      <c r="B573" s="128"/>
      <c r="C573" s="128"/>
      <c r="D573" s="129"/>
      <c r="E573" s="128"/>
      <c r="F573" s="129"/>
      <c r="G573" s="129"/>
      <c r="H573" s="72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27" t="str">
        <f t="shared" si="1"/>
        <v/>
      </c>
      <c r="B574" s="128"/>
      <c r="C574" s="128"/>
      <c r="D574" s="129"/>
      <c r="E574" s="128"/>
      <c r="F574" s="129"/>
      <c r="G574" s="129"/>
      <c r="H574" s="72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27" t="str">
        <f t="shared" si="1"/>
        <v/>
      </c>
      <c r="B575" s="128"/>
      <c r="C575" s="128"/>
      <c r="D575" s="129"/>
      <c r="E575" s="128"/>
      <c r="F575" s="129"/>
      <c r="G575" s="129"/>
      <c r="H575" s="72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27" t="str">
        <f t="shared" si="1"/>
        <v/>
      </c>
      <c r="B576" s="128"/>
      <c r="C576" s="128"/>
      <c r="D576" s="129"/>
      <c r="E576" s="128"/>
      <c r="F576" s="129"/>
      <c r="G576" s="129"/>
      <c r="H576" s="72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27" t="str">
        <f t="shared" si="1"/>
        <v/>
      </c>
      <c r="B577" s="128"/>
      <c r="C577" s="128"/>
      <c r="D577" s="129"/>
      <c r="E577" s="128"/>
      <c r="F577" s="129"/>
      <c r="G577" s="129"/>
      <c r="H577" s="72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27" t="str">
        <f t="shared" si="1"/>
        <v/>
      </c>
      <c r="B578" s="128"/>
      <c r="C578" s="128"/>
      <c r="D578" s="129"/>
      <c r="E578" s="128"/>
      <c r="F578" s="129"/>
      <c r="G578" s="129"/>
      <c r="H578" s="72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27" t="str">
        <f t="shared" si="1"/>
        <v/>
      </c>
      <c r="B579" s="128"/>
      <c r="C579" s="128"/>
      <c r="D579" s="129"/>
      <c r="E579" s="128"/>
      <c r="F579" s="129"/>
      <c r="G579" s="129"/>
      <c r="H579" s="72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27" t="str">
        <f t="shared" si="1"/>
        <v/>
      </c>
      <c r="B580" s="128"/>
      <c r="C580" s="128"/>
      <c r="D580" s="129"/>
      <c r="E580" s="128"/>
      <c r="F580" s="129"/>
      <c r="G580" s="129"/>
      <c r="H580" s="72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27" t="str">
        <f t="shared" si="1"/>
        <v/>
      </c>
      <c r="B581" s="128"/>
      <c r="C581" s="128"/>
      <c r="D581" s="129"/>
      <c r="E581" s="128"/>
      <c r="F581" s="129"/>
      <c r="G581" s="129"/>
      <c r="H581" s="72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27" t="str">
        <f t="shared" si="1"/>
        <v/>
      </c>
      <c r="B582" s="128"/>
      <c r="C582" s="128"/>
      <c r="D582" s="129"/>
      <c r="E582" s="128"/>
      <c r="F582" s="129"/>
      <c r="G582" s="129"/>
      <c r="H582" s="72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27" t="str">
        <f t="shared" si="1"/>
        <v/>
      </c>
      <c r="B583" s="128"/>
      <c r="C583" s="128"/>
      <c r="D583" s="129"/>
      <c r="E583" s="128"/>
      <c r="F583" s="129"/>
      <c r="G583" s="129"/>
      <c r="H583" s="72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27" t="str">
        <f t="shared" si="1"/>
        <v/>
      </c>
      <c r="B584" s="128"/>
      <c r="C584" s="128"/>
      <c r="D584" s="129"/>
      <c r="E584" s="128"/>
      <c r="F584" s="129"/>
      <c r="G584" s="129"/>
      <c r="H584" s="72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27" t="str">
        <f t="shared" si="1"/>
        <v/>
      </c>
      <c r="B585" s="128"/>
      <c r="C585" s="128"/>
      <c r="D585" s="129"/>
      <c r="E585" s="128"/>
      <c r="F585" s="129"/>
      <c r="G585" s="129"/>
      <c r="H585" s="72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27" t="str">
        <f t="shared" si="1"/>
        <v/>
      </c>
      <c r="B586" s="128"/>
      <c r="C586" s="128"/>
      <c r="D586" s="129"/>
      <c r="E586" s="128"/>
      <c r="F586" s="129"/>
      <c r="G586" s="129"/>
      <c r="H586" s="72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27" t="str">
        <f t="shared" si="1"/>
        <v/>
      </c>
      <c r="B587" s="128"/>
      <c r="C587" s="128"/>
      <c r="D587" s="129"/>
      <c r="E587" s="128"/>
      <c r="F587" s="129"/>
      <c r="G587" s="129"/>
      <c r="H587" s="72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27" t="str">
        <f t="shared" si="1"/>
        <v/>
      </c>
      <c r="B588" s="128"/>
      <c r="C588" s="128"/>
      <c r="D588" s="129"/>
      <c r="E588" s="128"/>
      <c r="F588" s="129"/>
      <c r="G588" s="129"/>
      <c r="H588" s="72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27" t="str">
        <f t="shared" si="1"/>
        <v/>
      </c>
      <c r="B589" s="128"/>
      <c r="C589" s="128"/>
      <c r="D589" s="129"/>
      <c r="E589" s="128"/>
      <c r="F589" s="129"/>
      <c r="G589" s="129"/>
      <c r="H589" s="72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27" t="str">
        <f t="shared" si="1"/>
        <v/>
      </c>
      <c r="B590" s="128"/>
      <c r="C590" s="128"/>
      <c r="D590" s="129"/>
      <c r="E590" s="128"/>
      <c r="F590" s="129"/>
      <c r="G590" s="129"/>
      <c r="H590" s="72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27" t="str">
        <f t="shared" si="1"/>
        <v/>
      </c>
      <c r="B591" s="128"/>
      <c r="C591" s="128"/>
      <c r="D591" s="129"/>
      <c r="E591" s="128"/>
      <c r="F591" s="129"/>
      <c r="G591" s="129"/>
      <c r="H591" s="72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27" t="str">
        <f t="shared" si="1"/>
        <v/>
      </c>
      <c r="B592" s="128"/>
      <c r="C592" s="128"/>
      <c r="D592" s="129"/>
      <c r="E592" s="128"/>
      <c r="F592" s="129"/>
      <c r="G592" s="129"/>
      <c r="H592" s="72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27" t="str">
        <f t="shared" si="1"/>
        <v/>
      </c>
      <c r="B593" s="128"/>
      <c r="C593" s="128"/>
      <c r="D593" s="129"/>
      <c r="E593" s="128"/>
      <c r="F593" s="129"/>
      <c r="G593" s="129"/>
      <c r="H593" s="7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27" t="str">
        <f t="shared" si="1"/>
        <v/>
      </c>
      <c r="B594" s="128"/>
      <c r="C594" s="128"/>
      <c r="D594" s="129"/>
      <c r="E594" s="128"/>
      <c r="F594" s="129"/>
      <c r="G594" s="129"/>
      <c r="H594" s="72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27" t="str">
        <f t="shared" si="1"/>
        <v/>
      </c>
      <c r="B595" s="128"/>
      <c r="C595" s="128"/>
      <c r="D595" s="129"/>
      <c r="E595" s="128"/>
      <c r="F595" s="129"/>
      <c r="G595" s="129"/>
      <c r="H595" s="7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27" t="str">
        <f t="shared" si="1"/>
        <v/>
      </c>
      <c r="B596" s="128"/>
      <c r="C596" s="128"/>
      <c r="D596" s="129"/>
      <c r="E596" s="128"/>
      <c r="F596" s="129"/>
      <c r="G596" s="129"/>
      <c r="H596" s="7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27" t="str">
        <f t="shared" si="1"/>
        <v/>
      </c>
      <c r="B597" s="128"/>
      <c r="C597" s="128"/>
      <c r="D597" s="129"/>
      <c r="E597" s="128"/>
      <c r="F597" s="129"/>
      <c r="G597" s="129"/>
      <c r="H597" s="7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27" t="str">
        <f t="shared" si="1"/>
        <v/>
      </c>
      <c r="B598" s="128"/>
      <c r="C598" s="128"/>
      <c r="D598" s="129"/>
      <c r="E598" s="128"/>
      <c r="F598" s="129"/>
      <c r="G598" s="129"/>
      <c r="H598" s="7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27" t="str">
        <f t="shared" si="1"/>
        <v/>
      </c>
      <c r="B599" s="128"/>
      <c r="C599" s="128"/>
      <c r="D599" s="129"/>
      <c r="E599" s="128"/>
      <c r="F599" s="129"/>
      <c r="G599" s="129"/>
      <c r="H599" s="72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27" t="str">
        <f t="shared" si="1"/>
        <v/>
      </c>
      <c r="B600" s="128"/>
      <c r="C600" s="128"/>
      <c r="D600" s="129"/>
      <c r="E600" s="128"/>
      <c r="F600" s="129"/>
      <c r="G600" s="129"/>
      <c r="H600" s="72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27" t="str">
        <f t="shared" si="1"/>
        <v/>
      </c>
      <c r="B601" s="128"/>
      <c r="C601" s="128"/>
      <c r="D601" s="129"/>
      <c r="E601" s="128"/>
      <c r="F601" s="129"/>
      <c r="G601" s="129"/>
      <c r="H601" s="72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27" t="str">
        <f t="shared" si="1"/>
        <v/>
      </c>
      <c r="B602" s="128"/>
      <c r="C602" s="128"/>
      <c r="D602" s="129"/>
      <c r="E602" s="128"/>
      <c r="F602" s="129"/>
      <c r="G602" s="129"/>
      <c r="H602" s="72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27" t="str">
        <f t="shared" si="1"/>
        <v/>
      </c>
      <c r="B603" s="128"/>
      <c r="C603" s="128"/>
      <c r="D603" s="129"/>
      <c r="E603" s="128"/>
      <c r="F603" s="129"/>
      <c r="G603" s="129"/>
      <c r="H603" s="72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27" t="str">
        <f t="shared" si="1"/>
        <v/>
      </c>
      <c r="B604" s="128"/>
      <c r="C604" s="128"/>
      <c r="D604" s="129"/>
      <c r="E604" s="128"/>
      <c r="F604" s="129"/>
      <c r="G604" s="129"/>
      <c r="H604" s="72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27" t="str">
        <f t="shared" si="1"/>
        <v/>
      </c>
      <c r="B605" s="128"/>
      <c r="C605" s="128"/>
      <c r="D605" s="129"/>
      <c r="E605" s="128"/>
      <c r="F605" s="129"/>
      <c r="G605" s="129"/>
      <c r="H605" s="72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27" t="str">
        <f t="shared" si="1"/>
        <v/>
      </c>
      <c r="B606" s="128"/>
      <c r="C606" s="128"/>
      <c r="D606" s="129"/>
      <c r="E606" s="128"/>
      <c r="F606" s="129"/>
      <c r="G606" s="129"/>
      <c r="H606" s="72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27" t="str">
        <f t="shared" si="1"/>
        <v/>
      </c>
      <c r="B607" s="128"/>
      <c r="C607" s="128"/>
      <c r="D607" s="129"/>
      <c r="E607" s="128"/>
      <c r="F607" s="129"/>
      <c r="G607" s="129"/>
      <c r="H607" s="72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27" t="str">
        <f t="shared" si="1"/>
        <v/>
      </c>
      <c r="B608" s="128"/>
      <c r="C608" s="128"/>
      <c r="D608" s="129"/>
      <c r="E608" s="128"/>
      <c r="F608" s="129"/>
      <c r="G608" s="129"/>
      <c r="H608" s="72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27" t="str">
        <f t="shared" si="1"/>
        <v/>
      </c>
      <c r="B609" s="128"/>
      <c r="C609" s="128"/>
      <c r="D609" s="129"/>
      <c r="E609" s="128"/>
      <c r="F609" s="129"/>
      <c r="G609" s="129"/>
      <c r="H609" s="72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27" t="str">
        <f t="shared" si="1"/>
        <v/>
      </c>
      <c r="B610" s="128"/>
      <c r="C610" s="128"/>
      <c r="D610" s="129"/>
      <c r="E610" s="128"/>
      <c r="F610" s="129"/>
      <c r="G610" s="129"/>
      <c r="H610" s="72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27" t="str">
        <f t="shared" si="1"/>
        <v/>
      </c>
      <c r="B611" s="128"/>
      <c r="C611" s="128"/>
      <c r="D611" s="129"/>
      <c r="E611" s="128"/>
      <c r="F611" s="129"/>
      <c r="G611" s="129"/>
      <c r="H611" s="72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27" t="str">
        <f t="shared" si="1"/>
        <v/>
      </c>
      <c r="B612" s="128"/>
      <c r="C612" s="128"/>
      <c r="D612" s="129"/>
      <c r="E612" s="128"/>
      <c r="F612" s="129"/>
      <c r="G612" s="129"/>
      <c r="H612" s="72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27" t="str">
        <f t="shared" si="1"/>
        <v/>
      </c>
      <c r="B613" s="128"/>
      <c r="C613" s="128"/>
      <c r="D613" s="129"/>
      <c r="E613" s="128"/>
      <c r="F613" s="129"/>
      <c r="G613" s="129"/>
      <c r="H613" s="72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27" t="str">
        <f t="shared" si="1"/>
        <v/>
      </c>
      <c r="B614" s="128"/>
      <c r="C614" s="128"/>
      <c r="D614" s="129"/>
      <c r="E614" s="128"/>
      <c r="F614" s="129"/>
      <c r="G614" s="129"/>
      <c r="H614" s="72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27" t="str">
        <f t="shared" si="1"/>
        <v/>
      </c>
      <c r="B615" s="128"/>
      <c r="C615" s="128"/>
      <c r="D615" s="129"/>
      <c r="E615" s="128"/>
      <c r="F615" s="129"/>
      <c r="G615" s="129"/>
      <c r="H615" s="72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27" t="str">
        <f t="shared" si="1"/>
        <v/>
      </c>
      <c r="B616" s="128"/>
      <c r="C616" s="128"/>
      <c r="D616" s="129"/>
      <c r="E616" s="128"/>
      <c r="F616" s="129"/>
      <c r="G616" s="129"/>
      <c r="H616" s="72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27" t="str">
        <f t="shared" si="1"/>
        <v/>
      </c>
      <c r="B617" s="128"/>
      <c r="C617" s="128"/>
      <c r="D617" s="129"/>
      <c r="E617" s="128"/>
      <c r="F617" s="129"/>
      <c r="G617" s="129"/>
      <c r="H617" s="72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27" t="str">
        <f t="shared" si="1"/>
        <v/>
      </c>
      <c r="B618" s="128"/>
      <c r="C618" s="128"/>
      <c r="D618" s="129"/>
      <c r="E618" s="128"/>
      <c r="F618" s="129"/>
      <c r="G618" s="129"/>
      <c r="H618" s="72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27" t="str">
        <f t="shared" si="1"/>
        <v/>
      </c>
      <c r="B619" s="128"/>
      <c r="C619" s="128"/>
      <c r="D619" s="129"/>
      <c r="E619" s="128"/>
      <c r="F619" s="129"/>
      <c r="G619" s="129"/>
      <c r="H619" s="72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27" t="str">
        <f t="shared" si="1"/>
        <v/>
      </c>
      <c r="B620" s="128"/>
      <c r="C620" s="128"/>
      <c r="D620" s="129"/>
      <c r="E620" s="128"/>
      <c r="F620" s="129"/>
      <c r="G620" s="129"/>
      <c r="H620" s="72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27" t="str">
        <f t="shared" si="1"/>
        <v/>
      </c>
      <c r="B621" s="128"/>
      <c r="C621" s="128"/>
      <c r="D621" s="129"/>
      <c r="E621" s="128"/>
      <c r="F621" s="129"/>
      <c r="G621" s="129"/>
      <c r="H621" s="72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27" t="str">
        <f t="shared" si="1"/>
        <v/>
      </c>
      <c r="B622" s="128"/>
      <c r="C622" s="128"/>
      <c r="D622" s="129"/>
      <c r="E622" s="128"/>
      <c r="F622" s="129"/>
      <c r="G622" s="129"/>
      <c r="H622" s="72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27" t="str">
        <f t="shared" si="1"/>
        <v/>
      </c>
      <c r="B623" s="128"/>
      <c r="C623" s="128"/>
      <c r="D623" s="129"/>
      <c r="E623" s="128"/>
      <c r="F623" s="129"/>
      <c r="G623" s="129"/>
      <c r="H623" s="72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27" t="str">
        <f t="shared" si="1"/>
        <v/>
      </c>
      <c r="B624" s="128"/>
      <c r="C624" s="128"/>
      <c r="D624" s="129"/>
      <c r="E624" s="128"/>
      <c r="F624" s="129"/>
      <c r="G624" s="129"/>
      <c r="H624" s="7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27" t="str">
        <f t="shared" si="1"/>
        <v/>
      </c>
      <c r="B625" s="128"/>
      <c r="C625" s="128"/>
      <c r="D625" s="129"/>
      <c r="E625" s="128"/>
      <c r="F625" s="129"/>
      <c r="G625" s="129"/>
      <c r="H625" s="72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27" t="str">
        <f t="shared" si="1"/>
        <v/>
      </c>
      <c r="B626" s="128"/>
      <c r="C626" s="128"/>
      <c r="D626" s="129"/>
      <c r="E626" s="128"/>
      <c r="F626" s="129"/>
      <c r="G626" s="129"/>
      <c r="H626" s="7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27" t="str">
        <f t="shared" si="1"/>
        <v/>
      </c>
      <c r="B627" s="128"/>
      <c r="C627" s="128"/>
      <c r="D627" s="129"/>
      <c r="E627" s="128"/>
      <c r="F627" s="129"/>
      <c r="G627" s="129"/>
      <c r="H627" s="7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27" t="str">
        <f t="shared" si="1"/>
        <v/>
      </c>
      <c r="B628" s="128"/>
      <c r="C628" s="128"/>
      <c r="D628" s="129"/>
      <c r="E628" s="128"/>
      <c r="F628" s="129"/>
      <c r="G628" s="129"/>
      <c r="H628" s="7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27" t="str">
        <f t="shared" si="1"/>
        <v/>
      </c>
      <c r="B629" s="128"/>
      <c r="C629" s="128"/>
      <c r="D629" s="129"/>
      <c r="E629" s="128"/>
      <c r="F629" s="129"/>
      <c r="G629" s="129"/>
      <c r="H629" s="7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27" t="str">
        <f t="shared" si="1"/>
        <v/>
      </c>
      <c r="B630" s="128"/>
      <c r="C630" s="128"/>
      <c r="D630" s="129"/>
      <c r="E630" s="128"/>
      <c r="F630" s="129"/>
      <c r="G630" s="129"/>
      <c r="H630" s="72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27" t="str">
        <f t="shared" si="1"/>
        <v/>
      </c>
      <c r="B631" s="128"/>
      <c r="C631" s="128"/>
      <c r="D631" s="129"/>
      <c r="E631" s="128"/>
      <c r="F631" s="129"/>
      <c r="G631" s="129"/>
      <c r="H631" s="72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27" t="str">
        <f t="shared" si="1"/>
        <v/>
      </c>
      <c r="B632" s="128"/>
      <c r="C632" s="128"/>
      <c r="D632" s="129"/>
      <c r="E632" s="128"/>
      <c r="F632" s="129"/>
      <c r="G632" s="129"/>
      <c r="H632" s="72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27" t="str">
        <f t="shared" si="1"/>
        <v/>
      </c>
      <c r="B633" s="128"/>
      <c r="C633" s="128"/>
      <c r="D633" s="129"/>
      <c r="E633" s="128"/>
      <c r="F633" s="129"/>
      <c r="G633" s="129"/>
      <c r="H633" s="72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27" t="str">
        <f t="shared" si="1"/>
        <v/>
      </c>
      <c r="B634" s="128"/>
      <c r="C634" s="128"/>
      <c r="D634" s="129"/>
      <c r="E634" s="128"/>
      <c r="F634" s="129"/>
      <c r="G634" s="129"/>
      <c r="H634" s="72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27" t="str">
        <f t="shared" si="1"/>
        <v/>
      </c>
      <c r="B635" s="128"/>
      <c r="C635" s="128"/>
      <c r="D635" s="129"/>
      <c r="E635" s="128"/>
      <c r="F635" s="129"/>
      <c r="G635" s="129"/>
      <c r="H635" s="72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27" t="str">
        <f t="shared" si="1"/>
        <v/>
      </c>
      <c r="B636" s="128"/>
      <c r="C636" s="128"/>
      <c r="D636" s="129"/>
      <c r="E636" s="128"/>
      <c r="F636" s="129"/>
      <c r="G636" s="129"/>
      <c r="H636" s="72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27" t="str">
        <f t="shared" si="1"/>
        <v/>
      </c>
      <c r="B637" s="128"/>
      <c r="C637" s="128"/>
      <c r="D637" s="129"/>
      <c r="E637" s="128"/>
      <c r="F637" s="129"/>
      <c r="G637" s="129"/>
      <c r="H637" s="72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27" t="str">
        <f t="shared" si="1"/>
        <v/>
      </c>
      <c r="B638" s="128"/>
      <c r="C638" s="128"/>
      <c r="D638" s="129"/>
      <c r="E638" s="128"/>
      <c r="F638" s="129"/>
      <c r="G638" s="129"/>
      <c r="H638" s="72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27" t="str">
        <f t="shared" si="1"/>
        <v/>
      </c>
      <c r="B639" s="128"/>
      <c r="C639" s="128"/>
      <c r="D639" s="129"/>
      <c r="E639" s="128"/>
      <c r="F639" s="129"/>
      <c r="G639" s="129"/>
      <c r="H639" s="72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27" t="str">
        <f t="shared" si="1"/>
        <v/>
      </c>
      <c r="B640" s="128"/>
      <c r="C640" s="128"/>
      <c r="D640" s="129"/>
      <c r="E640" s="128"/>
      <c r="F640" s="129"/>
      <c r="G640" s="129"/>
      <c r="H640" s="72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27" t="str">
        <f t="shared" si="1"/>
        <v/>
      </c>
      <c r="B641" s="128"/>
      <c r="C641" s="128"/>
      <c r="D641" s="129"/>
      <c r="E641" s="128"/>
      <c r="F641" s="129"/>
      <c r="G641" s="129"/>
      <c r="H641" s="72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27" t="str">
        <f t="shared" si="1"/>
        <v/>
      </c>
      <c r="B642" s="128"/>
      <c r="C642" s="128"/>
      <c r="D642" s="129"/>
      <c r="E642" s="128"/>
      <c r="F642" s="129"/>
      <c r="G642" s="129"/>
      <c r="H642" s="72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27" t="str">
        <f t="shared" si="1"/>
        <v/>
      </c>
      <c r="B643" s="128"/>
      <c r="C643" s="128"/>
      <c r="D643" s="129"/>
      <c r="E643" s="128"/>
      <c r="F643" s="129"/>
      <c r="G643" s="129"/>
      <c r="H643" s="72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27" t="str">
        <f t="shared" si="1"/>
        <v/>
      </c>
      <c r="B644" s="128"/>
      <c r="C644" s="128"/>
      <c r="D644" s="129"/>
      <c r="E644" s="128"/>
      <c r="F644" s="129"/>
      <c r="G644" s="129"/>
      <c r="H644" s="72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27" t="str">
        <f t="shared" si="1"/>
        <v/>
      </c>
      <c r="B645" s="128"/>
      <c r="C645" s="128"/>
      <c r="D645" s="129"/>
      <c r="E645" s="128"/>
      <c r="F645" s="129"/>
      <c r="G645" s="129"/>
      <c r="H645" s="72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27" t="str">
        <f t="shared" si="1"/>
        <v/>
      </c>
      <c r="B646" s="128"/>
      <c r="C646" s="128"/>
      <c r="D646" s="129"/>
      <c r="E646" s="128"/>
      <c r="F646" s="129"/>
      <c r="G646" s="129"/>
      <c r="H646" s="72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27" t="str">
        <f t="shared" si="1"/>
        <v/>
      </c>
      <c r="B647" s="128"/>
      <c r="C647" s="128"/>
      <c r="D647" s="129"/>
      <c r="E647" s="128"/>
      <c r="F647" s="129"/>
      <c r="G647" s="129"/>
      <c r="H647" s="72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27" t="str">
        <f t="shared" si="1"/>
        <v/>
      </c>
      <c r="B648" s="128"/>
      <c r="C648" s="128"/>
      <c r="D648" s="129"/>
      <c r="E648" s="128"/>
      <c r="F648" s="129"/>
      <c r="G648" s="129"/>
      <c r="H648" s="72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27" t="str">
        <f t="shared" si="1"/>
        <v/>
      </c>
      <c r="B649" s="128"/>
      <c r="C649" s="128"/>
      <c r="D649" s="129"/>
      <c r="E649" s="128"/>
      <c r="F649" s="129"/>
      <c r="G649" s="129"/>
      <c r="H649" s="72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27" t="str">
        <f t="shared" si="1"/>
        <v/>
      </c>
      <c r="B650" s="128"/>
      <c r="C650" s="128"/>
      <c r="D650" s="129"/>
      <c r="E650" s="128"/>
      <c r="F650" s="129"/>
      <c r="G650" s="129"/>
      <c r="H650" s="72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27" t="str">
        <f t="shared" si="1"/>
        <v/>
      </c>
      <c r="B651" s="128"/>
      <c r="C651" s="128"/>
      <c r="D651" s="129"/>
      <c r="E651" s="128"/>
      <c r="F651" s="129"/>
      <c r="G651" s="129"/>
      <c r="H651" s="72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27" t="str">
        <f t="shared" si="1"/>
        <v/>
      </c>
      <c r="B652" s="128"/>
      <c r="C652" s="128"/>
      <c r="D652" s="129"/>
      <c r="E652" s="128"/>
      <c r="F652" s="129"/>
      <c r="G652" s="129"/>
      <c r="H652" s="72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27" t="str">
        <f t="shared" si="1"/>
        <v/>
      </c>
      <c r="B653" s="128"/>
      <c r="C653" s="128"/>
      <c r="D653" s="129"/>
      <c r="E653" s="128"/>
      <c r="F653" s="129"/>
      <c r="G653" s="129"/>
      <c r="H653" s="72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27" t="str">
        <f t="shared" si="1"/>
        <v/>
      </c>
      <c r="B654" s="128"/>
      <c r="C654" s="128"/>
      <c r="D654" s="129"/>
      <c r="E654" s="128"/>
      <c r="F654" s="129"/>
      <c r="G654" s="129"/>
      <c r="H654" s="72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27" t="str">
        <f t="shared" si="1"/>
        <v/>
      </c>
      <c r="B655" s="128"/>
      <c r="C655" s="128"/>
      <c r="D655" s="129"/>
      <c r="E655" s="128"/>
      <c r="F655" s="129"/>
      <c r="G655" s="129"/>
      <c r="H655" s="72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27" t="str">
        <f t="shared" si="1"/>
        <v/>
      </c>
      <c r="B656" s="128"/>
      <c r="C656" s="128"/>
      <c r="D656" s="129"/>
      <c r="E656" s="128"/>
      <c r="F656" s="129"/>
      <c r="G656" s="129"/>
      <c r="H656" s="72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27" t="str">
        <f t="shared" si="1"/>
        <v/>
      </c>
      <c r="B657" s="128"/>
      <c r="C657" s="128"/>
      <c r="D657" s="129"/>
      <c r="E657" s="128"/>
      <c r="F657" s="129"/>
      <c r="G657" s="129"/>
      <c r="H657" s="7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27" t="str">
        <f t="shared" si="1"/>
        <v/>
      </c>
      <c r="B658" s="128"/>
      <c r="C658" s="128"/>
      <c r="D658" s="129"/>
      <c r="E658" s="128"/>
      <c r="F658" s="129"/>
      <c r="G658" s="129"/>
      <c r="H658" s="72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27" t="str">
        <f t="shared" si="1"/>
        <v/>
      </c>
      <c r="B659" s="128"/>
      <c r="C659" s="128"/>
      <c r="D659" s="129"/>
      <c r="E659" s="128"/>
      <c r="F659" s="129"/>
      <c r="G659" s="129"/>
      <c r="H659" s="72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27" t="str">
        <f t="shared" si="1"/>
        <v/>
      </c>
      <c r="B660" s="128"/>
      <c r="C660" s="128"/>
      <c r="D660" s="129"/>
      <c r="E660" s="128"/>
      <c r="F660" s="129"/>
      <c r="G660" s="129"/>
      <c r="H660" s="72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27" t="str">
        <f t="shared" si="1"/>
        <v/>
      </c>
      <c r="B661" s="128"/>
      <c r="C661" s="128"/>
      <c r="D661" s="129"/>
      <c r="E661" s="128"/>
      <c r="F661" s="129"/>
      <c r="G661" s="129"/>
      <c r="H661" s="72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27" t="str">
        <f t="shared" si="1"/>
        <v/>
      </c>
      <c r="B662" s="128"/>
      <c r="C662" s="128"/>
      <c r="D662" s="129"/>
      <c r="E662" s="128"/>
      <c r="F662" s="129"/>
      <c r="G662" s="129"/>
      <c r="H662" s="72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27" t="str">
        <f t="shared" si="1"/>
        <v/>
      </c>
      <c r="B663" s="128"/>
      <c r="C663" s="128"/>
      <c r="D663" s="129"/>
      <c r="E663" s="128"/>
      <c r="F663" s="129"/>
      <c r="G663" s="129"/>
      <c r="H663" s="72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27" t="str">
        <f t="shared" si="1"/>
        <v/>
      </c>
      <c r="B664" s="128"/>
      <c r="C664" s="128"/>
      <c r="D664" s="129"/>
      <c r="E664" s="128"/>
      <c r="F664" s="129"/>
      <c r="G664" s="129"/>
      <c r="H664" s="72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27" t="str">
        <f t="shared" si="1"/>
        <v/>
      </c>
      <c r="B665" s="128"/>
      <c r="C665" s="128"/>
      <c r="D665" s="129"/>
      <c r="E665" s="128"/>
      <c r="F665" s="129"/>
      <c r="G665" s="129"/>
      <c r="H665" s="72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27" t="str">
        <f t="shared" si="1"/>
        <v/>
      </c>
      <c r="B666" s="128"/>
      <c r="C666" s="128"/>
      <c r="D666" s="129"/>
      <c r="E666" s="128"/>
      <c r="F666" s="129"/>
      <c r="G666" s="129"/>
      <c r="H666" s="72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27" t="str">
        <f t="shared" si="1"/>
        <v/>
      </c>
      <c r="B667" s="128"/>
      <c r="C667" s="128"/>
      <c r="D667" s="129"/>
      <c r="E667" s="128"/>
      <c r="F667" s="129"/>
      <c r="G667" s="129"/>
      <c r="H667" s="72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27" t="str">
        <f t="shared" si="1"/>
        <v/>
      </c>
      <c r="B668" s="128"/>
      <c r="C668" s="128"/>
      <c r="D668" s="129"/>
      <c r="E668" s="128"/>
      <c r="F668" s="129"/>
      <c r="G668" s="129"/>
      <c r="H668" s="72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27" t="str">
        <f t="shared" si="1"/>
        <v/>
      </c>
      <c r="B669" s="128"/>
      <c r="C669" s="128"/>
      <c r="D669" s="129"/>
      <c r="E669" s="128"/>
      <c r="F669" s="129"/>
      <c r="G669" s="129"/>
      <c r="H669" s="72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27" t="str">
        <f t="shared" si="1"/>
        <v/>
      </c>
      <c r="B670" s="128"/>
      <c r="C670" s="128"/>
      <c r="D670" s="129"/>
      <c r="E670" s="128"/>
      <c r="F670" s="129"/>
      <c r="G670" s="129"/>
      <c r="H670" s="72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27" t="str">
        <f t="shared" si="1"/>
        <v/>
      </c>
      <c r="B671" s="128"/>
      <c r="C671" s="128"/>
      <c r="D671" s="129"/>
      <c r="E671" s="128"/>
      <c r="F671" s="129"/>
      <c r="G671" s="129"/>
      <c r="H671" s="72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27" t="str">
        <f t="shared" si="1"/>
        <v/>
      </c>
      <c r="B672" s="128"/>
      <c r="C672" s="128"/>
      <c r="D672" s="129"/>
      <c r="E672" s="128"/>
      <c r="F672" s="129"/>
      <c r="G672" s="129"/>
      <c r="H672" s="72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27" t="str">
        <f t="shared" si="1"/>
        <v/>
      </c>
      <c r="B673" s="128"/>
      <c r="C673" s="128"/>
      <c r="D673" s="129"/>
      <c r="E673" s="128"/>
      <c r="F673" s="129"/>
      <c r="G673" s="129"/>
      <c r="H673" s="72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27" t="str">
        <f t="shared" si="1"/>
        <v/>
      </c>
      <c r="B674" s="128"/>
      <c r="C674" s="128"/>
      <c r="D674" s="129"/>
      <c r="E674" s="128"/>
      <c r="F674" s="129"/>
      <c r="G674" s="129"/>
      <c r="H674" s="72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27" t="str">
        <f t="shared" si="1"/>
        <v/>
      </c>
      <c r="B675" s="128"/>
      <c r="C675" s="128"/>
      <c r="D675" s="129"/>
      <c r="E675" s="128"/>
      <c r="F675" s="129"/>
      <c r="G675" s="129"/>
      <c r="H675" s="72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27" t="str">
        <f t="shared" si="1"/>
        <v/>
      </c>
      <c r="B676" s="128"/>
      <c r="C676" s="128"/>
      <c r="D676" s="129"/>
      <c r="E676" s="128"/>
      <c r="F676" s="129"/>
      <c r="G676" s="129"/>
      <c r="H676" s="72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27" t="str">
        <f t="shared" si="1"/>
        <v/>
      </c>
      <c r="B677" s="128"/>
      <c r="C677" s="128"/>
      <c r="D677" s="129"/>
      <c r="E677" s="128"/>
      <c r="F677" s="129"/>
      <c r="G677" s="129"/>
      <c r="H677" s="72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27" t="str">
        <f t="shared" si="1"/>
        <v/>
      </c>
      <c r="B678" s="128"/>
      <c r="C678" s="128"/>
      <c r="D678" s="129"/>
      <c r="E678" s="128"/>
      <c r="F678" s="129"/>
      <c r="G678" s="129"/>
      <c r="H678" s="72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27" t="str">
        <f t="shared" si="1"/>
        <v/>
      </c>
      <c r="B679" s="128"/>
      <c r="C679" s="128"/>
      <c r="D679" s="129"/>
      <c r="E679" s="128"/>
      <c r="F679" s="129"/>
      <c r="G679" s="129"/>
      <c r="H679" s="72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27" t="str">
        <f t="shared" si="1"/>
        <v/>
      </c>
      <c r="B680" s="128"/>
      <c r="C680" s="128"/>
      <c r="D680" s="129"/>
      <c r="E680" s="128"/>
      <c r="F680" s="129"/>
      <c r="G680" s="129"/>
      <c r="H680" s="72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27" t="str">
        <f t="shared" si="1"/>
        <v/>
      </c>
      <c r="B681" s="128"/>
      <c r="C681" s="128"/>
      <c r="D681" s="129"/>
      <c r="E681" s="128"/>
      <c r="F681" s="129"/>
      <c r="G681" s="129"/>
      <c r="H681" s="72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27" t="str">
        <f t="shared" si="1"/>
        <v/>
      </c>
      <c r="B682" s="128"/>
      <c r="C682" s="128"/>
      <c r="D682" s="129"/>
      <c r="E682" s="128"/>
      <c r="F682" s="129"/>
      <c r="G682" s="129"/>
      <c r="H682" s="72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27" t="str">
        <f t="shared" si="1"/>
        <v/>
      </c>
      <c r="B683" s="128"/>
      <c r="C683" s="128"/>
      <c r="D683" s="129"/>
      <c r="E683" s="128"/>
      <c r="F683" s="129"/>
      <c r="G683" s="129"/>
      <c r="H683" s="72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27" t="str">
        <f t="shared" si="1"/>
        <v/>
      </c>
      <c r="B684" s="128"/>
      <c r="C684" s="128"/>
      <c r="D684" s="129"/>
      <c r="E684" s="128"/>
      <c r="F684" s="129"/>
      <c r="G684" s="129"/>
      <c r="H684" s="72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27" t="str">
        <f t="shared" si="1"/>
        <v/>
      </c>
      <c r="B685" s="128"/>
      <c r="C685" s="128"/>
      <c r="D685" s="129"/>
      <c r="E685" s="128"/>
      <c r="F685" s="129"/>
      <c r="G685" s="129"/>
      <c r="H685" s="72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27" t="str">
        <f t="shared" si="1"/>
        <v/>
      </c>
      <c r="B686" s="128"/>
      <c r="C686" s="128"/>
      <c r="D686" s="129"/>
      <c r="E686" s="128"/>
      <c r="F686" s="129"/>
      <c r="G686" s="129"/>
      <c r="H686" s="72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27" t="str">
        <f t="shared" si="1"/>
        <v/>
      </c>
      <c r="B687" s="128"/>
      <c r="C687" s="128"/>
      <c r="D687" s="129"/>
      <c r="E687" s="128"/>
      <c r="F687" s="129"/>
      <c r="G687" s="129"/>
      <c r="H687" s="72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27" t="str">
        <f t="shared" si="1"/>
        <v/>
      </c>
      <c r="B688" s="128"/>
      <c r="C688" s="128"/>
      <c r="D688" s="129"/>
      <c r="E688" s="128"/>
      <c r="F688" s="129"/>
      <c r="G688" s="129"/>
      <c r="H688" s="7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27" t="str">
        <f t="shared" si="1"/>
        <v/>
      </c>
      <c r="B689" s="128"/>
      <c r="C689" s="128"/>
      <c r="D689" s="129"/>
      <c r="E689" s="128"/>
      <c r="F689" s="129"/>
      <c r="G689" s="129"/>
      <c r="H689" s="72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27" t="str">
        <f t="shared" si="1"/>
        <v/>
      </c>
      <c r="B690" s="128"/>
      <c r="C690" s="128"/>
      <c r="D690" s="129"/>
      <c r="E690" s="128"/>
      <c r="F690" s="129"/>
      <c r="G690" s="129"/>
      <c r="H690" s="72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27" t="str">
        <f t="shared" si="1"/>
        <v/>
      </c>
      <c r="B691" s="128"/>
      <c r="C691" s="128"/>
      <c r="D691" s="129"/>
      <c r="E691" s="128"/>
      <c r="F691" s="129"/>
      <c r="G691" s="129"/>
      <c r="H691" s="72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27" t="str">
        <f t="shared" si="1"/>
        <v/>
      </c>
      <c r="B692" s="128"/>
      <c r="C692" s="128"/>
      <c r="D692" s="129"/>
      <c r="E692" s="128"/>
      <c r="F692" s="129"/>
      <c r="G692" s="129"/>
      <c r="H692" s="72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27" t="str">
        <f t="shared" si="1"/>
        <v/>
      </c>
      <c r="B693" s="128"/>
      <c r="C693" s="128"/>
      <c r="D693" s="129"/>
      <c r="E693" s="128"/>
      <c r="F693" s="129"/>
      <c r="G693" s="129"/>
      <c r="H693" s="72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27" t="str">
        <f t="shared" si="1"/>
        <v/>
      </c>
      <c r="B694" s="128"/>
      <c r="C694" s="128"/>
      <c r="D694" s="129"/>
      <c r="E694" s="128"/>
      <c r="F694" s="129"/>
      <c r="G694" s="129"/>
      <c r="H694" s="72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27" t="str">
        <f t="shared" si="1"/>
        <v/>
      </c>
      <c r="B695" s="128"/>
      <c r="C695" s="128"/>
      <c r="D695" s="129"/>
      <c r="E695" s="128"/>
      <c r="F695" s="129"/>
      <c r="G695" s="129"/>
      <c r="H695" s="72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27" t="str">
        <f t="shared" si="1"/>
        <v/>
      </c>
      <c r="B696" s="128"/>
      <c r="C696" s="128"/>
      <c r="D696" s="129"/>
      <c r="E696" s="128"/>
      <c r="F696" s="129"/>
      <c r="G696" s="129"/>
      <c r="H696" s="72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27" t="str">
        <f t="shared" si="1"/>
        <v/>
      </c>
      <c r="B697" s="128"/>
      <c r="C697" s="128"/>
      <c r="D697" s="129"/>
      <c r="E697" s="128"/>
      <c r="F697" s="129"/>
      <c r="G697" s="129"/>
      <c r="H697" s="72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27" t="str">
        <f t="shared" si="1"/>
        <v/>
      </c>
      <c r="B698" s="128"/>
      <c r="C698" s="128"/>
      <c r="D698" s="129"/>
      <c r="E698" s="128"/>
      <c r="F698" s="129"/>
      <c r="G698" s="129"/>
      <c r="H698" s="72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27" t="str">
        <f t="shared" si="1"/>
        <v/>
      </c>
      <c r="B699" s="128"/>
      <c r="C699" s="128"/>
      <c r="D699" s="129"/>
      <c r="E699" s="128"/>
      <c r="F699" s="129"/>
      <c r="G699" s="129"/>
      <c r="H699" s="72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27" t="str">
        <f t="shared" si="1"/>
        <v/>
      </c>
      <c r="B700" s="128"/>
      <c r="C700" s="128"/>
      <c r="D700" s="129"/>
      <c r="E700" s="128"/>
      <c r="F700" s="129"/>
      <c r="G700" s="129"/>
      <c r="H700" s="72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27" t="str">
        <f t="shared" si="1"/>
        <v/>
      </c>
      <c r="B701" s="128"/>
      <c r="C701" s="128"/>
      <c r="D701" s="129"/>
      <c r="E701" s="128"/>
      <c r="F701" s="129"/>
      <c r="G701" s="129"/>
      <c r="H701" s="72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27" t="str">
        <f t="shared" si="1"/>
        <v/>
      </c>
      <c r="B702" s="128"/>
      <c r="C702" s="128"/>
      <c r="D702" s="129"/>
      <c r="E702" s="128"/>
      <c r="F702" s="129"/>
      <c r="G702" s="129"/>
      <c r="H702" s="72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27" t="str">
        <f t="shared" si="1"/>
        <v/>
      </c>
      <c r="B703" s="128"/>
      <c r="C703" s="128"/>
      <c r="D703" s="129"/>
      <c r="E703" s="128"/>
      <c r="F703" s="129"/>
      <c r="G703" s="129"/>
      <c r="H703" s="72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27" t="str">
        <f t="shared" si="1"/>
        <v/>
      </c>
      <c r="B704" s="128"/>
      <c r="C704" s="128"/>
      <c r="D704" s="129"/>
      <c r="E704" s="128"/>
      <c r="F704" s="129"/>
      <c r="G704" s="129"/>
      <c r="H704" s="72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27" t="str">
        <f t="shared" si="1"/>
        <v/>
      </c>
      <c r="B705" s="128"/>
      <c r="C705" s="128"/>
      <c r="D705" s="129"/>
      <c r="E705" s="128"/>
      <c r="F705" s="129"/>
      <c r="G705" s="129"/>
      <c r="H705" s="72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27" t="str">
        <f t="shared" si="1"/>
        <v/>
      </c>
      <c r="B706" s="128"/>
      <c r="C706" s="128"/>
      <c r="D706" s="129"/>
      <c r="E706" s="128"/>
      <c r="F706" s="129"/>
      <c r="G706" s="129"/>
      <c r="H706" s="72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27" t="str">
        <f t="shared" si="1"/>
        <v/>
      </c>
      <c r="B707" s="128"/>
      <c r="C707" s="128"/>
      <c r="D707" s="129"/>
      <c r="E707" s="128"/>
      <c r="F707" s="129"/>
      <c r="G707" s="129"/>
      <c r="H707" s="72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27" t="str">
        <f t="shared" si="1"/>
        <v/>
      </c>
      <c r="B708" s="128"/>
      <c r="C708" s="128"/>
      <c r="D708" s="129"/>
      <c r="E708" s="128"/>
      <c r="F708" s="129"/>
      <c r="G708" s="129"/>
      <c r="H708" s="72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27" t="str">
        <f t="shared" si="1"/>
        <v/>
      </c>
      <c r="B709" s="128"/>
      <c r="C709" s="128"/>
      <c r="D709" s="129"/>
      <c r="E709" s="128"/>
      <c r="F709" s="129"/>
      <c r="G709" s="129"/>
      <c r="H709" s="72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27" t="str">
        <f t="shared" si="1"/>
        <v/>
      </c>
      <c r="B710" s="128"/>
      <c r="C710" s="128"/>
      <c r="D710" s="129"/>
      <c r="E710" s="128"/>
      <c r="F710" s="129"/>
      <c r="G710" s="129"/>
      <c r="H710" s="72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27" t="str">
        <f t="shared" si="1"/>
        <v/>
      </c>
      <c r="B711" s="128"/>
      <c r="C711" s="128"/>
      <c r="D711" s="129"/>
      <c r="E711" s="128"/>
      <c r="F711" s="129"/>
      <c r="G711" s="129"/>
      <c r="H711" s="72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27" t="str">
        <f t="shared" si="1"/>
        <v/>
      </c>
      <c r="B712" s="128"/>
      <c r="C712" s="128"/>
      <c r="D712" s="129"/>
      <c r="E712" s="128"/>
      <c r="F712" s="129"/>
      <c r="G712" s="129"/>
      <c r="H712" s="72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27" t="str">
        <f t="shared" si="1"/>
        <v/>
      </c>
      <c r="B713" s="128"/>
      <c r="C713" s="128"/>
      <c r="D713" s="129"/>
      <c r="E713" s="128"/>
      <c r="F713" s="129"/>
      <c r="G713" s="129"/>
      <c r="H713" s="72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27" t="str">
        <f t="shared" si="1"/>
        <v/>
      </c>
      <c r="B714" s="128"/>
      <c r="C714" s="128"/>
      <c r="D714" s="129"/>
      <c r="E714" s="128"/>
      <c r="F714" s="129"/>
      <c r="G714" s="129"/>
      <c r="H714" s="72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27" t="str">
        <f t="shared" si="1"/>
        <v/>
      </c>
      <c r="B715" s="128"/>
      <c r="C715" s="128"/>
      <c r="D715" s="129"/>
      <c r="E715" s="128"/>
      <c r="F715" s="129"/>
      <c r="G715" s="129"/>
      <c r="H715" s="72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27" t="str">
        <f t="shared" si="1"/>
        <v/>
      </c>
      <c r="B716" s="128"/>
      <c r="C716" s="128"/>
      <c r="D716" s="129"/>
      <c r="E716" s="128"/>
      <c r="F716" s="129"/>
      <c r="G716" s="129"/>
      <c r="H716" s="72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27" t="str">
        <f t="shared" si="1"/>
        <v/>
      </c>
      <c r="B717" s="128"/>
      <c r="C717" s="128"/>
      <c r="D717" s="129"/>
      <c r="E717" s="128"/>
      <c r="F717" s="129"/>
      <c r="G717" s="129"/>
      <c r="H717" s="72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27" t="str">
        <f t="shared" si="1"/>
        <v/>
      </c>
      <c r="B718" s="128"/>
      <c r="C718" s="128"/>
      <c r="D718" s="129"/>
      <c r="E718" s="128"/>
      <c r="F718" s="129"/>
      <c r="G718" s="129"/>
      <c r="H718" s="72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27" t="str">
        <f t="shared" si="1"/>
        <v/>
      </c>
      <c r="B719" s="128"/>
      <c r="C719" s="128"/>
      <c r="D719" s="129"/>
      <c r="E719" s="128"/>
      <c r="F719" s="129"/>
      <c r="G719" s="129"/>
      <c r="H719" s="7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27" t="str">
        <f t="shared" si="1"/>
        <v/>
      </c>
      <c r="B720" s="128"/>
      <c r="C720" s="128"/>
      <c r="D720" s="129"/>
      <c r="E720" s="128"/>
      <c r="F720" s="129"/>
      <c r="G720" s="129"/>
      <c r="H720" s="72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27" t="str">
        <f t="shared" si="1"/>
        <v/>
      </c>
      <c r="B721" s="128"/>
      <c r="C721" s="128"/>
      <c r="D721" s="129"/>
      <c r="E721" s="128"/>
      <c r="F721" s="129"/>
      <c r="G721" s="129"/>
      <c r="H721" s="72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27" t="str">
        <f t="shared" si="1"/>
        <v/>
      </c>
      <c r="B722" s="128"/>
      <c r="C722" s="128"/>
      <c r="D722" s="129"/>
      <c r="E722" s="128"/>
      <c r="F722" s="129"/>
      <c r="G722" s="129"/>
      <c r="H722" s="72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27" t="str">
        <f t="shared" si="1"/>
        <v/>
      </c>
      <c r="B723" s="128"/>
      <c r="C723" s="128"/>
      <c r="D723" s="129"/>
      <c r="E723" s="128"/>
      <c r="F723" s="129"/>
      <c r="G723" s="129"/>
      <c r="H723" s="72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27" t="str">
        <f t="shared" si="1"/>
        <v/>
      </c>
      <c r="B724" s="128"/>
      <c r="C724" s="128"/>
      <c r="D724" s="129"/>
      <c r="E724" s="128"/>
      <c r="F724" s="129"/>
      <c r="G724" s="129"/>
      <c r="H724" s="72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27" t="str">
        <f t="shared" si="1"/>
        <v/>
      </c>
      <c r="B725" s="128"/>
      <c r="C725" s="128"/>
      <c r="D725" s="129"/>
      <c r="E725" s="128"/>
      <c r="F725" s="129"/>
      <c r="G725" s="129"/>
      <c r="H725" s="72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27" t="str">
        <f t="shared" si="1"/>
        <v/>
      </c>
      <c r="B726" s="128"/>
      <c r="C726" s="128"/>
      <c r="D726" s="129"/>
      <c r="E726" s="128"/>
      <c r="F726" s="129"/>
      <c r="G726" s="129"/>
      <c r="H726" s="72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27" t="str">
        <f t="shared" si="1"/>
        <v/>
      </c>
      <c r="B727" s="128"/>
      <c r="C727" s="128"/>
      <c r="D727" s="129"/>
      <c r="E727" s="128"/>
      <c r="F727" s="129"/>
      <c r="G727" s="129"/>
      <c r="H727" s="72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27" t="str">
        <f t="shared" si="1"/>
        <v/>
      </c>
      <c r="B728" s="128"/>
      <c r="C728" s="128"/>
      <c r="D728" s="129"/>
      <c r="E728" s="128"/>
      <c r="F728" s="129"/>
      <c r="G728" s="129"/>
      <c r="H728" s="72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27" t="str">
        <f t="shared" si="1"/>
        <v/>
      </c>
      <c r="B729" s="128"/>
      <c r="C729" s="128"/>
      <c r="D729" s="129"/>
      <c r="E729" s="128"/>
      <c r="F729" s="129"/>
      <c r="G729" s="129"/>
      <c r="H729" s="72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27" t="str">
        <f t="shared" si="1"/>
        <v/>
      </c>
      <c r="B730" s="128"/>
      <c r="C730" s="128"/>
      <c r="D730" s="129"/>
      <c r="E730" s="128"/>
      <c r="F730" s="129"/>
      <c r="G730" s="129"/>
      <c r="H730" s="72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27" t="str">
        <f t="shared" si="1"/>
        <v/>
      </c>
      <c r="B731" s="128"/>
      <c r="C731" s="128"/>
      <c r="D731" s="129"/>
      <c r="E731" s="128"/>
      <c r="F731" s="129"/>
      <c r="G731" s="129"/>
      <c r="H731" s="72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27" t="str">
        <f t="shared" si="1"/>
        <v/>
      </c>
      <c r="B732" s="128"/>
      <c r="C732" s="128"/>
      <c r="D732" s="129"/>
      <c r="E732" s="128"/>
      <c r="F732" s="129"/>
      <c r="G732" s="129"/>
      <c r="H732" s="72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27" t="str">
        <f t="shared" si="1"/>
        <v/>
      </c>
      <c r="B733" s="128"/>
      <c r="C733" s="128"/>
      <c r="D733" s="129"/>
      <c r="E733" s="128"/>
      <c r="F733" s="129"/>
      <c r="G733" s="129"/>
      <c r="H733" s="72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27" t="str">
        <f t="shared" si="1"/>
        <v/>
      </c>
      <c r="B734" s="128"/>
      <c r="C734" s="128"/>
      <c r="D734" s="129"/>
      <c r="E734" s="128"/>
      <c r="F734" s="129"/>
      <c r="G734" s="129"/>
      <c r="H734" s="72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27" t="str">
        <f t="shared" si="1"/>
        <v/>
      </c>
      <c r="B735" s="128"/>
      <c r="C735" s="128"/>
      <c r="D735" s="129"/>
      <c r="E735" s="128"/>
      <c r="F735" s="129"/>
      <c r="G735" s="129"/>
      <c r="H735" s="72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27" t="str">
        <f t="shared" si="1"/>
        <v/>
      </c>
      <c r="B736" s="128"/>
      <c r="C736" s="128"/>
      <c r="D736" s="129"/>
      <c r="E736" s="128"/>
      <c r="F736" s="129"/>
      <c r="G736" s="129"/>
      <c r="H736" s="72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27" t="str">
        <f t="shared" si="1"/>
        <v/>
      </c>
      <c r="B737" s="128"/>
      <c r="C737" s="128"/>
      <c r="D737" s="129"/>
      <c r="E737" s="128"/>
      <c r="F737" s="129"/>
      <c r="G737" s="129"/>
      <c r="H737" s="72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27" t="str">
        <f t="shared" si="1"/>
        <v/>
      </c>
      <c r="B738" s="128"/>
      <c r="C738" s="128"/>
      <c r="D738" s="129"/>
      <c r="E738" s="128"/>
      <c r="F738" s="129"/>
      <c r="G738" s="129"/>
      <c r="H738" s="72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27" t="str">
        <f t="shared" si="1"/>
        <v/>
      </c>
      <c r="B739" s="128"/>
      <c r="C739" s="128"/>
      <c r="D739" s="129"/>
      <c r="E739" s="128"/>
      <c r="F739" s="129"/>
      <c r="G739" s="129"/>
      <c r="H739" s="72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27" t="str">
        <f t="shared" si="1"/>
        <v/>
      </c>
      <c r="B740" s="128"/>
      <c r="C740" s="128"/>
      <c r="D740" s="129"/>
      <c r="E740" s="128"/>
      <c r="F740" s="129"/>
      <c r="G740" s="129"/>
      <c r="H740" s="72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27" t="str">
        <f t="shared" si="1"/>
        <v/>
      </c>
      <c r="B741" s="128"/>
      <c r="C741" s="128"/>
      <c r="D741" s="129"/>
      <c r="E741" s="128"/>
      <c r="F741" s="129"/>
      <c r="G741" s="129"/>
      <c r="H741" s="72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27" t="str">
        <f t="shared" si="1"/>
        <v/>
      </c>
      <c r="B742" s="128"/>
      <c r="C742" s="128"/>
      <c r="D742" s="129"/>
      <c r="E742" s="128"/>
      <c r="F742" s="129"/>
      <c r="G742" s="129"/>
      <c r="H742" s="72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27" t="str">
        <f t="shared" si="1"/>
        <v/>
      </c>
      <c r="B743" s="128"/>
      <c r="C743" s="128"/>
      <c r="D743" s="129"/>
      <c r="E743" s="128"/>
      <c r="F743" s="129"/>
      <c r="G743" s="129"/>
      <c r="H743" s="72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27" t="str">
        <f t="shared" si="1"/>
        <v/>
      </c>
      <c r="B744" s="128"/>
      <c r="C744" s="128"/>
      <c r="D744" s="129"/>
      <c r="E744" s="128"/>
      <c r="F744" s="129"/>
      <c r="G744" s="129"/>
      <c r="H744" s="72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27" t="str">
        <f t="shared" si="1"/>
        <v/>
      </c>
      <c r="B745" s="128"/>
      <c r="C745" s="128"/>
      <c r="D745" s="129"/>
      <c r="E745" s="128"/>
      <c r="F745" s="129"/>
      <c r="G745" s="129"/>
      <c r="H745" s="72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27" t="str">
        <f t="shared" si="1"/>
        <v/>
      </c>
      <c r="B746" s="128"/>
      <c r="C746" s="128"/>
      <c r="D746" s="129"/>
      <c r="E746" s="128"/>
      <c r="F746" s="129"/>
      <c r="G746" s="129"/>
      <c r="H746" s="72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27" t="str">
        <f t="shared" si="1"/>
        <v/>
      </c>
      <c r="B747" s="128"/>
      <c r="C747" s="128"/>
      <c r="D747" s="129"/>
      <c r="E747" s="128"/>
      <c r="F747" s="129"/>
      <c r="G747" s="129"/>
      <c r="H747" s="72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27" t="str">
        <f t="shared" si="1"/>
        <v/>
      </c>
      <c r="B748" s="128"/>
      <c r="C748" s="128"/>
      <c r="D748" s="129"/>
      <c r="E748" s="128"/>
      <c r="F748" s="129"/>
      <c r="G748" s="129"/>
      <c r="H748" s="72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27" t="str">
        <f t="shared" si="1"/>
        <v/>
      </c>
      <c r="B749" s="128"/>
      <c r="C749" s="128"/>
      <c r="D749" s="129"/>
      <c r="E749" s="128"/>
      <c r="F749" s="129"/>
      <c r="G749" s="129"/>
      <c r="H749" s="72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27" t="str">
        <f t="shared" si="1"/>
        <v/>
      </c>
      <c r="B750" s="128"/>
      <c r="C750" s="128"/>
      <c r="D750" s="129"/>
      <c r="E750" s="128"/>
      <c r="F750" s="129"/>
      <c r="G750" s="129"/>
      <c r="H750" s="7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27" t="str">
        <f t="shared" si="1"/>
        <v/>
      </c>
      <c r="B751" s="128"/>
      <c r="C751" s="128"/>
      <c r="D751" s="129"/>
      <c r="E751" s="128"/>
      <c r="F751" s="129"/>
      <c r="G751" s="129"/>
      <c r="H751" s="72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27" t="str">
        <f t="shared" si="1"/>
        <v/>
      </c>
      <c r="B752" s="128"/>
      <c r="C752" s="128"/>
      <c r="D752" s="129"/>
      <c r="E752" s="128"/>
      <c r="F752" s="129"/>
      <c r="G752" s="129"/>
      <c r="H752" s="72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27" t="str">
        <f t="shared" si="1"/>
        <v/>
      </c>
      <c r="B753" s="128"/>
      <c r="C753" s="128"/>
      <c r="D753" s="129"/>
      <c r="E753" s="128"/>
      <c r="F753" s="129"/>
      <c r="G753" s="129"/>
      <c r="H753" s="72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27" t="str">
        <f t="shared" si="1"/>
        <v/>
      </c>
      <c r="B754" s="128"/>
      <c r="C754" s="128"/>
      <c r="D754" s="129"/>
      <c r="E754" s="128"/>
      <c r="F754" s="129"/>
      <c r="G754" s="129"/>
      <c r="H754" s="72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27" t="str">
        <f t="shared" si="1"/>
        <v/>
      </c>
      <c r="B755" s="128"/>
      <c r="C755" s="128"/>
      <c r="D755" s="129"/>
      <c r="E755" s="128"/>
      <c r="F755" s="129"/>
      <c r="G755" s="129"/>
      <c r="H755" s="72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27" t="str">
        <f t="shared" si="1"/>
        <v/>
      </c>
      <c r="B756" s="128"/>
      <c r="C756" s="128"/>
      <c r="D756" s="129"/>
      <c r="E756" s="128"/>
      <c r="F756" s="129"/>
      <c r="G756" s="129"/>
      <c r="H756" s="72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27" t="str">
        <f t="shared" si="1"/>
        <v/>
      </c>
      <c r="B757" s="128"/>
      <c r="C757" s="128"/>
      <c r="D757" s="129"/>
      <c r="E757" s="128"/>
      <c r="F757" s="129"/>
      <c r="G757" s="129"/>
      <c r="H757" s="72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27" t="str">
        <f t="shared" si="1"/>
        <v/>
      </c>
      <c r="B758" s="128"/>
      <c r="C758" s="128"/>
      <c r="D758" s="129"/>
      <c r="E758" s="128"/>
      <c r="F758" s="129"/>
      <c r="G758" s="129"/>
      <c r="H758" s="72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27" t="str">
        <f t="shared" si="1"/>
        <v/>
      </c>
      <c r="B759" s="128"/>
      <c r="C759" s="128"/>
      <c r="D759" s="129"/>
      <c r="E759" s="128"/>
      <c r="F759" s="129"/>
      <c r="G759" s="129"/>
      <c r="H759" s="72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27" t="str">
        <f t="shared" si="1"/>
        <v/>
      </c>
      <c r="B760" s="128"/>
      <c r="C760" s="128"/>
      <c r="D760" s="129"/>
      <c r="E760" s="128"/>
      <c r="F760" s="129"/>
      <c r="G760" s="129"/>
      <c r="H760" s="72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27" t="str">
        <f t="shared" si="1"/>
        <v/>
      </c>
      <c r="B761" s="128"/>
      <c r="C761" s="128"/>
      <c r="D761" s="129"/>
      <c r="E761" s="128"/>
      <c r="F761" s="129"/>
      <c r="G761" s="129"/>
      <c r="H761" s="72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27" t="str">
        <f t="shared" si="1"/>
        <v/>
      </c>
      <c r="B762" s="128"/>
      <c r="C762" s="128"/>
      <c r="D762" s="129"/>
      <c r="E762" s="128"/>
      <c r="F762" s="129"/>
      <c r="G762" s="129"/>
      <c r="H762" s="72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27" t="str">
        <f t="shared" si="1"/>
        <v/>
      </c>
      <c r="B763" s="128"/>
      <c r="C763" s="128"/>
      <c r="D763" s="129"/>
      <c r="E763" s="128"/>
      <c r="F763" s="129"/>
      <c r="G763" s="129"/>
      <c r="H763" s="72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27" t="str">
        <f t="shared" si="1"/>
        <v/>
      </c>
      <c r="B764" s="128"/>
      <c r="C764" s="128"/>
      <c r="D764" s="129"/>
      <c r="E764" s="128"/>
      <c r="F764" s="129"/>
      <c r="G764" s="129"/>
      <c r="H764" s="72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27" t="str">
        <f t="shared" si="1"/>
        <v/>
      </c>
      <c r="B765" s="128"/>
      <c r="C765" s="128"/>
      <c r="D765" s="129"/>
      <c r="E765" s="128"/>
      <c r="F765" s="129"/>
      <c r="G765" s="129"/>
      <c r="H765" s="72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27" t="str">
        <f t="shared" si="1"/>
        <v/>
      </c>
      <c r="B766" s="128"/>
      <c r="C766" s="128"/>
      <c r="D766" s="129"/>
      <c r="E766" s="128"/>
      <c r="F766" s="129"/>
      <c r="G766" s="129"/>
      <c r="H766" s="72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27" t="str">
        <f t="shared" si="1"/>
        <v/>
      </c>
      <c r="B767" s="128"/>
      <c r="C767" s="128"/>
      <c r="D767" s="129"/>
      <c r="E767" s="128"/>
      <c r="F767" s="129"/>
      <c r="G767" s="129"/>
      <c r="H767" s="72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27" t="str">
        <f t="shared" si="1"/>
        <v/>
      </c>
      <c r="B768" s="128"/>
      <c r="C768" s="128"/>
      <c r="D768" s="129"/>
      <c r="E768" s="128"/>
      <c r="F768" s="129"/>
      <c r="G768" s="129"/>
      <c r="H768" s="72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27" t="str">
        <f t="shared" si="1"/>
        <v/>
      </c>
      <c r="B769" s="128"/>
      <c r="C769" s="128"/>
      <c r="D769" s="129"/>
      <c r="E769" s="128"/>
      <c r="F769" s="129"/>
      <c r="G769" s="129"/>
      <c r="H769" s="72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27" t="str">
        <f t="shared" si="1"/>
        <v/>
      </c>
      <c r="B770" s="128"/>
      <c r="C770" s="128"/>
      <c r="D770" s="129"/>
      <c r="E770" s="128"/>
      <c r="F770" s="129"/>
      <c r="G770" s="129"/>
      <c r="H770" s="72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27" t="str">
        <f t="shared" si="1"/>
        <v/>
      </c>
      <c r="B771" s="128"/>
      <c r="C771" s="128"/>
      <c r="D771" s="129"/>
      <c r="E771" s="128"/>
      <c r="F771" s="129"/>
      <c r="G771" s="129"/>
      <c r="H771" s="72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27" t="str">
        <f t="shared" si="1"/>
        <v/>
      </c>
      <c r="B772" s="128"/>
      <c r="C772" s="128"/>
      <c r="D772" s="129"/>
      <c r="E772" s="128"/>
      <c r="F772" s="129"/>
      <c r="G772" s="129"/>
      <c r="H772" s="72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27" t="str">
        <f t="shared" si="1"/>
        <v/>
      </c>
      <c r="B773" s="128"/>
      <c r="C773" s="128"/>
      <c r="D773" s="129"/>
      <c r="E773" s="128"/>
      <c r="F773" s="129"/>
      <c r="G773" s="129"/>
      <c r="H773" s="72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27" t="str">
        <f t="shared" si="1"/>
        <v/>
      </c>
      <c r="B774" s="128"/>
      <c r="C774" s="128"/>
      <c r="D774" s="129"/>
      <c r="E774" s="128"/>
      <c r="F774" s="129"/>
      <c r="G774" s="129"/>
      <c r="H774" s="72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27" t="str">
        <f t="shared" si="1"/>
        <v/>
      </c>
      <c r="B775" s="128"/>
      <c r="C775" s="128"/>
      <c r="D775" s="129"/>
      <c r="E775" s="128"/>
      <c r="F775" s="129"/>
      <c r="G775" s="129"/>
      <c r="H775" s="72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27" t="str">
        <f t="shared" si="1"/>
        <v/>
      </c>
      <c r="B776" s="128"/>
      <c r="C776" s="128"/>
      <c r="D776" s="129"/>
      <c r="E776" s="128"/>
      <c r="F776" s="129"/>
      <c r="G776" s="129"/>
      <c r="H776" s="72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27" t="str">
        <f t="shared" si="1"/>
        <v/>
      </c>
      <c r="B777" s="128"/>
      <c r="C777" s="128"/>
      <c r="D777" s="129"/>
      <c r="E777" s="128"/>
      <c r="F777" s="129"/>
      <c r="G777" s="129"/>
      <c r="H777" s="72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27" t="str">
        <f t="shared" si="1"/>
        <v/>
      </c>
      <c r="B778" s="128"/>
      <c r="C778" s="128"/>
      <c r="D778" s="129"/>
      <c r="E778" s="128"/>
      <c r="F778" s="129"/>
      <c r="G778" s="129"/>
      <c r="H778" s="72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27" t="str">
        <f t="shared" si="1"/>
        <v/>
      </c>
      <c r="B779" s="128"/>
      <c r="C779" s="128"/>
      <c r="D779" s="129"/>
      <c r="E779" s="128"/>
      <c r="F779" s="129"/>
      <c r="G779" s="129"/>
      <c r="H779" s="72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27" t="str">
        <f t="shared" si="1"/>
        <v/>
      </c>
      <c r="B780" s="128"/>
      <c r="C780" s="128"/>
      <c r="D780" s="129"/>
      <c r="E780" s="128"/>
      <c r="F780" s="129"/>
      <c r="G780" s="129"/>
      <c r="H780" s="72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27" t="str">
        <f t="shared" si="1"/>
        <v/>
      </c>
      <c r="B781" s="128"/>
      <c r="C781" s="128"/>
      <c r="D781" s="129"/>
      <c r="E781" s="128"/>
      <c r="F781" s="129"/>
      <c r="G781" s="129"/>
      <c r="H781" s="7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27" t="str">
        <f t="shared" si="1"/>
        <v/>
      </c>
      <c r="B782" s="128"/>
      <c r="C782" s="128"/>
      <c r="D782" s="129"/>
      <c r="E782" s="128"/>
      <c r="F782" s="129"/>
      <c r="G782" s="129"/>
      <c r="H782" s="72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27" t="str">
        <f t="shared" si="1"/>
        <v/>
      </c>
      <c r="B783" s="128"/>
      <c r="C783" s="128"/>
      <c r="D783" s="129"/>
      <c r="E783" s="128"/>
      <c r="F783" s="129"/>
      <c r="G783" s="129"/>
      <c r="H783" s="72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27" t="str">
        <f t="shared" si="1"/>
        <v/>
      </c>
      <c r="B784" s="128"/>
      <c r="C784" s="128"/>
      <c r="D784" s="129"/>
      <c r="E784" s="128"/>
      <c r="F784" s="129"/>
      <c r="G784" s="129"/>
      <c r="H784" s="72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27" t="str">
        <f t="shared" si="1"/>
        <v/>
      </c>
      <c r="B785" s="128"/>
      <c r="C785" s="128"/>
      <c r="D785" s="129"/>
      <c r="E785" s="128"/>
      <c r="F785" s="129"/>
      <c r="G785" s="129"/>
      <c r="H785" s="72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27" t="str">
        <f t="shared" si="1"/>
        <v/>
      </c>
      <c r="B786" s="128"/>
      <c r="C786" s="128"/>
      <c r="D786" s="129"/>
      <c r="E786" s="128"/>
      <c r="F786" s="129"/>
      <c r="G786" s="129"/>
      <c r="H786" s="72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27" t="str">
        <f t="shared" si="1"/>
        <v/>
      </c>
      <c r="B787" s="128"/>
      <c r="C787" s="128"/>
      <c r="D787" s="129"/>
      <c r="E787" s="128"/>
      <c r="F787" s="129"/>
      <c r="G787" s="129"/>
      <c r="H787" s="72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27" t="str">
        <f t="shared" si="1"/>
        <v/>
      </c>
      <c r="B788" s="128"/>
      <c r="C788" s="128"/>
      <c r="D788" s="129"/>
      <c r="E788" s="128"/>
      <c r="F788" s="129"/>
      <c r="G788" s="129"/>
      <c r="H788" s="72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27" t="str">
        <f t="shared" si="1"/>
        <v/>
      </c>
      <c r="B789" s="128"/>
      <c r="C789" s="128"/>
      <c r="D789" s="129"/>
      <c r="E789" s="128"/>
      <c r="F789" s="129"/>
      <c r="G789" s="129"/>
      <c r="H789" s="72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27" t="str">
        <f t="shared" si="1"/>
        <v/>
      </c>
      <c r="B790" s="128"/>
      <c r="C790" s="128"/>
      <c r="D790" s="129"/>
      <c r="E790" s="128"/>
      <c r="F790" s="129"/>
      <c r="G790" s="129"/>
      <c r="H790" s="72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27" t="str">
        <f t="shared" si="1"/>
        <v/>
      </c>
      <c r="B791" s="128"/>
      <c r="C791" s="128"/>
      <c r="D791" s="129"/>
      <c r="E791" s="128"/>
      <c r="F791" s="129"/>
      <c r="G791" s="129"/>
      <c r="H791" s="72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27" t="str">
        <f t="shared" si="1"/>
        <v/>
      </c>
      <c r="B792" s="128"/>
      <c r="C792" s="128"/>
      <c r="D792" s="129"/>
      <c r="E792" s="128"/>
      <c r="F792" s="129"/>
      <c r="G792" s="129"/>
      <c r="H792" s="72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27" t="str">
        <f t="shared" si="1"/>
        <v/>
      </c>
      <c r="B793" s="128"/>
      <c r="C793" s="128"/>
      <c r="D793" s="129"/>
      <c r="E793" s="128"/>
      <c r="F793" s="129"/>
      <c r="G793" s="129"/>
      <c r="H793" s="72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27" t="str">
        <f t="shared" si="1"/>
        <v/>
      </c>
      <c r="B794" s="128"/>
      <c r="C794" s="128"/>
      <c r="D794" s="129"/>
      <c r="E794" s="128"/>
      <c r="F794" s="129"/>
      <c r="G794" s="129"/>
      <c r="H794" s="72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27" t="str">
        <f t="shared" si="1"/>
        <v/>
      </c>
      <c r="B795" s="128"/>
      <c r="C795" s="128"/>
      <c r="D795" s="129"/>
      <c r="E795" s="128"/>
      <c r="F795" s="129"/>
      <c r="G795" s="129"/>
      <c r="H795" s="72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27" t="str">
        <f t="shared" si="1"/>
        <v/>
      </c>
      <c r="B796" s="128"/>
      <c r="C796" s="128"/>
      <c r="D796" s="129"/>
      <c r="E796" s="128"/>
      <c r="F796" s="129"/>
      <c r="G796" s="129"/>
      <c r="H796" s="72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27" t="str">
        <f t="shared" si="1"/>
        <v/>
      </c>
      <c r="B797" s="128"/>
      <c r="C797" s="128"/>
      <c r="D797" s="129"/>
      <c r="E797" s="128"/>
      <c r="F797" s="129"/>
      <c r="G797" s="129"/>
      <c r="H797" s="72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27" t="str">
        <f t="shared" si="1"/>
        <v/>
      </c>
      <c r="B798" s="128"/>
      <c r="C798" s="128"/>
      <c r="D798" s="129"/>
      <c r="E798" s="128"/>
      <c r="F798" s="129"/>
      <c r="G798" s="129"/>
      <c r="H798" s="72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27" t="str">
        <f t="shared" si="1"/>
        <v/>
      </c>
      <c r="B799" s="128"/>
      <c r="C799" s="128"/>
      <c r="D799" s="129"/>
      <c r="E799" s="128"/>
      <c r="F799" s="129"/>
      <c r="G799" s="129"/>
      <c r="H799" s="72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27" t="str">
        <f t="shared" si="1"/>
        <v/>
      </c>
      <c r="B800" s="128"/>
      <c r="C800" s="128"/>
      <c r="D800" s="129"/>
      <c r="E800" s="128"/>
      <c r="F800" s="129"/>
      <c r="G800" s="129"/>
      <c r="H800" s="72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27" t="str">
        <f t="shared" si="1"/>
        <v/>
      </c>
      <c r="B801" s="128"/>
      <c r="C801" s="128"/>
      <c r="D801" s="129"/>
      <c r="E801" s="128"/>
      <c r="F801" s="129"/>
      <c r="G801" s="129"/>
      <c r="H801" s="72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27" t="str">
        <f t="shared" si="1"/>
        <v/>
      </c>
      <c r="B802" s="128"/>
      <c r="C802" s="128"/>
      <c r="D802" s="129"/>
      <c r="E802" s="128"/>
      <c r="F802" s="129"/>
      <c r="G802" s="129"/>
      <c r="H802" s="72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27" t="str">
        <f t="shared" si="1"/>
        <v/>
      </c>
      <c r="B803" s="128"/>
      <c r="C803" s="128"/>
      <c r="D803" s="129"/>
      <c r="E803" s="128"/>
      <c r="F803" s="129"/>
      <c r="G803" s="129"/>
      <c r="H803" s="72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27" t="str">
        <f t="shared" si="1"/>
        <v/>
      </c>
      <c r="B804" s="128"/>
      <c r="C804" s="128"/>
      <c r="D804" s="129"/>
      <c r="E804" s="128"/>
      <c r="F804" s="129"/>
      <c r="G804" s="129"/>
      <c r="H804" s="72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27" t="str">
        <f t="shared" si="1"/>
        <v/>
      </c>
      <c r="B805" s="128"/>
      <c r="C805" s="128"/>
      <c r="D805" s="129"/>
      <c r="E805" s="128"/>
      <c r="F805" s="129"/>
      <c r="G805" s="129"/>
      <c r="H805" s="72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27" t="str">
        <f t="shared" si="1"/>
        <v/>
      </c>
      <c r="B806" s="128"/>
      <c r="C806" s="128"/>
      <c r="D806" s="129"/>
      <c r="E806" s="128"/>
      <c r="F806" s="129"/>
      <c r="G806" s="129"/>
      <c r="H806" s="72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27" t="str">
        <f t="shared" si="1"/>
        <v/>
      </c>
      <c r="B807" s="128"/>
      <c r="C807" s="128"/>
      <c r="D807" s="129"/>
      <c r="E807" s="128"/>
      <c r="F807" s="129"/>
      <c r="G807" s="129"/>
      <c r="H807" s="72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27" t="str">
        <f t="shared" si="1"/>
        <v/>
      </c>
      <c r="B808" s="128"/>
      <c r="C808" s="128"/>
      <c r="D808" s="129"/>
      <c r="E808" s="128"/>
      <c r="F808" s="129"/>
      <c r="G808" s="129"/>
      <c r="H808" s="72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27" t="str">
        <f t="shared" si="1"/>
        <v/>
      </c>
      <c r="B809" s="128"/>
      <c r="C809" s="128"/>
      <c r="D809" s="129"/>
      <c r="E809" s="128"/>
      <c r="F809" s="129"/>
      <c r="G809" s="129"/>
      <c r="H809" s="72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27" t="str">
        <f t="shared" si="1"/>
        <v/>
      </c>
      <c r="B810" s="128"/>
      <c r="C810" s="128"/>
      <c r="D810" s="129"/>
      <c r="E810" s="128"/>
      <c r="F810" s="129"/>
      <c r="G810" s="129"/>
      <c r="H810" s="72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27" t="str">
        <f t="shared" si="1"/>
        <v/>
      </c>
      <c r="B811" s="128"/>
      <c r="C811" s="128"/>
      <c r="D811" s="129"/>
      <c r="E811" s="128"/>
      <c r="F811" s="129"/>
      <c r="G811" s="129"/>
      <c r="H811" s="72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27" t="str">
        <f t="shared" si="1"/>
        <v/>
      </c>
      <c r="B812" s="128"/>
      <c r="C812" s="128"/>
      <c r="D812" s="129"/>
      <c r="E812" s="128"/>
      <c r="F812" s="129"/>
      <c r="G812" s="129"/>
      <c r="H812" s="7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27" t="str">
        <f t="shared" si="1"/>
        <v/>
      </c>
      <c r="B813" s="128"/>
      <c r="C813" s="128"/>
      <c r="D813" s="129"/>
      <c r="E813" s="128"/>
      <c r="F813" s="129"/>
      <c r="G813" s="129"/>
      <c r="H813" s="72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27" t="str">
        <f t="shared" si="1"/>
        <v/>
      </c>
      <c r="B814" s="128"/>
      <c r="C814" s="128"/>
      <c r="D814" s="129"/>
      <c r="E814" s="128"/>
      <c r="F814" s="129"/>
      <c r="G814" s="129"/>
      <c r="H814" s="72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27" t="str">
        <f t="shared" si="1"/>
        <v/>
      </c>
      <c r="B815" s="128"/>
      <c r="C815" s="128"/>
      <c r="D815" s="129"/>
      <c r="E815" s="128"/>
      <c r="F815" s="129"/>
      <c r="G815" s="129"/>
      <c r="H815" s="72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27" t="str">
        <f t="shared" si="1"/>
        <v/>
      </c>
      <c r="B816" s="128"/>
      <c r="C816" s="128"/>
      <c r="D816" s="129"/>
      <c r="E816" s="128"/>
      <c r="F816" s="129"/>
      <c r="G816" s="129"/>
      <c r="H816" s="72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27" t="str">
        <f t="shared" si="1"/>
        <v/>
      </c>
      <c r="B817" s="128"/>
      <c r="C817" s="128"/>
      <c r="D817" s="129"/>
      <c r="E817" s="128"/>
      <c r="F817" s="129"/>
      <c r="G817" s="129"/>
      <c r="H817" s="72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27" t="str">
        <f t="shared" si="1"/>
        <v/>
      </c>
      <c r="B818" s="128"/>
      <c r="C818" s="128"/>
      <c r="D818" s="129"/>
      <c r="E818" s="128"/>
      <c r="F818" s="129"/>
      <c r="G818" s="129"/>
      <c r="H818" s="72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27" t="str">
        <f t="shared" si="1"/>
        <v/>
      </c>
      <c r="B819" s="128"/>
      <c r="C819" s="128"/>
      <c r="D819" s="129"/>
      <c r="E819" s="128"/>
      <c r="F819" s="129"/>
      <c r="G819" s="129"/>
      <c r="H819" s="72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27" t="str">
        <f t="shared" si="1"/>
        <v/>
      </c>
      <c r="B820" s="128"/>
      <c r="C820" s="128"/>
      <c r="D820" s="129"/>
      <c r="E820" s="128"/>
      <c r="F820" s="129"/>
      <c r="G820" s="129"/>
      <c r="H820" s="72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27" t="str">
        <f t="shared" si="1"/>
        <v/>
      </c>
      <c r="B821" s="128"/>
      <c r="C821" s="128"/>
      <c r="D821" s="129"/>
      <c r="E821" s="128"/>
      <c r="F821" s="129"/>
      <c r="G821" s="129"/>
      <c r="H821" s="72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27" t="str">
        <f t="shared" si="1"/>
        <v/>
      </c>
      <c r="B822" s="128"/>
      <c r="C822" s="128"/>
      <c r="D822" s="129"/>
      <c r="E822" s="128"/>
      <c r="F822" s="129"/>
      <c r="G822" s="129"/>
      <c r="H822" s="72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27" t="str">
        <f t="shared" si="1"/>
        <v/>
      </c>
      <c r="B823" s="128"/>
      <c r="C823" s="128"/>
      <c r="D823" s="129"/>
      <c r="E823" s="128"/>
      <c r="F823" s="129"/>
      <c r="G823" s="129"/>
      <c r="H823" s="72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27" t="str">
        <f t="shared" si="1"/>
        <v/>
      </c>
      <c r="B824" s="128"/>
      <c r="C824" s="128"/>
      <c r="D824" s="129"/>
      <c r="E824" s="128"/>
      <c r="F824" s="129"/>
      <c r="G824" s="129"/>
      <c r="H824" s="72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27" t="str">
        <f t="shared" si="1"/>
        <v/>
      </c>
      <c r="B825" s="128"/>
      <c r="C825" s="128"/>
      <c r="D825" s="129"/>
      <c r="E825" s="128"/>
      <c r="F825" s="129"/>
      <c r="G825" s="129"/>
      <c r="H825" s="72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27" t="str">
        <f t="shared" si="1"/>
        <v/>
      </c>
      <c r="B826" s="128"/>
      <c r="C826" s="128"/>
      <c r="D826" s="129"/>
      <c r="E826" s="128"/>
      <c r="F826" s="129"/>
      <c r="G826" s="129"/>
      <c r="H826" s="72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27" t="str">
        <f t="shared" si="1"/>
        <v/>
      </c>
      <c r="B827" s="128"/>
      <c r="C827" s="128"/>
      <c r="D827" s="129"/>
      <c r="E827" s="128"/>
      <c r="F827" s="129"/>
      <c r="G827" s="129"/>
      <c r="H827" s="72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27" t="str">
        <f t="shared" si="1"/>
        <v/>
      </c>
      <c r="B828" s="128"/>
      <c r="C828" s="128"/>
      <c r="D828" s="129"/>
      <c r="E828" s="128"/>
      <c r="F828" s="129"/>
      <c r="G828" s="129"/>
      <c r="H828" s="72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27" t="str">
        <f t="shared" si="1"/>
        <v/>
      </c>
      <c r="B829" s="128"/>
      <c r="C829" s="128"/>
      <c r="D829" s="129"/>
      <c r="E829" s="128"/>
      <c r="F829" s="129"/>
      <c r="G829" s="129"/>
      <c r="H829" s="72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27" t="str">
        <f t="shared" si="1"/>
        <v/>
      </c>
      <c r="B830" s="128"/>
      <c r="C830" s="128"/>
      <c r="D830" s="129"/>
      <c r="E830" s="128"/>
      <c r="F830" s="129"/>
      <c r="G830" s="129"/>
      <c r="H830" s="72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27" t="str">
        <f t="shared" si="1"/>
        <v/>
      </c>
      <c r="B831" s="128"/>
      <c r="C831" s="128"/>
      <c r="D831" s="129"/>
      <c r="E831" s="128"/>
      <c r="F831" s="129"/>
      <c r="G831" s="129"/>
      <c r="H831" s="72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27" t="str">
        <f t="shared" si="1"/>
        <v/>
      </c>
      <c r="B832" s="128"/>
      <c r="C832" s="128"/>
      <c r="D832" s="129"/>
      <c r="E832" s="128"/>
      <c r="F832" s="129"/>
      <c r="G832" s="129"/>
      <c r="H832" s="72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27" t="str">
        <f t="shared" si="1"/>
        <v/>
      </c>
      <c r="B833" s="128"/>
      <c r="C833" s="128"/>
      <c r="D833" s="129"/>
      <c r="E833" s="128"/>
      <c r="F833" s="129"/>
      <c r="G833" s="129"/>
      <c r="H833" s="72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27" t="str">
        <f t="shared" si="1"/>
        <v/>
      </c>
      <c r="B834" s="128"/>
      <c r="C834" s="128"/>
      <c r="D834" s="129"/>
      <c r="E834" s="128"/>
      <c r="F834" s="129"/>
      <c r="G834" s="129"/>
      <c r="H834" s="72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27" t="str">
        <f t="shared" si="1"/>
        <v/>
      </c>
      <c r="B835" s="128"/>
      <c r="C835" s="128"/>
      <c r="D835" s="129"/>
      <c r="E835" s="128"/>
      <c r="F835" s="129"/>
      <c r="G835" s="129"/>
      <c r="H835" s="72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27" t="str">
        <f t="shared" si="1"/>
        <v/>
      </c>
      <c r="B836" s="128"/>
      <c r="C836" s="128"/>
      <c r="D836" s="129"/>
      <c r="E836" s="128"/>
      <c r="F836" s="129"/>
      <c r="G836" s="129"/>
      <c r="H836" s="72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27" t="str">
        <f t="shared" si="1"/>
        <v/>
      </c>
      <c r="B837" s="128"/>
      <c r="C837" s="128"/>
      <c r="D837" s="129"/>
      <c r="E837" s="128"/>
      <c r="F837" s="129"/>
      <c r="G837" s="129"/>
      <c r="H837" s="72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27" t="str">
        <f t="shared" si="1"/>
        <v/>
      </c>
      <c r="B838" s="128"/>
      <c r="C838" s="128"/>
      <c r="D838" s="129"/>
      <c r="E838" s="128"/>
      <c r="F838" s="129"/>
      <c r="G838" s="129"/>
      <c r="H838" s="72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27" t="str">
        <f t="shared" si="1"/>
        <v/>
      </c>
      <c r="B839" s="128"/>
      <c r="C839" s="128"/>
      <c r="D839" s="129"/>
      <c r="E839" s="128"/>
      <c r="F839" s="129"/>
      <c r="G839" s="129"/>
      <c r="H839" s="72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27" t="str">
        <f t="shared" si="1"/>
        <v/>
      </c>
      <c r="B840" s="128"/>
      <c r="C840" s="128"/>
      <c r="D840" s="129"/>
      <c r="E840" s="128"/>
      <c r="F840" s="129"/>
      <c r="G840" s="129"/>
      <c r="H840" s="72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27" t="str">
        <f t="shared" si="1"/>
        <v/>
      </c>
      <c r="B841" s="128"/>
      <c r="C841" s="128"/>
      <c r="D841" s="129"/>
      <c r="E841" s="128"/>
      <c r="F841" s="129"/>
      <c r="G841" s="129"/>
      <c r="H841" s="72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27" t="str">
        <f t="shared" si="1"/>
        <v/>
      </c>
      <c r="B842" s="128"/>
      <c r="C842" s="128"/>
      <c r="D842" s="129"/>
      <c r="E842" s="128"/>
      <c r="F842" s="129"/>
      <c r="G842" s="129"/>
      <c r="H842" s="72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27" t="str">
        <f t="shared" si="1"/>
        <v/>
      </c>
      <c r="B843" s="128"/>
      <c r="C843" s="128"/>
      <c r="D843" s="129"/>
      <c r="E843" s="128"/>
      <c r="F843" s="129"/>
      <c r="G843" s="129"/>
      <c r="H843" s="7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27" t="str">
        <f t="shared" si="1"/>
        <v/>
      </c>
      <c r="B844" s="128"/>
      <c r="C844" s="128"/>
      <c r="D844" s="129"/>
      <c r="E844" s="128"/>
      <c r="F844" s="129"/>
      <c r="G844" s="129"/>
      <c r="H844" s="72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27" t="str">
        <f t="shared" si="1"/>
        <v/>
      </c>
      <c r="B845" s="128"/>
      <c r="C845" s="128"/>
      <c r="D845" s="129"/>
      <c r="E845" s="128"/>
      <c r="F845" s="129"/>
      <c r="G845" s="129"/>
      <c r="H845" s="72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27" t="str">
        <f t="shared" si="1"/>
        <v/>
      </c>
      <c r="B846" s="128"/>
      <c r="C846" s="128"/>
      <c r="D846" s="129"/>
      <c r="E846" s="128"/>
      <c r="F846" s="129"/>
      <c r="G846" s="129"/>
      <c r="H846" s="72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27" t="str">
        <f t="shared" si="1"/>
        <v/>
      </c>
      <c r="B847" s="128"/>
      <c r="C847" s="128"/>
      <c r="D847" s="129"/>
      <c r="E847" s="128"/>
      <c r="F847" s="129"/>
      <c r="G847" s="129"/>
      <c r="H847" s="72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27" t="str">
        <f t="shared" si="1"/>
        <v/>
      </c>
      <c r="B848" s="128"/>
      <c r="C848" s="128"/>
      <c r="D848" s="129"/>
      <c r="E848" s="128"/>
      <c r="F848" s="129"/>
      <c r="G848" s="129"/>
      <c r="H848" s="72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27" t="str">
        <f t="shared" si="1"/>
        <v/>
      </c>
      <c r="B849" s="128"/>
      <c r="C849" s="128"/>
      <c r="D849" s="129"/>
      <c r="E849" s="128"/>
      <c r="F849" s="129"/>
      <c r="G849" s="129"/>
      <c r="H849" s="72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27" t="str">
        <f t="shared" si="1"/>
        <v/>
      </c>
      <c r="B850" s="128"/>
      <c r="C850" s="128"/>
      <c r="D850" s="129"/>
      <c r="E850" s="128"/>
      <c r="F850" s="129"/>
      <c r="G850" s="129"/>
      <c r="H850" s="72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27" t="str">
        <f t="shared" si="1"/>
        <v/>
      </c>
      <c r="B851" s="128"/>
      <c r="C851" s="128"/>
      <c r="D851" s="129"/>
      <c r="E851" s="128"/>
      <c r="F851" s="129"/>
      <c r="G851" s="129"/>
      <c r="H851" s="72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27" t="str">
        <f t="shared" si="1"/>
        <v/>
      </c>
      <c r="B852" s="128"/>
      <c r="C852" s="128"/>
      <c r="D852" s="129"/>
      <c r="E852" s="128"/>
      <c r="F852" s="129"/>
      <c r="G852" s="129"/>
      <c r="H852" s="72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27" t="str">
        <f t="shared" si="1"/>
        <v/>
      </c>
      <c r="B853" s="128"/>
      <c r="C853" s="128"/>
      <c r="D853" s="129"/>
      <c r="E853" s="128"/>
      <c r="F853" s="129"/>
      <c r="G853" s="129"/>
      <c r="H853" s="72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27" t="str">
        <f t="shared" si="1"/>
        <v/>
      </c>
      <c r="B854" s="128"/>
      <c r="C854" s="128"/>
      <c r="D854" s="129"/>
      <c r="E854" s="128"/>
      <c r="F854" s="129"/>
      <c r="G854" s="129"/>
      <c r="H854" s="72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27" t="str">
        <f t="shared" si="1"/>
        <v/>
      </c>
      <c r="B855" s="128"/>
      <c r="C855" s="128"/>
      <c r="D855" s="129"/>
      <c r="E855" s="128"/>
      <c r="F855" s="129"/>
      <c r="G855" s="129"/>
      <c r="H855" s="72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27" t="str">
        <f t="shared" si="1"/>
        <v/>
      </c>
      <c r="B856" s="128"/>
      <c r="C856" s="128"/>
      <c r="D856" s="129"/>
      <c r="E856" s="128"/>
      <c r="F856" s="129"/>
      <c r="G856" s="129"/>
      <c r="H856" s="72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27" t="str">
        <f t="shared" si="1"/>
        <v/>
      </c>
      <c r="B857" s="128"/>
      <c r="C857" s="128"/>
      <c r="D857" s="129"/>
      <c r="E857" s="128"/>
      <c r="F857" s="129"/>
      <c r="G857" s="129"/>
      <c r="H857" s="72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27" t="str">
        <f t="shared" si="1"/>
        <v/>
      </c>
      <c r="B858" s="128"/>
      <c r="C858" s="128"/>
      <c r="D858" s="129"/>
      <c r="E858" s="128"/>
      <c r="F858" s="129"/>
      <c r="G858" s="129"/>
      <c r="H858" s="72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27" t="str">
        <f t="shared" si="1"/>
        <v/>
      </c>
      <c r="B859" s="128"/>
      <c r="C859" s="128"/>
      <c r="D859" s="129"/>
      <c r="E859" s="128"/>
      <c r="F859" s="129"/>
      <c r="G859" s="129"/>
      <c r="H859" s="72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27" t="str">
        <f t="shared" si="1"/>
        <v/>
      </c>
      <c r="B860" s="128"/>
      <c r="C860" s="128"/>
      <c r="D860" s="129"/>
      <c r="E860" s="128"/>
      <c r="F860" s="129"/>
      <c r="G860" s="129"/>
      <c r="H860" s="72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27" t="str">
        <f t="shared" si="1"/>
        <v/>
      </c>
      <c r="B861" s="128"/>
      <c r="C861" s="128"/>
      <c r="D861" s="129"/>
      <c r="E861" s="128"/>
      <c r="F861" s="129"/>
      <c r="G861" s="129"/>
      <c r="H861" s="72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27" t="str">
        <f t="shared" si="1"/>
        <v/>
      </c>
      <c r="B862" s="128"/>
      <c r="C862" s="128"/>
      <c r="D862" s="129"/>
      <c r="E862" s="128"/>
      <c r="F862" s="129"/>
      <c r="G862" s="129"/>
      <c r="H862" s="72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27" t="str">
        <f t="shared" si="1"/>
        <v/>
      </c>
      <c r="B863" s="128"/>
      <c r="C863" s="128"/>
      <c r="D863" s="129"/>
      <c r="E863" s="128"/>
      <c r="F863" s="129"/>
      <c r="G863" s="129"/>
      <c r="H863" s="72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27" t="str">
        <f t="shared" si="1"/>
        <v/>
      </c>
      <c r="B864" s="128"/>
      <c r="C864" s="128"/>
      <c r="D864" s="129"/>
      <c r="E864" s="128"/>
      <c r="F864" s="129"/>
      <c r="G864" s="129"/>
      <c r="H864" s="72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27" t="str">
        <f t="shared" si="1"/>
        <v/>
      </c>
      <c r="B865" s="128"/>
      <c r="C865" s="128"/>
      <c r="D865" s="129"/>
      <c r="E865" s="128"/>
      <c r="F865" s="129"/>
      <c r="G865" s="129"/>
      <c r="H865" s="72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27" t="str">
        <f t="shared" si="1"/>
        <v/>
      </c>
      <c r="B866" s="128"/>
      <c r="C866" s="128"/>
      <c r="D866" s="129"/>
      <c r="E866" s="128"/>
      <c r="F866" s="129"/>
      <c r="G866" s="129"/>
      <c r="H866" s="72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27" t="str">
        <f t="shared" si="1"/>
        <v/>
      </c>
      <c r="B867" s="128"/>
      <c r="C867" s="128"/>
      <c r="D867" s="129"/>
      <c r="E867" s="128"/>
      <c r="F867" s="129"/>
      <c r="G867" s="129"/>
      <c r="H867" s="72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27" t="str">
        <f t="shared" si="1"/>
        <v/>
      </c>
      <c r="B868" s="128"/>
      <c r="C868" s="128"/>
      <c r="D868" s="129"/>
      <c r="E868" s="128"/>
      <c r="F868" s="129"/>
      <c r="G868" s="129"/>
      <c r="H868" s="72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27" t="str">
        <f t="shared" si="1"/>
        <v/>
      </c>
      <c r="B869" s="128"/>
      <c r="C869" s="128"/>
      <c r="D869" s="129"/>
      <c r="E869" s="128"/>
      <c r="F869" s="129"/>
      <c r="G869" s="129"/>
      <c r="H869" s="72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27" t="str">
        <f t="shared" si="1"/>
        <v/>
      </c>
      <c r="B870" s="128"/>
      <c r="C870" s="128"/>
      <c r="D870" s="129"/>
      <c r="E870" s="128"/>
      <c r="F870" s="129"/>
      <c r="G870" s="129"/>
      <c r="H870" s="72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27" t="str">
        <f t="shared" si="1"/>
        <v/>
      </c>
      <c r="B871" s="128"/>
      <c r="C871" s="128"/>
      <c r="D871" s="129"/>
      <c r="E871" s="128"/>
      <c r="F871" s="129"/>
      <c r="G871" s="129"/>
      <c r="H871" s="72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27" t="str">
        <f t="shared" si="1"/>
        <v/>
      </c>
      <c r="B872" s="128"/>
      <c r="C872" s="128"/>
      <c r="D872" s="129"/>
      <c r="E872" s="128"/>
      <c r="F872" s="129"/>
      <c r="G872" s="129"/>
      <c r="H872" s="72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27" t="str">
        <f t="shared" si="1"/>
        <v/>
      </c>
      <c r="B873" s="128"/>
      <c r="C873" s="128"/>
      <c r="D873" s="129"/>
      <c r="E873" s="128"/>
      <c r="F873" s="129"/>
      <c r="G873" s="129"/>
      <c r="H873" s="72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27" t="str">
        <f t="shared" si="1"/>
        <v/>
      </c>
      <c r="B874" s="128"/>
      <c r="C874" s="128"/>
      <c r="D874" s="129"/>
      <c r="E874" s="128"/>
      <c r="F874" s="129"/>
      <c r="G874" s="129"/>
      <c r="H874" s="7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27" t="str">
        <f t="shared" si="1"/>
        <v/>
      </c>
      <c r="B875" s="128"/>
      <c r="C875" s="128"/>
      <c r="D875" s="129"/>
      <c r="E875" s="128"/>
      <c r="F875" s="129"/>
      <c r="G875" s="129"/>
      <c r="H875" s="72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27" t="str">
        <f t="shared" si="1"/>
        <v/>
      </c>
      <c r="B876" s="128"/>
      <c r="C876" s="128"/>
      <c r="D876" s="129"/>
      <c r="E876" s="128"/>
      <c r="F876" s="129"/>
      <c r="G876" s="129"/>
      <c r="H876" s="72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27" t="str">
        <f t="shared" si="1"/>
        <v/>
      </c>
      <c r="B877" s="128"/>
      <c r="C877" s="128"/>
      <c r="D877" s="129"/>
      <c r="E877" s="128"/>
      <c r="F877" s="129"/>
      <c r="G877" s="129"/>
      <c r="H877" s="72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27" t="str">
        <f t="shared" si="1"/>
        <v/>
      </c>
      <c r="B878" s="128"/>
      <c r="C878" s="128"/>
      <c r="D878" s="129"/>
      <c r="E878" s="128"/>
      <c r="F878" s="129"/>
      <c r="G878" s="129"/>
      <c r="H878" s="72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27" t="str">
        <f t="shared" si="1"/>
        <v/>
      </c>
      <c r="B879" s="128"/>
      <c r="C879" s="128"/>
      <c r="D879" s="129"/>
      <c r="E879" s="128"/>
      <c r="F879" s="129"/>
      <c r="G879" s="129"/>
      <c r="H879" s="72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27" t="str">
        <f t="shared" si="1"/>
        <v/>
      </c>
      <c r="B880" s="128"/>
      <c r="C880" s="128"/>
      <c r="D880" s="129"/>
      <c r="E880" s="128"/>
      <c r="F880" s="129"/>
      <c r="G880" s="129"/>
      <c r="H880" s="72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27" t="str">
        <f t="shared" si="1"/>
        <v/>
      </c>
      <c r="B881" s="128"/>
      <c r="C881" s="128"/>
      <c r="D881" s="129"/>
      <c r="E881" s="128"/>
      <c r="F881" s="129"/>
      <c r="G881" s="129"/>
      <c r="H881" s="72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27" t="str">
        <f t="shared" si="1"/>
        <v/>
      </c>
      <c r="B882" s="128"/>
      <c r="C882" s="128"/>
      <c r="D882" s="129"/>
      <c r="E882" s="128"/>
      <c r="F882" s="129"/>
      <c r="G882" s="129"/>
      <c r="H882" s="72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27" t="str">
        <f t="shared" si="1"/>
        <v/>
      </c>
      <c r="B883" s="128"/>
      <c r="C883" s="128"/>
      <c r="D883" s="129"/>
      <c r="E883" s="128"/>
      <c r="F883" s="129"/>
      <c r="G883" s="129"/>
      <c r="H883" s="72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27" t="str">
        <f t="shared" si="1"/>
        <v/>
      </c>
      <c r="B884" s="128"/>
      <c r="C884" s="128"/>
      <c r="D884" s="129"/>
      <c r="E884" s="128"/>
      <c r="F884" s="129"/>
      <c r="G884" s="129"/>
      <c r="H884" s="72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27" t="str">
        <f t="shared" si="1"/>
        <v/>
      </c>
      <c r="B885" s="128"/>
      <c r="C885" s="128"/>
      <c r="D885" s="129"/>
      <c r="E885" s="128"/>
      <c r="F885" s="129"/>
      <c r="G885" s="129"/>
      <c r="H885" s="72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27" t="str">
        <f t="shared" si="1"/>
        <v/>
      </c>
      <c r="B886" s="128"/>
      <c r="C886" s="128"/>
      <c r="D886" s="129"/>
      <c r="E886" s="128"/>
      <c r="F886" s="129"/>
      <c r="G886" s="129"/>
      <c r="H886" s="72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27" t="str">
        <f t="shared" si="1"/>
        <v/>
      </c>
      <c r="B887" s="128"/>
      <c r="C887" s="128"/>
      <c r="D887" s="129"/>
      <c r="E887" s="128"/>
      <c r="F887" s="129"/>
      <c r="G887" s="129"/>
      <c r="H887" s="72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27" t="str">
        <f t="shared" si="1"/>
        <v/>
      </c>
      <c r="B888" s="128"/>
      <c r="C888" s="128"/>
      <c r="D888" s="129"/>
      <c r="E888" s="128"/>
      <c r="F888" s="129"/>
      <c r="G888" s="129"/>
      <c r="H888" s="72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27" t="str">
        <f t="shared" si="1"/>
        <v/>
      </c>
      <c r="B889" s="128"/>
      <c r="C889" s="128"/>
      <c r="D889" s="129"/>
      <c r="E889" s="128"/>
      <c r="F889" s="129"/>
      <c r="G889" s="129"/>
      <c r="H889" s="72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27" t="str">
        <f t="shared" si="1"/>
        <v/>
      </c>
      <c r="B890" s="128"/>
      <c r="C890" s="128"/>
      <c r="D890" s="129"/>
      <c r="E890" s="128"/>
      <c r="F890" s="129"/>
      <c r="G890" s="129"/>
      <c r="H890" s="72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27" t="str">
        <f t="shared" si="1"/>
        <v/>
      </c>
      <c r="B891" s="128"/>
      <c r="C891" s="128"/>
      <c r="D891" s="129"/>
      <c r="E891" s="128"/>
      <c r="F891" s="129"/>
      <c r="G891" s="129"/>
      <c r="H891" s="72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27" t="str">
        <f t="shared" si="1"/>
        <v/>
      </c>
      <c r="B892" s="128"/>
      <c r="C892" s="128"/>
      <c r="D892" s="129"/>
      <c r="E892" s="128"/>
      <c r="F892" s="129"/>
      <c r="G892" s="129"/>
      <c r="H892" s="72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27" t="str">
        <f t="shared" si="1"/>
        <v/>
      </c>
      <c r="B893" s="128"/>
      <c r="C893" s="128"/>
      <c r="D893" s="129"/>
      <c r="E893" s="128"/>
      <c r="F893" s="129"/>
      <c r="G893" s="129"/>
      <c r="H893" s="72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27" t="str">
        <f t="shared" si="1"/>
        <v/>
      </c>
      <c r="B894" s="128"/>
      <c r="C894" s="128"/>
      <c r="D894" s="129"/>
      <c r="E894" s="128"/>
      <c r="F894" s="129"/>
      <c r="G894" s="129"/>
      <c r="H894" s="72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27" t="str">
        <f t="shared" si="1"/>
        <v/>
      </c>
      <c r="B895" s="128"/>
      <c r="C895" s="128"/>
      <c r="D895" s="129"/>
      <c r="E895" s="128"/>
      <c r="F895" s="129"/>
      <c r="G895" s="129"/>
      <c r="H895" s="72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27" t="str">
        <f t="shared" si="1"/>
        <v/>
      </c>
      <c r="B896" s="128"/>
      <c r="C896" s="128"/>
      <c r="D896" s="129"/>
      <c r="E896" s="128"/>
      <c r="F896" s="129"/>
      <c r="G896" s="129"/>
      <c r="H896" s="72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27" t="str">
        <f t="shared" si="1"/>
        <v/>
      </c>
      <c r="B897" s="128"/>
      <c r="C897" s="128"/>
      <c r="D897" s="129"/>
      <c r="E897" s="128"/>
      <c r="F897" s="129"/>
      <c r="G897" s="129"/>
      <c r="H897" s="72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27" t="str">
        <f t="shared" si="1"/>
        <v/>
      </c>
      <c r="B898" s="128"/>
      <c r="C898" s="128"/>
      <c r="D898" s="129"/>
      <c r="E898" s="128"/>
      <c r="F898" s="129"/>
      <c r="G898" s="129"/>
      <c r="H898" s="72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27" t="str">
        <f t="shared" si="1"/>
        <v/>
      </c>
      <c r="B899" s="128"/>
      <c r="C899" s="128"/>
      <c r="D899" s="129"/>
      <c r="E899" s="128"/>
      <c r="F899" s="129"/>
      <c r="G899" s="129"/>
      <c r="H899" s="72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27" t="str">
        <f t="shared" si="1"/>
        <v/>
      </c>
      <c r="B900" s="128"/>
      <c r="C900" s="128"/>
      <c r="D900" s="129"/>
      <c r="E900" s="128"/>
      <c r="F900" s="129"/>
      <c r="G900" s="129"/>
      <c r="H900" s="72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27" t="str">
        <f t="shared" si="1"/>
        <v/>
      </c>
      <c r="B901" s="128"/>
      <c r="C901" s="128"/>
      <c r="D901" s="129"/>
      <c r="E901" s="128"/>
      <c r="F901" s="129"/>
      <c r="G901" s="129"/>
      <c r="H901" s="72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27" t="str">
        <f t="shared" si="1"/>
        <v/>
      </c>
      <c r="B902" s="128"/>
      <c r="C902" s="128"/>
      <c r="D902" s="129"/>
      <c r="E902" s="128"/>
      <c r="F902" s="129"/>
      <c r="G902" s="129"/>
      <c r="H902" s="72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27" t="str">
        <f t="shared" si="1"/>
        <v/>
      </c>
      <c r="B903" s="128"/>
      <c r="C903" s="128"/>
      <c r="D903" s="129"/>
      <c r="E903" s="128"/>
      <c r="F903" s="129"/>
      <c r="G903" s="129"/>
      <c r="H903" s="72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27" t="str">
        <f t="shared" si="1"/>
        <v/>
      </c>
      <c r="B904" s="128"/>
      <c r="C904" s="128"/>
      <c r="D904" s="129"/>
      <c r="E904" s="128"/>
      <c r="F904" s="129"/>
      <c r="G904" s="129"/>
      <c r="H904" s="72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27" t="str">
        <f t="shared" si="1"/>
        <v/>
      </c>
      <c r="B905" s="128"/>
      <c r="C905" s="128"/>
      <c r="D905" s="129"/>
      <c r="E905" s="128"/>
      <c r="F905" s="129"/>
      <c r="G905" s="129"/>
      <c r="H905" s="7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27" t="str">
        <f t="shared" si="1"/>
        <v/>
      </c>
      <c r="B906" s="128"/>
      <c r="C906" s="128"/>
      <c r="D906" s="129"/>
      <c r="E906" s="128"/>
      <c r="F906" s="129"/>
      <c r="G906" s="129"/>
      <c r="H906" s="72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27" t="str">
        <f t="shared" si="1"/>
        <v/>
      </c>
      <c r="B907" s="128"/>
      <c r="C907" s="128"/>
      <c r="D907" s="129"/>
      <c r="E907" s="128"/>
      <c r="F907" s="129"/>
      <c r="G907" s="129"/>
      <c r="H907" s="72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27" t="str">
        <f t="shared" si="1"/>
        <v/>
      </c>
      <c r="B908" s="128"/>
      <c r="C908" s="128"/>
      <c r="D908" s="129"/>
      <c r="E908" s="128"/>
      <c r="F908" s="129"/>
      <c r="G908" s="129"/>
      <c r="H908" s="72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27" t="str">
        <f t="shared" si="1"/>
        <v/>
      </c>
      <c r="B909" s="128"/>
      <c r="C909" s="128"/>
      <c r="D909" s="129"/>
      <c r="E909" s="128"/>
      <c r="F909" s="129"/>
      <c r="G909" s="129"/>
      <c r="H909" s="72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27" t="str">
        <f t="shared" si="1"/>
        <v/>
      </c>
      <c r="B910" s="128"/>
      <c r="C910" s="128"/>
      <c r="D910" s="129"/>
      <c r="E910" s="128"/>
      <c r="F910" s="129"/>
      <c r="G910" s="129"/>
      <c r="H910" s="72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27" t="str">
        <f t="shared" si="1"/>
        <v/>
      </c>
      <c r="B911" s="128"/>
      <c r="C911" s="128"/>
      <c r="D911" s="129"/>
      <c r="E911" s="128"/>
      <c r="F911" s="129"/>
      <c r="G911" s="129"/>
      <c r="H911" s="72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27" t="str">
        <f t="shared" si="1"/>
        <v/>
      </c>
      <c r="B912" s="128"/>
      <c r="C912" s="128"/>
      <c r="D912" s="129"/>
      <c r="E912" s="128"/>
      <c r="F912" s="129"/>
      <c r="G912" s="129"/>
      <c r="H912" s="72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27" t="str">
        <f t="shared" si="1"/>
        <v/>
      </c>
      <c r="B913" s="128"/>
      <c r="C913" s="128"/>
      <c r="D913" s="129"/>
      <c r="E913" s="128"/>
      <c r="F913" s="129"/>
      <c r="G913" s="129"/>
      <c r="H913" s="72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27" t="str">
        <f t="shared" si="1"/>
        <v/>
      </c>
      <c r="B914" s="128"/>
      <c r="C914" s="128"/>
      <c r="D914" s="129"/>
      <c r="E914" s="128"/>
      <c r="F914" s="129"/>
      <c r="G914" s="129"/>
      <c r="H914" s="72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27" t="str">
        <f t="shared" si="1"/>
        <v/>
      </c>
      <c r="B915" s="128"/>
      <c r="C915" s="128"/>
      <c r="D915" s="129"/>
      <c r="E915" s="128"/>
      <c r="F915" s="129"/>
      <c r="G915" s="129"/>
      <c r="H915" s="72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27" t="str">
        <f t="shared" si="1"/>
        <v/>
      </c>
      <c r="B916" s="128"/>
      <c r="C916" s="128"/>
      <c r="D916" s="129"/>
      <c r="E916" s="128"/>
      <c r="F916" s="129"/>
      <c r="G916" s="129"/>
      <c r="H916" s="72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27" t="str">
        <f t="shared" si="1"/>
        <v/>
      </c>
      <c r="B917" s="128"/>
      <c r="C917" s="128"/>
      <c r="D917" s="129"/>
      <c r="E917" s="128"/>
      <c r="F917" s="129"/>
      <c r="G917" s="129"/>
      <c r="H917" s="72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27" t="str">
        <f t="shared" si="1"/>
        <v/>
      </c>
      <c r="B918" s="128"/>
      <c r="C918" s="128"/>
      <c r="D918" s="129"/>
      <c r="E918" s="128"/>
      <c r="F918" s="129"/>
      <c r="G918" s="129"/>
      <c r="H918" s="72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27" t="str">
        <f t="shared" si="1"/>
        <v/>
      </c>
      <c r="B919" s="128"/>
      <c r="C919" s="128"/>
      <c r="D919" s="129"/>
      <c r="E919" s="128"/>
      <c r="F919" s="129"/>
      <c r="G919" s="129"/>
      <c r="H919" s="72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27" t="str">
        <f t="shared" si="1"/>
        <v/>
      </c>
      <c r="B920" s="128"/>
      <c r="C920" s="128"/>
      <c r="D920" s="129"/>
      <c r="E920" s="128"/>
      <c r="F920" s="129"/>
      <c r="G920" s="129"/>
      <c r="H920" s="72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27" t="str">
        <f t="shared" si="1"/>
        <v/>
      </c>
      <c r="B921" s="128"/>
      <c r="C921" s="128"/>
      <c r="D921" s="129"/>
      <c r="E921" s="128"/>
      <c r="F921" s="129"/>
      <c r="G921" s="129"/>
      <c r="H921" s="72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27" t="str">
        <f t="shared" si="1"/>
        <v/>
      </c>
      <c r="B922" s="128"/>
      <c r="C922" s="128"/>
      <c r="D922" s="129"/>
      <c r="E922" s="128"/>
      <c r="F922" s="129"/>
      <c r="G922" s="129"/>
      <c r="H922" s="72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27" t="str">
        <f t="shared" si="1"/>
        <v/>
      </c>
      <c r="B923" s="128"/>
      <c r="C923" s="128"/>
      <c r="D923" s="129"/>
      <c r="E923" s="128"/>
      <c r="F923" s="129"/>
      <c r="G923" s="129"/>
      <c r="H923" s="72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27" t="str">
        <f t="shared" si="1"/>
        <v/>
      </c>
      <c r="B924" s="128"/>
      <c r="C924" s="128"/>
      <c r="D924" s="129"/>
      <c r="E924" s="128"/>
      <c r="F924" s="129"/>
      <c r="G924" s="129"/>
      <c r="H924" s="72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27" t="str">
        <f t="shared" si="1"/>
        <v/>
      </c>
      <c r="B925" s="128"/>
      <c r="C925" s="128"/>
      <c r="D925" s="129"/>
      <c r="E925" s="128"/>
      <c r="F925" s="129"/>
      <c r="G925" s="129"/>
      <c r="H925" s="72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27" t="str">
        <f t="shared" si="1"/>
        <v/>
      </c>
      <c r="B926" s="128"/>
      <c r="C926" s="128"/>
      <c r="D926" s="129"/>
      <c r="E926" s="128"/>
      <c r="F926" s="129"/>
      <c r="G926" s="129"/>
      <c r="H926" s="72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27" t="str">
        <f t="shared" si="1"/>
        <v/>
      </c>
      <c r="B927" s="128"/>
      <c r="C927" s="128"/>
      <c r="D927" s="129"/>
      <c r="E927" s="128"/>
      <c r="F927" s="129"/>
      <c r="G927" s="129"/>
      <c r="H927" s="72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27" t="str">
        <f t="shared" si="1"/>
        <v/>
      </c>
      <c r="B928" s="128"/>
      <c r="C928" s="128"/>
      <c r="D928" s="129"/>
      <c r="E928" s="128"/>
      <c r="F928" s="129"/>
      <c r="G928" s="129"/>
      <c r="H928" s="72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27" t="str">
        <f t="shared" si="1"/>
        <v/>
      </c>
      <c r="B929" s="128"/>
      <c r="C929" s="128"/>
      <c r="D929" s="129"/>
      <c r="E929" s="128"/>
      <c r="F929" s="129"/>
      <c r="G929" s="129"/>
      <c r="H929" s="72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27" t="str">
        <f t="shared" si="1"/>
        <v/>
      </c>
      <c r="B930" s="128"/>
      <c r="C930" s="128"/>
      <c r="D930" s="129"/>
      <c r="E930" s="128"/>
      <c r="F930" s="129"/>
      <c r="G930" s="129"/>
      <c r="H930" s="72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27" t="str">
        <f t="shared" si="1"/>
        <v/>
      </c>
      <c r="B931" s="128"/>
      <c r="C931" s="128"/>
      <c r="D931" s="129"/>
      <c r="E931" s="128"/>
      <c r="F931" s="129"/>
      <c r="G931" s="129"/>
      <c r="H931" s="72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27" t="str">
        <f t="shared" si="1"/>
        <v/>
      </c>
      <c r="B932" s="128"/>
      <c r="C932" s="128"/>
      <c r="D932" s="129"/>
      <c r="E932" s="128"/>
      <c r="F932" s="129"/>
      <c r="G932" s="129"/>
      <c r="H932" s="72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27" t="str">
        <f t="shared" si="1"/>
        <v/>
      </c>
      <c r="B933" s="128"/>
      <c r="C933" s="128"/>
      <c r="D933" s="129"/>
      <c r="E933" s="128"/>
      <c r="F933" s="129"/>
      <c r="G933" s="129"/>
      <c r="H933" s="72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27" t="str">
        <f t="shared" si="1"/>
        <v/>
      </c>
      <c r="B934" s="128"/>
      <c r="C934" s="128"/>
      <c r="D934" s="129"/>
      <c r="E934" s="128"/>
      <c r="F934" s="129"/>
      <c r="G934" s="129"/>
      <c r="H934" s="72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27" t="str">
        <f t="shared" si="1"/>
        <v/>
      </c>
      <c r="B935" s="128"/>
      <c r="C935" s="128"/>
      <c r="D935" s="129"/>
      <c r="E935" s="128"/>
      <c r="F935" s="129"/>
      <c r="G935" s="129"/>
      <c r="H935" s="72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27" t="str">
        <f t="shared" si="1"/>
        <v/>
      </c>
      <c r="B936" s="128"/>
      <c r="C936" s="128"/>
      <c r="D936" s="129"/>
      <c r="E936" s="128"/>
      <c r="F936" s="129"/>
      <c r="G936" s="129"/>
      <c r="H936" s="7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27" t="str">
        <f t="shared" si="1"/>
        <v/>
      </c>
      <c r="B937" s="128"/>
      <c r="C937" s="128"/>
      <c r="D937" s="129"/>
      <c r="E937" s="128"/>
      <c r="F937" s="129"/>
      <c r="G937" s="129"/>
      <c r="H937" s="72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27" t="str">
        <f t="shared" si="1"/>
        <v/>
      </c>
      <c r="B938" s="128"/>
      <c r="C938" s="128"/>
      <c r="D938" s="129"/>
      <c r="E938" s="128"/>
      <c r="F938" s="129"/>
      <c r="G938" s="129"/>
      <c r="H938" s="72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27" t="str">
        <f t="shared" si="1"/>
        <v/>
      </c>
      <c r="B939" s="128"/>
      <c r="C939" s="128"/>
      <c r="D939" s="129"/>
      <c r="E939" s="128"/>
      <c r="F939" s="129"/>
      <c r="G939" s="129"/>
      <c r="H939" s="72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27" t="str">
        <f t="shared" si="1"/>
        <v/>
      </c>
      <c r="B940" s="128"/>
      <c r="C940" s="128"/>
      <c r="D940" s="129"/>
      <c r="E940" s="128"/>
      <c r="F940" s="129"/>
      <c r="G940" s="129"/>
      <c r="H940" s="72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27" t="str">
        <f t="shared" si="1"/>
        <v/>
      </c>
      <c r="B941" s="128"/>
      <c r="C941" s="128"/>
      <c r="D941" s="129"/>
      <c r="E941" s="128"/>
      <c r="F941" s="129"/>
      <c r="G941" s="129"/>
      <c r="H941" s="72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27" t="str">
        <f t="shared" si="1"/>
        <v/>
      </c>
      <c r="B942" s="128"/>
      <c r="C942" s="128"/>
      <c r="D942" s="129"/>
      <c r="E942" s="128"/>
      <c r="F942" s="129"/>
      <c r="G942" s="129"/>
      <c r="H942" s="72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27" t="str">
        <f t="shared" si="1"/>
        <v/>
      </c>
      <c r="B943" s="128"/>
      <c r="C943" s="128"/>
      <c r="D943" s="129"/>
      <c r="E943" s="128"/>
      <c r="F943" s="129"/>
      <c r="G943" s="129"/>
      <c r="H943" s="72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27" t="str">
        <f t="shared" si="1"/>
        <v/>
      </c>
      <c r="B944" s="128"/>
      <c r="C944" s="128"/>
      <c r="D944" s="129"/>
      <c r="E944" s="128"/>
      <c r="F944" s="129"/>
      <c r="G944" s="129"/>
      <c r="H944" s="72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27" t="str">
        <f t="shared" si="1"/>
        <v/>
      </c>
      <c r="B945" s="128"/>
      <c r="C945" s="128"/>
      <c r="D945" s="129"/>
      <c r="E945" s="128"/>
      <c r="F945" s="129"/>
      <c r="G945" s="129"/>
      <c r="H945" s="72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27" t="str">
        <f t="shared" si="1"/>
        <v/>
      </c>
      <c r="B946" s="128"/>
      <c r="C946" s="128"/>
      <c r="D946" s="129"/>
      <c r="E946" s="128"/>
      <c r="F946" s="129"/>
      <c r="G946" s="129"/>
      <c r="H946" s="72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27" t="str">
        <f t="shared" si="1"/>
        <v/>
      </c>
      <c r="B947" s="128"/>
      <c r="C947" s="128"/>
      <c r="D947" s="129"/>
      <c r="E947" s="128"/>
      <c r="F947" s="129"/>
      <c r="G947" s="129"/>
      <c r="H947" s="72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27" t="str">
        <f t="shared" si="1"/>
        <v/>
      </c>
      <c r="B948" s="128"/>
      <c r="C948" s="128"/>
      <c r="D948" s="129"/>
      <c r="E948" s="128"/>
      <c r="F948" s="129"/>
      <c r="G948" s="129"/>
      <c r="H948" s="72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27" t="str">
        <f t="shared" si="1"/>
        <v/>
      </c>
      <c r="B949" s="128"/>
      <c r="C949" s="128"/>
      <c r="D949" s="129"/>
      <c r="E949" s="128"/>
      <c r="F949" s="129"/>
      <c r="G949" s="129"/>
      <c r="H949" s="72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27" t="str">
        <f t="shared" si="1"/>
        <v/>
      </c>
      <c r="B950" s="128"/>
      <c r="C950" s="128"/>
      <c r="D950" s="129"/>
      <c r="E950" s="128"/>
      <c r="F950" s="129"/>
      <c r="G950" s="129"/>
      <c r="H950" s="72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27" t="str">
        <f t="shared" si="1"/>
        <v/>
      </c>
      <c r="B951" s="128"/>
      <c r="C951" s="128"/>
      <c r="D951" s="129"/>
      <c r="E951" s="128"/>
      <c r="F951" s="129"/>
      <c r="G951" s="129"/>
      <c r="H951" s="72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27" t="str">
        <f t="shared" si="1"/>
        <v/>
      </c>
      <c r="B952" s="128"/>
      <c r="C952" s="128"/>
      <c r="D952" s="129"/>
      <c r="E952" s="128"/>
      <c r="F952" s="129"/>
      <c r="G952" s="129"/>
      <c r="H952" s="72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27" t="str">
        <f t="shared" si="1"/>
        <v/>
      </c>
      <c r="B953" s="128"/>
      <c r="C953" s="128"/>
      <c r="D953" s="129"/>
      <c r="E953" s="128"/>
      <c r="F953" s="129"/>
      <c r="G953" s="129"/>
      <c r="H953" s="72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27" t="str">
        <f t="shared" si="1"/>
        <v/>
      </c>
      <c r="B954" s="128"/>
      <c r="C954" s="128"/>
      <c r="D954" s="129"/>
      <c r="E954" s="128"/>
      <c r="F954" s="129"/>
      <c r="G954" s="129"/>
      <c r="H954" s="72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27" t="str">
        <f t="shared" si="1"/>
        <v/>
      </c>
      <c r="B955" s="128"/>
      <c r="C955" s="128"/>
      <c r="D955" s="129"/>
      <c r="E955" s="128"/>
      <c r="F955" s="129"/>
      <c r="G955" s="129"/>
      <c r="H955" s="72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27" t="str">
        <f t="shared" si="1"/>
        <v/>
      </c>
      <c r="B956" s="128"/>
      <c r="C956" s="128"/>
      <c r="D956" s="129"/>
      <c r="E956" s="128"/>
      <c r="F956" s="129"/>
      <c r="G956" s="129"/>
      <c r="H956" s="72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27" t="str">
        <f t="shared" si="1"/>
        <v/>
      </c>
      <c r="B957" s="128"/>
      <c r="C957" s="128"/>
      <c r="D957" s="129"/>
      <c r="E957" s="128"/>
      <c r="F957" s="129"/>
      <c r="G957" s="129"/>
      <c r="H957" s="72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27" t="str">
        <f t="shared" si="1"/>
        <v/>
      </c>
      <c r="B958" s="128"/>
      <c r="C958" s="128"/>
      <c r="D958" s="129"/>
      <c r="E958" s="128"/>
      <c r="F958" s="129"/>
      <c r="G958" s="129"/>
      <c r="H958" s="72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27" t="str">
        <f t="shared" si="1"/>
        <v/>
      </c>
      <c r="B959" s="128"/>
      <c r="C959" s="128"/>
      <c r="D959" s="129"/>
      <c r="E959" s="128"/>
      <c r="F959" s="129"/>
      <c r="G959" s="129"/>
      <c r="H959" s="72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27" t="str">
        <f t="shared" si="1"/>
        <v/>
      </c>
      <c r="B960" s="128"/>
      <c r="C960" s="128"/>
      <c r="D960" s="129"/>
      <c r="E960" s="128"/>
      <c r="F960" s="129"/>
      <c r="G960" s="129"/>
      <c r="H960" s="72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27" t="str">
        <f t="shared" si="1"/>
        <v/>
      </c>
      <c r="B961" s="128"/>
      <c r="C961" s="128"/>
      <c r="D961" s="129"/>
      <c r="E961" s="128"/>
      <c r="F961" s="129"/>
      <c r="G961" s="129"/>
      <c r="H961" s="72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27" t="str">
        <f t="shared" si="1"/>
        <v/>
      </c>
      <c r="B962" s="128"/>
      <c r="C962" s="128"/>
      <c r="D962" s="129"/>
      <c r="E962" s="128"/>
      <c r="F962" s="129"/>
      <c r="G962" s="129"/>
      <c r="H962" s="72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27" t="str">
        <f t="shared" si="1"/>
        <v/>
      </c>
      <c r="B963" s="128"/>
      <c r="C963" s="128"/>
      <c r="D963" s="129"/>
      <c r="E963" s="128"/>
      <c r="F963" s="129"/>
      <c r="G963" s="129"/>
      <c r="H963" s="72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27" t="str">
        <f t="shared" si="1"/>
        <v/>
      </c>
      <c r="B964" s="128"/>
      <c r="C964" s="128"/>
      <c r="D964" s="129"/>
      <c r="E964" s="128"/>
      <c r="F964" s="129"/>
      <c r="G964" s="129"/>
      <c r="H964" s="72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27" t="str">
        <f t="shared" si="1"/>
        <v/>
      </c>
      <c r="B965" s="128"/>
      <c r="C965" s="128"/>
      <c r="D965" s="129"/>
      <c r="E965" s="128"/>
      <c r="F965" s="129"/>
      <c r="G965" s="129"/>
      <c r="H965" s="72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27" t="str">
        <f t="shared" si="1"/>
        <v/>
      </c>
      <c r="B966" s="128"/>
      <c r="C966" s="128"/>
      <c r="D966" s="129"/>
      <c r="E966" s="128"/>
      <c r="F966" s="129"/>
      <c r="G966" s="129"/>
      <c r="H966" s="72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27" t="str">
        <f t="shared" si="1"/>
        <v/>
      </c>
      <c r="B967" s="128"/>
      <c r="C967" s="128"/>
      <c r="D967" s="129"/>
      <c r="E967" s="128"/>
      <c r="F967" s="129"/>
      <c r="G967" s="129"/>
      <c r="H967" s="7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27" t="str">
        <f t="shared" si="1"/>
        <v/>
      </c>
      <c r="B968" s="128"/>
      <c r="C968" s="128"/>
      <c r="D968" s="129"/>
      <c r="E968" s="128"/>
      <c r="F968" s="129"/>
      <c r="G968" s="129"/>
      <c r="H968" s="72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27" t="str">
        <f t="shared" si="1"/>
        <v/>
      </c>
      <c r="B969" s="128"/>
      <c r="C969" s="128"/>
      <c r="D969" s="129"/>
      <c r="E969" s="128"/>
      <c r="F969" s="129"/>
      <c r="G969" s="129"/>
      <c r="H969" s="72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27" t="str">
        <f t="shared" si="1"/>
        <v/>
      </c>
      <c r="B970" s="128"/>
      <c r="C970" s="128"/>
      <c r="D970" s="129"/>
      <c r="E970" s="128"/>
      <c r="F970" s="129"/>
      <c r="G970" s="129"/>
      <c r="H970" s="72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27" t="str">
        <f t="shared" si="1"/>
        <v/>
      </c>
      <c r="B971" s="128"/>
      <c r="C971" s="128"/>
      <c r="D971" s="129"/>
      <c r="E971" s="128"/>
      <c r="F971" s="129"/>
      <c r="G971" s="129"/>
      <c r="H971" s="72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27" t="str">
        <f t="shared" si="1"/>
        <v/>
      </c>
      <c r="B972" s="128"/>
      <c r="C972" s="128"/>
      <c r="D972" s="129"/>
      <c r="E972" s="128"/>
      <c r="F972" s="129"/>
      <c r="G972" s="129"/>
      <c r="H972" s="72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27" t="str">
        <f t="shared" si="1"/>
        <v/>
      </c>
      <c r="B973" s="128"/>
      <c r="C973" s="128"/>
      <c r="D973" s="129"/>
      <c r="E973" s="128"/>
      <c r="F973" s="129"/>
      <c r="G973" s="129"/>
      <c r="H973" s="72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27" t="str">
        <f t="shared" si="1"/>
        <v/>
      </c>
      <c r="B974" s="128"/>
      <c r="C974" s="128"/>
      <c r="D974" s="129"/>
      <c r="E974" s="128"/>
      <c r="F974" s="129"/>
      <c r="G974" s="129"/>
      <c r="H974" s="72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27" t="str">
        <f t="shared" si="1"/>
        <v/>
      </c>
      <c r="B975" s="128"/>
      <c r="C975" s="128"/>
      <c r="D975" s="129"/>
      <c r="E975" s="128"/>
      <c r="F975" s="129"/>
      <c r="G975" s="129"/>
      <c r="H975" s="72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27" t="str">
        <f t="shared" si="1"/>
        <v/>
      </c>
      <c r="B976" s="128"/>
      <c r="C976" s="128"/>
      <c r="D976" s="129"/>
      <c r="E976" s="128"/>
      <c r="F976" s="129"/>
      <c r="G976" s="129"/>
      <c r="H976" s="72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27" t="str">
        <f t="shared" si="1"/>
        <v/>
      </c>
      <c r="B977" s="128"/>
      <c r="C977" s="128"/>
      <c r="D977" s="129"/>
      <c r="E977" s="128"/>
      <c r="F977" s="129"/>
      <c r="G977" s="129"/>
      <c r="H977" s="72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27" t="str">
        <f t="shared" si="1"/>
        <v/>
      </c>
      <c r="B978" s="128"/>
      <c r="C978" s="128"/>
      <c r="D978" s="129"/>
      <c r="E978" s="128"/>
      <c r="F978" s="129"/>
      <c r="G978" s="129"/>
      <c r="H978" s="72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27" t="str">
        <f t="shared" si="1"/>
        <v/>
      </c>
      <c r="B979" s="128"/>
      <c r="C979" s="128"/>
      <c r="D979" s="129"/>
      <c r="E979" s="128"/>
      <c r="F979" s="129"/>
      <c r="G979" s="129"/>
      <c r="H979" s="72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27" t="str">
        <f t="shared" si="1"/>
        <v/>
      </c>
      <c r="B980" s="128"/>
      <c r="C980" s="128"/>
      <c r="D980" s="129"/>
      <c r="E980" s="128"/>
      <c r="F980" s="129"/>
      <c r="G980" s="129"/>
      <c r="H980" s="72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27" t="str">
        <f t="shared" si="1"/>
        <v/>
      </c>
      <c r="B981" s="128"/>
      <c r="C981" s="128"/>
      <c r="D981" s="129"/>
      <c r="E981" s="128"/>
      <c r="F981" s="129"/>
      <c r="G981" s="129"/>
      <c r="H981" s="72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27" t="str">
        <f t="shared" si="1"/>
        <v/>
      </c>
      <c r="B982" s="128"/>
      <c r="C982" s="128"/>
      <c r="D982" s="129"/>
      <c r="E982" s="128"/>
      <c r="F982" s="129"/>
      <c r="G982" s="129"/>
      <c r="H982" s="72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27" t="str">
        <f t="shared" si="1"/>
        <v/>
      </c>
      <c r="B983" s="128"/>
      <c r="C983" s="128"/>
      <c r="D983" s="129"/>
      <c r="E983" s="128"/>
      <c r="F983" s="129"/>
      <c r="G983" s="129"/>
      <c r="H983" s="72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27" t="str">
        <f t="shared" si="1"/>
        <v/>
      </c>
      <c r="B984" s="128"/>
      <c r="C984" s="128"/>
      <c r="D984" s="129"/>
      <c r="E984" s="128"/>
      <c r="F984" s="129"/>
      <c r="G984" s="129"/>
      <c r="H984" s="72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27" t="str">
        <f t="shared" si="1"/>
        <v/>
      </c>
      <c r="B985" s="128"/>
      <c r="C985" s="128"/>
      <c r="D985" s="129"/>
      <c r="E985" s="128"/>
      <c r="F985" s="129"/>
      <c r="G985" s="129"/>
      <c r="H985" s="72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27" t="str">
        <f t="shared" si="1"/>
        <v/>
      </c>
      <c r="B986" s="128"/>
      <c r="C986" s="128"/>
      <c r="D986" s="129"/>
      <c r="E986" s="128"/>
      <c r="F986" s="129"/>
      <c r="G986" s="129"/>
      <c r="H986" s="72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27" t="str">
        <f t="shared" si="1"/>
        <v/>
      </c>
      <c r="B987" s="128"/>
      <c r="C987" s="128"/>
      <c r="D987" s="129"/>
      <c r="E987" s="128"/>
      <c r="F987" s="129"/>
      <c r="G987" s="129"/>
      <c r="H987" s="72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27" t="str">
        <f t="shared" si="1"/>
        <v/>
      </c>
      <c r="B988" s="128"/>
      <c r="C988" s="128"/>
      <c r="D988" s="129"/>
      <c r="E988" s="128"/>
      <c r="F988" s="129"/>
      <c r="G988" s="129"/>
      <c r="H988" s="72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27" t="str">
        <f t="shared" si="1"/>
        <v/>
      </c>
      <c r="B989" s="128"/>
      <c r="C989" s="128"/>
      <c r="D989" s="129"/>
      <c r="E989" s="128"/>
      <c r="F989" s="129"/>
      <c r="G989" s="129"/>
      <c r="H989" s="72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27" t="str">
        <f t="shared" si="1"/>
        <v/>
      </c>
      <c r="B990" s="128"/>
      <c r="C990" s="128"/>
      <c r="D990" s="129"/>
      <c r="E990" s="128"/>
      <c r="F990" s="129"/>
      <c r="G990" s="129"/>
      <c r="H990" s="72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27" t="str">
        <f t="shared" si="1"/>
        <v/>
      </c>
      <c r="B991" s="128"/>
      <c r="C991" s="128"/>
      <c r="D991" s="129"/>
      <c r="E991" s="128"/>
      <c r="F991" s="129"/>
      <c r="G991" s="129"/>
      <c r="H991" s="72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27" t="str">
        <f t="shared" si="1"/>
        <v/>
      </c>
      <c r="B992" s="128"/>
      <c r="C992" s="128"/>
      <c r="D992" s="129"/>
      <c r="E992" s="128"/>
      <c r="F992" s="129"/>
      <c r="G992" s="129"/>
      <c r="H992" s="72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27" t="str">
        <f t="shared" si="1"/>
        <v/>
      </c>
      <c r="B993" s="128"/>
      <c r="C993" s="128"/>
      <c r="D993" s="129"/>
      <c r="E993" s="128"/>
      <c r="F993" s="129"/>
      <c r="G993" s="129"/>
      <c r="H993" s="72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27" t="str">
        <f t="shared" si="1"/>
        <v/>
      </c>
      <c r="B994" s="128"/>
      <c r="C994" s="128"/>
      <c r="D994" s="129"/>
      <c r="E994" s="128"/>
      <c r="F994" s="129"/>
      <c r="G994" s="129"/>
      <c r="H994" s="72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27" t="str">
        <f t="shared" si="1"/>
        <v/>
      </c>
      <c r="B995" s="128"/>
      <c r="C995" s="128"/>
      <c r="D995" s="129"/>
      <c r="E995" s="128"/>
      <c r="F995" s="129"/>
      <c r="G995" s="129"/>
      <c r="H995" s="72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27" t="str">
        <f t="shared" si="1"/>
        <v/>
      </c>
      <c r="B996" s="128"/>
      <c r="C996" s="128"/>
      <c r="D996" s="129"/>
      <c r="E996" s="128"/>
      <c r="F996" s="129"/>
      <c r="G996" s="129"/>
      <c r="H996" s="72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27" t="str">
        <f t="shared" si="1"/>
        <v/>
      </c>
      <c r="B997" s="128"/>
      <c r="C997" s="128"/>
      <c r="D997" s="129"/>
      <c r="E997" s="128"/>
      <c r="F997" s="129"/>
      <c r="G997" s="129"/>
      <c r="H997" s="72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27" t="str">
        <f t="shared" si="1"/>
        <v/>
      </c>
      <c r="B998" s="128"/>
      <c r="C998" s="128"/>
      <c r="D998" s="129"/>
      <c r="E998" s="128"/>
      <c r="F998" s="129"/>
      <c r="G998" s="129"/>
      <c r="H998" s="72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27" t="str">
        <f t="shared" si="1"/>
        <v/>
      </c>
      <c r="B999" s="128"/>
      <c r="C999" s="128"/>
      <c r="D999" s="129"/>
      <c r="E999" s="128"/>
      <c r="F999" s="129"/>
      <c r="G999" s="129"/>
      <c r="H999" s="72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27" t="str">
        <f t="shared" si="1"/>
        <v/>
      </c>
      <c r="B1000" s="128"/>
      <c r="C1000" s="128"/>
      <c r="D1000" s="129"/>
      <c r="E1000" s="128"/>
      <c r="F1000" s="129"/>
      <c r="G1000" s="129"/>
      <c r="H1000" s="72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27" t="str">
        <f t="shared" si="1"/>
        <v/>
      </c>
      <c r="B1001" s="128"/>
      <c r="C1001" s="128"/>
      <c r="D1001" s="129"/>
      <c r="E1001" s="128"/>
      <c r="F1001" s="129"/>
      <c r="G1001" s="129"/>
      <c r="H1001" s="72"/>
      <c r="I1001" s="2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27" t="str">
        <f t="shared" si="1"/>
        <v/>
      </c>
      <c r="B1002" s="128"/>
      <c r="C1002" s="128"/>
      <c r="D1002" s="129"/>
      <c r="E1002" s="128"/>
      <c r="F1002" s="129"/>
      <c r="G1002" s="129"/>
      <c r="H1002" s="72"/>
      <c r="I1002" s="2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27" t="str">
        <f t="shared" si="1"/>
        <v/>
      </c>
      <c r="B1003" s="128"/>
      <c r="C1003" s="128"/>
      <c r="D1003" s="129"/>
      <c r="E1003" s="128"/>
      <c r="F1003" s="129"/>
      <c r="G1003" s="129"/>
      <c r="H1003" s="72"/>
      <c r="I1003" s="2"/>
      <c r="J1003" s="2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27" t="str">
        <f t="shared" si="1"/>
        <v/>
      </c>
      <c r="B1004" s="72"/>
      <c r="C1004" s="72"/>
      <c r="D1004" s="2"/>
      <c r="E1004" s="72"/>
      <c r="F1004" s="2"/>
      <c r="G1004" s="2"/>
      <c r="H1004" s="72"/>
      <c r="I1004" s="2"/>
      <c r="J1004" s="2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dataValidations>
    <dataValidation type="list" allowBlank="1" showErrorMessage="1" sqref="C4">
      <formula1>'HEAD OF THE FAMILY'!$B$6:$B$805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6.13"/>
    <col customWidth="1" min="3" max="3" width="24.63"/>
    <col customWidth="1" min="4" max="4" width="5.0"/>
    <col customWidth="1" min="5" max="5" width="25.75"/>
    <col customWidth="1" min="6" max="6" width="6.0"/>
    <col customWidth="1" min="7" max="7" width="8.75"/>
  </cols>
  <sheetData>
    <row r="1">
      <c r="A1" s="133"/>
      <c r="B1" s="9"/>
      <c r="C1" s="9"/>
      <c r="D1" s="9"/>
      <c r="E1" s="9"/>
      <c r="F1" s="133"/>
      <c r="G1" s="133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3"/>
      <c r="B2" s="134" t="s">
        <v>2334</v>
      </c>
      <c r="C2" s="135"/>
      <c r="D2" s="9"/>
      <c r="E2" s="9"/>
      <c r="F2" s="133"/>
      <c r="G2" s="13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33"/>
      <c r="B3" s="134" t="s">
        <v>2337</v>
      </c>
      <c r="C3" s="72">
        <f>SUBTOTAL(2,A6:A1501)</f>
        <v>994</v>
      </c>
      <c r="D3" s="9"/>
      <c r="E3" s="9"/>
      <c r="F3" s="133"/>
      <c r="G3" s="13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3"/>
      <c r="D4" s="9"/>
      <c r="E4" s="9"/>
      <c r="F4" s="133"/>
      <c r="G4" s="13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3"/>
      <c r="B5" s="9"/>
      <c r="C5" s="9"/>
      <c r="D5" s="9"/>
      <c r="E5" s="9"/>
      <c r="F5" s="133"/>
      <c r="G5" s="13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6" t="s">
        <v>22</v>
      </c>
      <c r="B6" s="137" t="s">
        <v>25</v>
      </c>
      <c r="C6" s="137" t="s">
        <v>26</v>
      </c>
      <c r="D6" s="138" t="s">
        <v>2341</v>
      </c>
      <c r="E6" s="137" t="s">
        <v>21</v>
      </c>
      <c r="F6" s="136"/>
      <c r="G6" s="13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0">
        <f t="shared" ref="A7:A1000" si="1">IF(B7="","",ROW()-6)</f>
        <v>1</v>
      </c>
      <c r="B7" s="9" t="str">
        <f>IFERROR(__xludf.DUMMYFUNCTION("IFERROR(FILTER(CHILDREN!B6:I1501,ISNUMBER(SEARCH(LOWER(C2), LOWER(CHILDREN!B6:B1501)))), ""NO MATCH FOUND"")"),"BILLONES")</f>
        <v>BILLONES</v>
      </c>
      <c r="C7" s="9" t="str">
        <f>IFERROR(__xludf.DUMMYFUNCTION("""COMPUTED_VALUE"""),"NELJOHN")</f>
        <v>NELJOHN</v>
      </c>
      <c r="D7" s="9"/>
      <c r="E7" s="9" t="str">
        <f>IFERROR(__xludf.DUMMYFUNCTION("""COMPUTED_VALUE"""),"NELVIN BILLONES")</f>
        <v>NELVIN BILLONES</v>
      </c>
      <c r="F7" s="133"/>
      <c r="G7" s="13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0">
        <f t="shared" si="1"/>
        <v>2</v>
      </c>
      <c r="B8" s="9" t="str">
        <f>IFERROR(__xludf.DUMMYFUNCTION("""COMPUTED_VALUE"""),"BILLONES")</f>
        <v>BILLONES</v>
      </c>
      <c r="C8" s="9" t="str">
        <f>IFERROR(__xludf.DUMMYFUNCTION("""COMPUTED_VALUE"""),"PRECIUS YHANA")</f>
        <v>PRECIUS YHANA</v>
      </c>
      <c r="D8" s="9"/>
      <c r="E8" s="9" t="str">
        <f>IFERROR(__xludf.DUMMYFUNCTION("""COMPUTED_VALUE"""),"NELVIN BILLONES")</f>
        <v>NELVIN BILLONES</v>
      </c>
      <c r="F8" s="133"/>
      <c r="G8" s="13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0">
        <f t="shared" si="1"/>
        <v>3</v>
      </c>
      <c r="B9" s="9" t="str">
        <f>IFERROR(__xludf.DUMMYFUNCTION("""COMPUTED_VALUE"""),"BILLONES")</f>
        <v>BILLONES</v>
      </c>
      <c r="C9" s="9" t="str">
        <f>IFERROR(__xludf.DUMMYFUNCTION("""COMPUTED_VALUE"""),"PRINCE YUAN")</f>
        <v>PRINCE YUAN</v>
      </c>
      <c r="D9" s="9"/>
      <c r="E9" s="9" t="str">
        <f>IFERROR(__xludf.DUMMYFUNCTION("""COMPUTED_VALUE"""),"NELVIN BILLONES")</f>
        <v>NELVIN BILLONES</v>
      </c>
      <c r="F9" s="133"/>
      <c r="G9" s="13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0">
        <f t="shared" si="1"/>
        <v>4</v>
      </c>
      <c r="B10" s="9" t="str">
        <f>IFERROR(__xludf.DUMMYFUNCTION("""COMPUTED_VALUE"""),"BILLONES")</f>
        <v>BILLONES</v>
      </c>
      <c r="C10" s="9" t="str">
        <f>IFERROR(__xludf.DUMMYFUNCTION("""COMPUTED_VALUE"""),"NERISSA")</f>
        <v>NERISSA</v>
      </c>
      <c r="D10" s="9" t="str">
        <f>IFERROR(__xludf.DUMMYFUNCTION("""COMPUTED_VALUE"""),"P.")</f>
        <v>P.</v>
      </c>
      <c r="E10" s="9" t="str">
        <f>IFERROR(__xludf.DUMMYFUNCTION("""COMPUTED_VALUE"""),"NELVIN BILLONES")</f>
        <v>NELVIN BILLONES</v>
      </c>
      <c r="F10" s="133"/>
      <c r="G10" s="13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0">
        <f t="shared" si="1"/>
        <v>5</v>
      </c>
      <c r="B11" s="9" t="str">
        <f>IFERROR(__xludf.DUMMYFUNCTION("""COMPUTED_VALUE"""),"BILLONES")</f>
        <v>BILLONES</v>
      </c>
      <c r="C11" s="9" t="str">
        <f>IFERROR(__xludf.DUMMYFUNCTION("""COMPUTED_VALUE"""),"MARK GIL AERON")</f>
        <v>MARK GIL AERON</v>
      </c>
      <c r="D11" s="9" t="str">
        <f>IFERROR(__xludf.DUMMYFUNCTION("""COMPUTED_VALUE"""),"P.")</f>
        <v>P.</v>
      </c>
      <c r="E11" s="9" t="str">
        <f>IFERROR(__xludf.DUMMYFUNCTION("""COMPUTED_VALUE"""),"ROGELIO S. BILLONES")</f>
        <v>ROGELIO S. BILLONES</v>
      </c>
      <c r="F11" s="133"/>
      <c r="G11" s="13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0">
        <f t="shared" si="1"/>
        <v>6</v>
      </c>
      <c r="B12" s="9" t="str">
        <f>IFERROR(__xludf.DUMMYFUNCTION("""COMPUTED_VALUE"""),"MARTIN ")</f>
        <v>MARTIN </v>
      </c>
      <c r="C12" s="9" t="str">
        <f>IFERROR(__xludf.DUMMYFUNCTION("""COMPUTED_VALUE"""),"MARIANNE MILES")</f>
        <v>MARIANNE MILES</v>
      </c>
      <c r="D12" s="9"/>
      <c r="E12" s="9" t="str">
        <f>IFERROR(__xludf.DUMMYFUNCTION("""COMPUTED_VALUE"""),"NORMAN BILLONES")</f>
        <v>NORMAN BILLONES</v>
      </c>
      <c r="F12" s="133"/>
      <c r="G12" s="133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0">
        <f t="shared" si="1"/>
        <v>7</v>
      </c>
      <c r="B13" s="9" t="str">
        <f>IFERROR(__xludf.DUMMYFUNCTION("""COMPUTED_VALUE"""),"BILLONES")</f>
        <v>BILLONES</v>
      </c>
      <c r="C13" s="9" t="str">
        <f>IFERROR(__xludf.DUMMYFUNCTION("""COMPUTED_VALUE"""),"JOHN VILLMAR")</f>
        <v>JOHN VILLMAR</v>
      </c>
      <c r="D13" s="9" t="str">
        <f>IFERROR(__xludf.DUMMYFUNCTION("""COMPUTED_VALUE"""),"M.")</f>
        <v>M.</v>
      </c>
      <c r="E13" s="9" t="str">
        <f>IFERROR(__xludf.DUMMYFUNCTION("""COMPUTED_VALUE"""),"NORMAN BILLONES")</f>
        <v>NORMAN BILLONES</v>
      </c>
      <c r="F13" s="133"/>
      <c r="G13" s="133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0">
        <f t="shared" si="1"/>
        <v>8</v>
      </c>
      <c r="B14" s="9" t="str">
        <f>IFERROR(__xludf.DUMMYFUNCTION("""COMPUTED_VALUE"""),"BILLONES")</f>
        <v>BILLONES</v>
      </c>
      <c r="C14" s="9" t="str">
        <f>IFERROR(__xludf.DUMMYFUNCTION("""COMPUTED_VALUE"""),"SHARESCA MILES")</f>
        <v>SHARESCA MILES</v>
      </c>
      <c r="D14" s="9" t="str">
        <f>IFERROR(__xludf.DUMMYFUNCTION("""COMPUTED_VALUE"""),"M.")</f>
        <v>M.</v>
      </c>
      <c r="E14" s="9" t="str">
        <f>IFERROR(__xludf.DUMMYFUNCTION("""COMPUTED_VALUE"""),"NORMAN BILLONES")</f>
        <v>NORMAN BILLONES</v>
      </c>
      <c r="F14" s="133"/>
      <c r="G14" s="133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0">
        <f t="shared" si="1"/>
        <v>9</v>
      </c>
      <c r="B15" s="9" t="str">
        <f>IFERROR(__xludf.DUMMYFUNCTION("""COMPUTED_VALUE"""),"BILLONES")</f>
        <v>BILLONES</v>
      </c>
      <c r="C15" s="9" t="str">
        <f>IFERROR(__xludf.DUMMYFUNCTION("""COMPUTED_VALUE"""),"AYRA NAINE")</f>
        <v>AYRA NAINE</v>
      </c>
      <c r="D15" s="9" t="str">
        <f>IFERROR(__xludf.DUMMYFUNCTION("""COMPUTED_VALUE"""),"M.")</f>
        <v>M.</v>
      </c>
      <c r="E15" s="9" t="str">
        <f>IFERROR(__xludf.DUMMYFUNCTION("""COMPUTED_VALUE"""),"NORMAN BILLONES")</f>
        <v>NORMAN BILLONES</v>
      </c>
      <c r="F15" s="133"/>
      <c r="G15" s="133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0">
        <f t="shared" si="1"/>
        <v>10</v>
      </c>
      <c r="B16" s="9" t="str">
        <f>IFERROR(__xludf.DUMMYFUNCTION("""COMPUTED_VALUE"""),"BILLONES")</f>
        <v>BILLONES</v>
      </c>
      <c r="C16" s="9" t="str">
        <f>IFERROR(__xludf.DUMMYFUNCTION("""COMPUTED_VALUE"""),"STEPHEN GAEL")</f>
        <v>STEPHEN GAEL</v>
      </c>
      <c r="D16" s="9" t="str">
        <f>IFERROR(__xludf.DUMMYFUNCTION("""COMPUTED_VALUE"""),"M.")</f>
        <v>M.</v>
      </c>
      <c r="E16" s="9" t="str">
        <f>IFERROR(__xludf.DUMMYFUNCTION("""COMPUTED_VALUE"""),"NORMAN BILLONES")</f>
        <v>NORMAN BILLONES</v>
      </c>
      <c r="F16" s="133"/>
      <c r="G16" s="133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0">
        <f t="shared" si="1"/>
        <v>11</v>
      </c>
      <c r="B17" s="9" t="str">
        <f>IFERROR(__xludf.DUMMYFUNCTION("""COMPUTED_VALUE"""),"BILLONES")</f>
        <v>BILLONES</v>
      </c>
      <c r="C17" s="9" t="str">
        <f>IFERROR(__xludf.DUMMYFUNCTION("""COMPUTED_VALUE"""),"E.R")</f>
        <v>E.R</v>
      </c>
      <c r="D17" s="9"/>
      <c r="E17" s="9" t="str">
        <f>IFERROR(__xludf.DUMMYFUNCTION("""COMPUTED_VALUE"""),"NORMAN BILLONES")</f>
        <v>NORMAN BILLONES</v>
      </c>
      <c r="F17" s="133"/>
      <c r="G17" s="13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0">
        <f t="shared" si="1"/>
        <v>12</v>
      </c>
      <c r="B18" s="9" t="str">
        <f>IFERROR(__xludf.DUMMYFUNCTION("""COMPUTED_VALUE"""),"LABUTIN ")</f>
        <v>LABUTIN </v>
      </c>
      <c r="C18" s="9" t="str">
        <f>IFERROR(__xludf.DUMMYFUNCTION("""COMPUTED_VALUE"""),"JHONROGELIO")</f>
        <v>JHONROGELIO</v>
      </c>
      <c r="D18" s="9" t="str">
        <f>IFERROR(__xludf.DUMMYFUNCTION("""COMPUTED_VALUE"""),"B.")</f>
        <v>B.</v>
      </c>
      <c r="E18" s="9" t="str">
        <f>IFERROR(__xludf.DUMMYFUNCTION("""COMPUTED_VALUE"""),"ROGELIO A. LABUTIN")</f>
        <v>ROGELIO A. LABUTIN</v>
      </c>
      <c r="F18" s="133"/>
      <c r="G18" s="13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0">
        <f t="shared" si="1"/>
        <v>13</v>
      </c>
      <c r="B19" s="9" t="str">
        <f>IFERROR(__xludf.DUMMYFUNCTION("""COMPUTED_VALUE"""),"LABUTIN ")</f>
        <v>LABUTIN </v>
      </c>
      <c r="C19" s="9" t="str">
        <f>IFERROR(__xludf.DUMMYFUNCTION("""COMPUTED_VALUE"""),"ARZEL")</f>
        <v>ARZEL</v>
      </c>
      <c r="D19" s="9" t="str">
        <f>IFERROR(__xludf.DUMMYFUNCTION("""COMPUTED_VALUE"""),"B.")</f>
        <v>B.</v>
      </c>
      <c r="E19" s="9" t="str">
        <f>IFERROR(__xludf.DUMMYFUNCTION("""COMPUTED_VALUE"""),"ROGELIO A. LABUTIN")</f>
        <v>ROGELIO A. LABUTIN</v>
      </c>
      <c r="F19" s="133"/>
      <c r="G19" s="13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0">
        <f t="shared" si="1"/>
        <v>14</v>
      </c>
      <c r="B20" s="9" t="str">
        <f>IFERROR(__xludf.DUMMYFUNCTION("""COMPUTED_VALUE"""),"AYUDAN")</f>
        <v>AYUDAN</v>
      </c>
      <c r="C20" s="9" t="str">
        <f>IFERROR(__xludf.DUMMYFUNCTION("""COMPUTED_VALUE"""),"MARIA PAULIN")</f>
        <v>MARIA PAULIN</v>
      </c>
      <c r="D20" s="9" t="str">
        <f>IFERROR(__xludf.DUMMYFUNCTION("""COMPUTED_VALUE"""),"C.")</f>
        <v>C.</v>
      </c>
      <c r="E20" s="9" t="str">
        <f>IFERROR(__xludf.DUMMYFUNCTION("""COMPUTED_VALUE"""),"RENATO AYUDAN")</f>
        <v>RENATO AYUDAN</v>
      </c>
      <c r="F20" s="133"/>
      <c r="G20" s="13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0">
        <f t="shared" si="1"/>
        <v>15</v>
      </c>
      <c r="B21" s="9" t="str">
        <f>IFERROR(__xludf.DUMMYFUNCTION("""COMPUTED_VALUE"""),"LAOLA")</f>
        <v>LAOLA</v>
      </c>
      <c r="C21" s="9" t="str">
        <f>IFERROR(__xludf.DUMMYFUNCTION("""COMPUTED_VALUE"""),"ELLA")</f>
        <v>ELLA</v>
      </c>
      <c r="D21" s="9" t="str">
        <f>IFERROR(__xludf.DUMMYFUNCTION("""COMPUTED_VALUE"""),"C.")</f>
        <v>C.</v>
      </c>
      <c r="E21" s="9" t="str">
        <f>IFERROR(__xludf.DUMMYFUNCTION("""COMPUTED_VALUE"""),"RENATO AYUDAN")</f>
        <v>RENATO AYUDAN</v>
      </c>
      <c r="F21" s="133"/>
      <c r="G21" s="13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0">
        <f t="shared" si="1"/>
        <v>16</v>
      </c>
      <c r="B22" s="9" t="str">
        <f>IFERROR(__xludf.DUMMYFUNCTION("""COMPUTED_VALUE"""),"SALAMAT")</f>
        <v>SALAMAT</v>
      </c>
      <c r="C22" s="9" t="str">
        <f>IFERROR(__xludf.DUMMYFUNCTION("""COMPUTED_VALUE"""),"SHAWN JAYVE")</f>
        <v>SHAWN JAYVE</v>
      </c>
      <c r="D22" s="9"/>
      <c r="E22" s="9" t="str">
        <f>IFERROR(__xludf.DUMMYFUNCTION("""COMPUTED_VALUE"""),"SHERWIN JAY SALAMAT")</f>
        <v>SHERWIN JAY SALAMAT</v>
      </c>
      <c r="F22" s="133"/>
      <c r="G22" s="13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0">
        <f t="shared" si="1"/>
        <v>17</v>
      </c>
      <c r="B23" s="9" t="str">
        <f>IFERROR(__xludf.DUMMYFUNCTION("""COMPUTED_VALUE"""),"SALAMAT")</f>
        <v>SALAMAT</v>
      </c>
      <c r="C23" s="9" t="str">
        <f>IFERROR(__xludf.DUMMYFUNCTION("""COMPUTED_VALUE"""),"SHAMARA JHADE")</f>
        <v>SHAMARA JHADE</v>
      </c>
      <c r="D23" s="9"/>
      <c r="E23" s="9" t="str">
        <f>IFERROR(__xludf.DUMMYFUNCTION("""COMPUTED_VALUE"""),"SHERWIN JAY SALAMAT")</f>
        <v>SHERWIN JAY SALAMAT</v>
      </c>
      <c r="F23" s="133"/>
      <c r="G23" s="13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60">
        <f t="shared" si="1"/>
        <v>18</v>
      </c>
      <c r="B24" s="9" t="str">
        <f>IFERROR(__xludf.DUMMYFUNCTION("""COMPUTED_VALUE"""),"MIRASOL")</f>
        <v>MIRASOL</v>
      </c>
      <c r="C24" s="9" t="str">
        <f>IFERROR(__xludf.DUMMYFUNCTION("""COMPUTED_VALUE"""),"JEFFREY S. MIRASOL")</f>
        <v>JEFFREY S. MIRASOL</v>
      </c>
      <c r="D24" s="9"/>
      <c r="E24" s="9"/>
      <c r="F24" s="133"/>
      <c r="G24" s="13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60">
        <f t="shared" si="1"/>
        <v>19</v>
      </c>
      <c r="B25" s="9" t="str">
        <f>IFERROR(__xludf.DUMMYFUNCTION("""COMPUTED_VALUE"""),"BADAGUAS")</f>
        <v>BADAGUAS</v>
      </c>
      <c r="C25" s="9" t="str">
        <f>IFERROR(__xludf.DUMMYFUNCTION("""COMPUTED_VALUE"""),"JASMIR ALI")</f>
        <v>JASMIR ALI</v>
      </c>
      <c r="D25" s="9" t="str">
        <f>IFERROR(__xludf.DUMMYFUNCTION("""COMPUTED_VALUE"""),"M.")</f>
        <v>M.</v>
      </c>
      <c r="E25" s="9" t="str">
        <f>IFERROR(__xludf.DUMMYFUNCTION("""COMPUTED_VALUE"""),"JENNALYN S. MIRASOL")</f>
        <v>JENNALYN S. MIRASOL</v>
      </c>
      <c r="F25" s="133"/>
      <c r="G25" s="13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60">
        <f t="shared" si="1"/>
        <v>20</v>
      </c>
      <c r="B26" s="9" t="str">
        <f>IFERROR(__xludf.DUMMYFUNCTION("""COMPUTED_VALUE"""),"LEBOSADA")</f>
        <v>LEBOSADA</v>
      </c>
      <c r="C26" s="9" t="str">
        <f>IFERROR(__xludf.DUMMYFUNCTION("""COMPUTED_VALUE"""),"JANEGELLE")</f>
        <v>JANEGELLE</v>
      </c>
      <c r="D26" s="9" t="str">
        <f>IFERROR(__xludf.DUMMYFUNCTION("""COMPUTED_VALUE"""),"H.")</f>
        <v>H.</v>
      </c>
      <c r="E26" s="9" t="str">
        <f>IFERROR(__xludf.DUMMYFUNCTION("""COMPUTED_VALUE"""),"AGAPITO A. HILARIO")</f>
        <v>AGAPITO A. HILARIO</v>
      </c>
      <c r="F26" s="133"/>
      <c r="G26" s="13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60">
        <f t="shared" si="1"/>
        <v>21</v>
      </c>
      <c r="B27" s="9" t="str">
        <f>IFERROR(__xludf.DUMMYFUNCTION("""COMPUTED_VALUE"""),"CABRERA")</f>
        <v>CABRERA</v>
      </c>
      <c r="C27" s="9" t="str">
        <f>IFERROR(__xludf.DUMMYFUNCTION("""COMPUTED_VALUE"""),"JAYCEERYN")</f>
        <v>JAYCEERYN</v>
      </c>
      <c r="D27" s="9" t="str">
        <f>IFERROR(__xludf.DUMMYFUNCTION("""COMPUTED_VALUE"""),"H.")</f>
        <v>H.</v>
      </c>
      <c r="E27" s="9" t="str">
        <f>IFERROR(__xludf.DUMMYFUNCTION("""COMPUTED_VALUE"""),"AGAPITO A. HILARIO")</f>
        <v>AGAPITO A. HILARIO</v>
      </c>
      <c r="F27" s="133"/>
      <c r="G27" s="1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60">
        <f t="shared" si="1"/>
        <v>22</v>
      </c>
      <c r="B28" s="9" t="str">
        <f>IFERROR(__xludf.DUMMYFUNCTION("""COMPUTED_VALUE"""),"AMASA")</f>
        <v>AMASA</v>
      </c>
      <c r="C28" s="9" t="str">
        <f>IFERROR(__xludf.DUMMYFUNCTION("""COMPUTED_VALUE"""),"PRIMO KIEL")</f>
        <v>PRIMO KIEL</v>
      </c>
      <c r="D28" s="9"/>
      <c r="E28" s="9" t="str">
        <f>IFERROR(__xludf.DUMMYFUNCTION("""COMPUTED_VALUE"""),"PRINCE NHIMWELL L. AMASA")</f>
        <v>PRINCE NHIMWELL L. AMASA</v>
      </c>
      <c r="F28" s="133"/>
      <c r="G28" s="1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60">
        <f t="shared" si="1"/>
        <v>23</v>
      </c>
      <c r="B29" s="9" t="str">
        <f>IFERROR(__xludf.DUMMYFUNCTION("""COMPUTED_VALUE"""),"AMASA")</f>
        <v>AMASA</v>
      </c>
      <c r="C29" s="9" t="str">
        <f>IFERROR(__xludf.DUMMYFUNCTION("""COMPUTED_VALUE"""),"PRINCE NHIMWELL ")</f>
        <v>PRINCE NHIMWELL </v>
      </c>
      <c r="D29" s="9" t="str">
        <f>IFERROR(__xludf.DUMMYFUNCTION("""COMPUTED_VALUE"""),"L.")</f>
        <v>L.</v>
      </c>
      <c r="E29" s="9" t="str">
        <f>IFERROR(__xludf.DUMMYFUNCTION("""COMPUTED_VALUE"""),"NHOEL D. AMASA")</f>
        <v>NHOEL D. AMASA</v>
      </c>
      <c r="F29" s="133"/>
      <c r="G29" s="13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60">
        <f t="shared" si="1"/>
        <v>24</v>
      </c>
      <c r="B30" s="9" t="str">
        <f>IFERROR(__xludf.DUMMYFUNCTION("""COMPUTED_VALUE"""),"AMASA")</f>
        <v>AMASA</v>
      </c>
      <c r="C30" s="9" t="str">
        <f>IFERROR(__xludf.DUMMYFUNCTION("""COMPUTED_VALUE"""),"NHICOLE")</f>
        <v>NHICOLE</v>
      </c>
      <c r="D30" s="9" t="str">
        <f>IFERROR(__xludf.DUMMYFUNCTION("""COMPUTED_VALUE"""),"L.")</f>
        <v>L.</v>
      </c>
      <c r="E30" s="9" t="str">
        <f>IFERROR(__xludf.DUMMYFUNCTION("""COMPUTED_VALUE"""),"NHOEL D. AMASA")</f>
        <v>NHOEL D. AMASA</v>
      </c>
      <c r="F30" s="133"/>
      <c r="G30" s="13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60">
        <f t="shared" si="1"/>
        <v>25</v>
      </c>
      <c r="B31" s="9" t="str">
        <f>IFERROR(__xludf.DUMMYFUNCTION("""COMPUTED_VALUE"""),"AMASA")</f>
        <v>AMASA</v>
      </c>
      <c r="C31" s="9" t="str">
        <f>IFERROR(__xludf.DUMMYFUNCTION("""COMPUTED_VALUE"""),"NHATALEE")</f>
        <v>NHATALEE</v>
      </c>
      <c r="D31" s="9" t="str">
        <f>IFERROR(__xludf.DUMMYFUNCTION("""COMPUTED_VALUE"""),"L.")</f>
        <v>L.</v>
      </c>
      <c r="E31" s="9" t="str">
        <f>IFERROR(__xludf.DUMMYFUNCTION("""COMPUTED_VALUE"""),"NHOEL D. AMASA")</f>
        <v>NHOEL D. AMASA</v>
      </c>
      <c r="F31" s="133"/>
      <c r="G31" s="13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60">
        <f t="shared" si="1"/>
        <v>26</v>
      </c>
      <c r="B32" s="9" t="str">
        <f>IFERROR(__xludf.DUMMYFUNCTION("""COMPUTED_VALUE"""),"AMASA")</f>
        <v>AMASA</v>
      </c>
      <c r="C32" s="9" t="str">
        <f>IFERROR(__xludf.DUMMYFUNCTION("""COMPUTED_VALUE"""),"ANGELITO")</f>
        <v>ANGELITO</v>
      </c>
      <c r="D32" s="9" t="str">
        <f>IFERROR(__xludf.DUMMYFUNCTION("""COMPUTED_VALUE"""),"L.")</f>
        <v>L.</v>
      </c>
      <c r="E32" s="9" t="str">
        <f>IFERROR(__xludf.DUMMYFUNCTION("""COMPUTED_VALUE"""),"NHOEL D. AMASA")</f>
        <v>NHOEL D. AMASA</v>
      </c>
      <c r="F32" s="133"/>
      <c r="G32" s="13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60">
        <f t="shared" si="1"/>
        <v>27</v>
      </c>
      <c r="B33" s="9" t="str">
        <f>IFERROR(__xludf.DUMMYFUNCTION("""COMPUTED_VALUE"""),"AMASA")</f>
        <v>AMASA</v>
      </c>
      <c r="C33" s="9" t="str">
        <f>IFERROR(__xludf.DUMMYFUNCTION("""COMPUTED_VALUE"""),"ROY")</f>
        <v>ROY</v>
      </c>
      <c r="D33" s="9"/>
      <c r="E33" s="9" t="str">
        <f>IFERROR(__xludf.DUMMYFUNCTION("""COMPUTED_VALUE"""),"NELSON D. AMASA")</f>
        <v>NELSON D. AMASA</v>
      </c>
      <c r="F33" s="133"/>
      <c r="G33" s="13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60">
        <f t="shared" si="1"/>
        <v>28</v>
      </c>
      <c r="B34" s="9" t="str">
        <f>IFERROR(__xludf.DUMMYFUNCTION("""COMPUTED_VALUE"""),"AMASA ")</f>
        <v>AMASA </v>
      </c>
      <c r="C34" s="9" t="str">
        <f>IFERROR(__xludf.DUMMYFUNCTION("""COMPUTED_VALUE"""),"JOSEPH")</f>
        <v>JOSEPH</v>
      </c>
      <c r="D34" s="9" t="str">
        <f>IFERROR(__xludf.DUMMYFUNCTION("""COMPUTED_VALUE"""),"I.")</f>
        <v>I.</v>
      </c>
      <c r="E34" s="9" t="str">
        <f>IFERROR(__xludf.DUMMYFUNCTION("""COMPUTED_VALUE"""),"JOSHUA D. AMASA")</f>
        <v>JOSHUA D. AMASA</v>
      </c>
      <c r="F34" s="133"/>
      <c r="G34" s="13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0">
        <f t="shared" si="1"/>
        <v>29</v>
      </c>
      <c r="B35" s="9" t="str">
        <f>IFERROR(__xludf.DUMMYFUNCTION("""COMPUTED_VALUE"""),"BULOS")</f>
        <v>BULOS</v>
      </c>
      <c r="C35" s="9" t="str">
        <f>IFERROR(__xludf.DUMMYFUNCTION("""COMPUTED_VALUE"""),"DAPHNE CHLOE")</f>
        <v>DAPHNE CHLOE</v>
      </c>
      <c r="D35" s="9"/>
      <c r="E35" s="9" t="str">
        <f>IFERROR(__xludf.DUMMYFUNCTION("""COMPUTED_VALUE"""),"JENNY C. HUGO")</f>
        <v>JENNY C. HUGO</v>
      </c>
      <c r="F35" s="133"/>
      <c r="G35" s="13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0">
        <f t="shared" si="1"/>
        <v>30</v>
      </c>
      <c r="B36" s="9" t="str">
        <f>IFERROR(__xludf.DUMMYFUNCTION("""COMPUTED_VALUE"""),"BULOS")</f>
        <v>BULOS</v>
      </c>
      <c r="C36" s="9" t="str">
        <f>IFERROR(__xludf.DUMMYFUNCTION("""COMPUTED_VALUE"""),"DAMIANE JHON")</f>
        <v>DAMIANE JHON</v>
      </c>
      <c r="D36" s="9"/>
      <c r="E36" s="9" t="str">
        <f>IFERROR(__xludf.DUMMYFUNCTION("""COMPUTED_VALUE"""),"JENNY C. HUGO")</f>
        <v>JENNY C. HUGO</v>
      </c>
      <c r="F36" s="133"/>
      <c r="G36" s="13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0">
        <f t="shared" si="1"/>
        <v>31</v>
      </c>
      <c r="B37" s="9" t="str">
        <f>IFERROR(__xludf.DUMMYFUNCTION("""COMPUTED_VALUE"""),"BULOS")</f>
        <v>BULOS</v>
      </c>
      <c r="C37" s="9" t="str">
        <f>IFERROR(__xludf.DUMMYFUNCTION("""COMPUTED_VALUE"""),"DARRISE JUDIEL")</f>
        <v>DARRISE JUDIEL</v>
      </c>
      <c r="D37" s="9"/>
      <c r="E37" s="9" t="str">
        <f>IFERROR(__xludf.DUMMYFUNCTION("""COMPUTED_VALUE"""),"JENNY C. HUGO")</f>
        <v>JENNY C. HUGO</v>
      </c>
      <c r="F37" s="133"/>
      <c r="G37" s="13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0">
        <f t="shared" si="1"/>
        <v>32</v>
      </c>
      <c r="B38" s="9" t="str">
        <f>IFERROR(__xludf.DUMMYFUNCTION("""COMPUTED_VALUE"""),"PARAS")</f>
        <v>PARAS</v>
      </c>
      <c r="C38" s="9" t="str">
        <f>IFERROR(__xludf.DUMMYFUNCTION("""COMPUTED_VALUE"""),"JANICE")</f>
        <v>JANICE</v>
      </c>
      <c r="D38" s="9"/>
      <c r="E38" s="9" t="str">
        <f>IFERROR(__xludf.DUMMYFUNCTION("""COMPUTED_VALUE"""),"DILLON PARAS")</f>
        <v>DILLON PARAS</v>
      </c>
      <c r="F38" s="133"/>
      <c r="G38" s="13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60">
        <f t="shared" si="1"/>
        <v>33</v>
      </c>
      <c r="B39" s="9" t="str">
        <f>IFERROR(__xludf.DUMMYFUNCTION("""COMPUTED_VALUE"""),"PARAS")</f>
        <v>PARAS</v>
      </c>
      <c r="C39" s="9" t="str">
        <f>IFERROR(__xludf.DUMMYFUNCTION("""COMPUTED_VALUE"""),"ESTIAN")</f>
        <v>ESTIAN</v>
      </c>
      <c r="D39" s="9"/>
      <c r="E39" s="9" t="str">
        <f>IFERROR(__xludf.DUMMYFUNCTION("""COMPUTED_VALUE"""),"DILLON PARAS")</f>
        <v>DILLON PARAS</v>
      </c>
      <c r="F39" s="133"/>
      <c r="G39" s="13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60">
        <f t="shared" si="1"/>
        <v>34</v>
      </c>
      <c r="B40" s="9" t="str">
        <f>IFERROR(__xludf.DUMMYFUNCTION("""COMPUTED_VALUE"""),"CHRISTIAN")</f>
        <v>CHRISTIAN</v>
      </c>
      <c r="C40" s="9" t="str">
        <f>IFERROR(__xludf.DUMMYFUNCTION("""COMPUTED_VALUE"""),"JOSON")</f>
        <v>JOSON</v>
      </c>
      <c r="D40" s="9"/>
      <c r="E40" s="9" t="str">
        <f>IFERROR(__xludf.DUMMYFUNCTION("""COMPUTED_VALUE"""),"VIRGILIO JOSON")</f>
        <v>VIRGILIO JOSON</v>
      </c>
      <c r="F40" s="133"/>
      <c r="G40" s="13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60">
        <f t="shared" si="1"/>
        <v>35</v>
      </c>
      <c r="B41" s="9" t="str">
        <f>IFERROR(__xludf.DUMMYFUNCTION("""COMPUTED_VALUE"""),"PARAS")</f>
        <v>PARAS</v>
      </c>
      <c r="C41" s="9" t="str">
        <f>IFERROR(__xludf.DUMMYFUNCTION("""COMPUTED_VALUE"""),"FAITH")</f>
        <v>FAITH</v>
      </c>
      <c r="D41" s="9"/>
      <c r="E41" s="9" t="str">
        <f>IFERROR(__xludf.DUMMYFUNCTION("""COMPUTED_VALUE"""),"MICHELLE PARAS")</f>
        <v>MICHELLE PARAS</v>
      </c>
      <c r="F41" s="133"/>
      <c r="G41" s="13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60">
        <f t="shared" si="1"/>
        <v>36</v>
      </c>
      <c r="B42" s="9" t="str">
        <f>IFERROR(__xludf.DUMMYFUNCTION("""COMPUTED_VALUE"""),"RAFIÑAN")</f>
        <v>RAFIÑAN</v>
      </c>
      <c r="C42" s="9" t="str">
        <f>IFERROR(__xludf.DUMMYFUNCTION("""COMPUTED_VALUE"""),"KING STANLEY")</f>
        <v>KING STANLEY</v>
      </c>
      <c r="D42" s="9"/>
      <c r="E42" s="9" t="str">
        <f>IFERROR(__xludf.DUMMYFUNCTION("""COMPUTED_VALUE"""),"JONATHAN RAFIÑAN")</f>
        <v>JONATHAN RAFIÑAN</v>
      </c>
      <c r="F42" s="133"/>
      <c r="G42" s="13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60">
        <f t="shared" si="1"/>
        <v>37</v>
      </c>
      <c r="B43" s="9" t="str">
        <f>IFERROR(__xludf.DUMMYFUNCTION("""COMPUTED_VALUE"""),"RAFIÑAN")</f>
        <v>RAFIÑAN</v>
      </c>
      <c r="C43" s="9" t="str">
        <f>IFERROR(__xludf.DUMMYFUNCTION("""COMPUTED_VALUE"""),"JACK NATHAN ")</f>
        <v>JACK NATHAN </v>
      </c>
      <c r="D43" s="9"/>
      <c r="E43" s="9" t="str">
        <f>IFERROR(__xludf.DUMMYFUNCTION("""COMPUTED_VALUE"""),"JONATHAN RAFIÑAN")</f>
        <v>JONATHAN RAFIÑAN</v>
      </c>
      <c r="F43" s="133"/>
      <c r="G43" s="13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0">
        <f t="shared" si="1"/>
        <v>38</v>
      </c>
      <c r="B44" s="9" t="str">
        <f>IFERROR(__xludf.DUMMYFUNCTION("""COMPUTED_VALUE"""),"RAFIÑAN")</f>
        <v>RAFIÑAN</v>
      </c>
      <c r="C44" s="9" t="str">
        <f>IFERROR(__xludf.DUMMYFUNCTION("""COMPUTED_VALUE"""),"SHYLONA")</f>
        <v>SHYLONA</v>
      </c>
      <c r="D44" s="9"/>
      <c r="E44" s="9" t="str">
        <f>IFERROR(__xludf.DUMMYFUNCTION("""COMPUTED_VALUE"""),"JONATHAN RAFIÑAN")</f>
        <v>JONATHAN RAFIÑAN</v>
      </c>
      <c r="F44" s="133"/>
      <c r="G44" s="13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0">
        <f t="shared" si="1"/>
        <v>39</v>
      </c>
      <c r="B45" s="9" t="str">
        <f>IFERROR(__xludf.DUMMYFUNCTION("""COMPUTED_VALUE"""),"TAJARAN")</f>
        <v>TAJARAN</v>
      </c>
      <c r="C45" s="9" t="str">
        <f>IFERROR(__xludf.DUMMYFUNCTION("""COMPUTED_VALUE"""),"JOHN MICHAEL")</f>
        <v>JOHN MICHAEL</v>
      </c>
      <c r="D45" s="9"/>
      <c r="E45" s="9" t="str">
        <f>IFERROR(__xludf.DUMMYFUNCTION("""COMPUTED_VALUE"""),"JUANITO TAJARAN")</f>
        <v>JUANITO TAJARAN</v>
      </c>
      <c r="F45" s="133"/>
      <c r="G45" s="13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0">
        <f t="shared" si="1"/>
        <v>40</v>
      </c>
      <c r="B46" s="9" t="str">
        <f>IFERROR(__xludf.DUMMYFUNCTION("""COMPUTED_VALUE"""),"PEREZ")</f>
        <v>PEREZ</v>
      </c>
      <c r="C46" s="9" t="str">
        <f>IFERROR(__xludf.DUMMYFUNCTION("""COMPUTED_VALUE"""),"YVANNA LOUISE")</f>
        <v>YVANNA LOUISE</v>
      </c>
      <c r="D46" s="9"/>
      <c r="E46" s="9" t="str">
        <f>IFERROR(__xludf.DUMMYFUNCTION("""COMPUTED_VALUE"""),"JASMINE PERES")</f>
        <v>JASMINE PERES</v>
      </c>
      <c r="F46" s="133"/>
      <c r="G46" s="13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60">
        <f t="shared" si="1"/>
        <v>41</v>
      </c>
      <c r="B47" s="9" t="str">
        <f>IFERROR(__xludf.DUMMYFUNCTION("""COMPUTED_VALUE"""),"PEREZ")</f>
        <v>PEREZ</v>
      </c>
      <c r="C47" s="9" t="str">
        <f>IFERROR(__xludf.DUMMYFUNCTION("""COMPUTED_VALUE"""),"MARC BENEDICT")</f>
        <v>MARC BENEDICT</v>
      </c>
      <c r="D47" s="9"/>
      <c r="E47" s="9" t="str">
        <f>IFERROR(__xludf.DUMMYFUNCTION("""COMPUTED_VALUE"""),"JASMINE PERES")</f>
        <v>JASMINE PERES</v>
      </c>
      <c r="F47" s="133"/>
      <c r="G47" s="13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60">
        <f t="shared" si="1"/>
        <v>42</v>
      </c>
      <c r="B48" s="9" t="str">
        <f>IFERROR(__xludf.DUMMYFUNCTION("""COMPUTED_VALUE"""),"PEREZ")</f>
        <v>PEREZ</v>
      </c>
      <c r="C48" s="9" t="str">
        <f>IFERROR(__xludf.DUMMYFUNCTION("""COMPUTED_VALUE"""),"MARC BENNET")</f>
        <v>MARC BENNET</v>
      </c>
      <c r="D48" s="9"/>
      <c r="E48" s="9" t="str">
        <f>IFERROR(__xludf.DUMMYFUNCTION("""COMPUTED_VALUE"""),"JASMINE PERES")</f>
        <v>JASMINE PERES</v>
      </c>
      <c r="F48" s="133"/>
      <c r="G48" s="13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0">
        <f t="shared" si="1"/>
        <v>43</v>
      </c>
      <c r="B49" s="9" t="str">
        <f>IFERROR(__xludf.DUMMYFUNCTION("""COMPUTED_VALUE"""),"DOMINGO")</f>
        <v>DOMINGO</v>
      </c>
      <c r="C49" s="9" t="str">
        <f>IFERROR(__xludf.DUMMYFUNCTION("""COMPUTED_VALUE"""),"ALEXANDRA MEI")</f>
        <v>ALEXANDRA MEI</v>
      </c>
      <c r="D49" s="9" t="str">
        <f>IFERROR(__xludf.DUMMYFUNCTION("""COMPUTED_VALUE"""),"P.")</f>
        <v>P.</v>
      </c>
      <c r="E49" s="9" t="str">
        <f>IFERROR(__xludf.DUMMYFUNCTION("""COMPUTED_VALUE"""),"CHARLIE S. DOMINGO")</f>
        <v>CHARLIE S. DOMINGO</v>
      </c>
      <c r="F49" s="133"/>
      <c r="G49" s="13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0">
        <f t="shared" si="1"/>
        <v>44</v>
      </c>
      <c r="B50" s="9" t="str">
        <f>IFERROR(__xludf.DUMMYFUNCTION("""COMPUTED_VALUE"""),"DOMINGO")</f>
        <v>DOMINGO</v>
      </c>
      <c r="C50" s="9" t="str">
        <f>IFERROR(__xludf.DUMMYFUNCTION("""COMPUTED_VALUE"""),"MARC IVAN ")</f>
        <v>MARC IVAN </v>
      </c>
      <c r="D50" s="9" t="str">
        <f>IFERROR(__xludf.DUMMYFUNCTION("""COMPUTED_VALUE"""),"P.")</f>
        <v>P.</v>
      </c>
      <c r="E50" s="9" t="str">
        <f>IFERROR(__xludf.DUMMYFUNCTION("""COMPUTED_VALUE"""),"CHARLIE S. DOMINGO")</f>
        <v>CHARLIE S. DOMINGO</v>
      </c>
      <c r="F50" s="133"/>
      <c r="G50" s="13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60">
        <f t="shared" si="1"/>
        <v>45</v>
      </c>
      <c r="B51" s="9" t="str">
        <f>IFERROR(__xludf.DUMMYFUNCTION("""COMPUTED_VALUE"""),"FLORES")</f>
        <v>FLORES</v>
      </c>
      <c r="C51" s="9" t="str">
        <f>IFERROR(__xludf.DUMMYFUNCTION("""COMPUTED_VALUE"""),"JEROME")</f>
        <v>JEROME</v>
      </c>
      <c r="D51" s="9" t="str">
        <f>IFERROR(__xludf.DUMMYFUNCTION("""COMPUTED_VALUE"""),"J.")</f>
        <v>J.</v>
      </c>
      <c r="E51" s="9" t="str">
        <f>IFERROR(__xludf.DUMMYFUNCTION("""COMPUTED_VALUE"""),"SALVADOR M. FLORES")</f>
        <v>SALVADOR M. FLORES</v>
      </c>
      <c r="F51" s="133" t="str">
        <f>IFERROR(__xludf.DUMMYFUNCTION("""COMPUTED_VALUE"""),"BRGY. OFFICIALS, THIRD GEN")</f>
        <v>BRGY. OFFICIALS, THIRD GEN</v>
      </c>
      <c r="G51" s="13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60">
        <f t="shared" si="1"/>
        <v>46</v>
      </c>
      <c r="B52" s="9" t="str">
        <f>IFERROR(__xludf.DUMMYFUNCTION("""COMPUTED_VALUE"""),"FLORES")</f>
        <v>FLORES</v>
      </c>
      <c r="C52" s="9" t="str">
        <f>IFERROR(__xludf.DUMMYFUNCTION("""COMPUTED_VALUE"""),"JOMAR")</f>
        <v>JOMAR</v>
      </c>
      <c r="D52" s="9" t="str">
        <f>IFERROR(__xludf.DUMMYFUNCTION("""COMPUTED_VALUE"""),"J.")</f>
        <v>J.</v>
      </c>
      <c r="E52" s="9" t="str">
        <f>IFERROR(__xludf.DUMMYFUNCTION("""COMPUTED_VALUE"""),"SALVADOR M. FLORES")</f>
        <v>SALVADOR M. FLORES</v>
      </c>
      <c r="F52" s="133" t="str">
        <f>IFERROR(__xludf.DUMMYFUNCTION("""COMPUTED_VALUE"""),"THIRD GEN")</f>
        <v>THIRD GEN</v>
      </c>
      <c r="G52" s="13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60">
        <f t="shared" si="1"/>
        <v>47</v>
      </c>
      <c r="B53" s="9" t="str">
        <f>IFERROR(__xludf.DUMMYFUNCTION("""COMPUTED_VALUE"""),"FLORES")</f>
        <v>FLORES</v>
      </c>
      <c r="C53" s="9" t="str">
        <f>IFERROR(__xludf.DUMMYFUNCTION("""COMPUTED_VALUE"""),"JERMAINE")</f>
        <v>JERMAINE</v>
      </c>
      <c r="D53" s="9" t="str">
        <f>IFERROR(__xludf.DUMMYFUNCTION("""COMPUTED_VALUE"""),"J.")</f>
        <v>J.</v>
      </c>
      <c r="E53" s="9" t="str">
        <f>IFERROR(__xludf.DUMMYFUNCTION("""COMPUTED_VALUE"""),"SALVADOR M. FLORES")</f>
        <v>SALVADOR M. FLORES</v>
      </c>
      <c r="F53" s="133" t="str">
        <f>IFERROR(__xludf.DUMMYFUNCTION("""COMPUTED_VALUE"""),"THIRD GEN")</f>
        <v>THIRD GEN</v>
      </c>
      <c r="G53" s="13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60">
        <f t="shared" si="1"/>
        <v>48</v>
      </c>
      <c r="B54" s="9" t="str">
        <f>IFERROR(__xludf.DUMMYFUNCTION("""COMPUTED_VALUE"""),"QUIMBAO")</f>
        <v>QUIMBAO</v>
      </c>
      <c r="C54" s="9" t="str">
        <f>IFERROR(__xludf.DUMMYFUNCTION("""COMPUTED_VALUE"""),"LUCAS ELAIJA")</f>
        <v>LUCAS ELAIJA</v>
      </c>
      <c r="D54" s="9" t="str">
        <f>IFERROR(__xludf.DUMMYFUNCTION("""COMPUTED_VALUE"""),"F.")</f>
        <v>F.</v>
      </c>
      <c r="E54" s="9" t="str">
        <f>IFERROR(__xludf.DUMMYFUNCTION("""COMPUTED_VALUE"""),"SALVADOR M. FLORES")</f>
        <v>SALVADOR M. FLORES</v>
      </c>
      <c r="F54" s="133"/>
      <c r="G54" s="13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0">
        <f t="shared" si="1"/>
        <v>49</v>
      </c>
      <c r="B55" s="9" t="str">
        <f>IFERROR(__xludf.DUMMYFUNCTION("""COMPUTED_VALUE"""),"RAFIÑAN")</f>
        <v>RAFIÑAN</v>
      </c>
      <c r="C55" s="9" t="str">
        <f>IFERROR(__xludf.DUMMYFUNCTION("""COMPUTED_VALUE"""),"NATALIE JOYCE")</f>
        <v>NATALIE JOYCE</v>
      </c>
      <c r="D55" s="9"/>
      <c r="E55" s="9" t="str">
        <f>IFERROR(__xludf.DUMMYFUNCTION("""COMPUTED_VALUE"""),"ANATALIA J. RAFIÑAN")</f>
        <v>ANATALIA J. RAFIÑAN</v>
      </c>
      <c r="F55" s="133"/>
      <c r="G55" s="13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60">
        <f t="shared" si="1"/>
        <v>50</v>
      </c>
      <c r="B56" s="9" t="str">
        <f>IFERROR(__xludf.DUMMYFUNCTION("""COMPUTED_VALUE"""),"LIMBARING")</f>
        <v>LIMBARING</v>
      </c>
      <c r="C56" s="9" t="str">
        <f>IFERROR(__xludf.DUMMYFUNCTION("""COMPUTED_VALUE"""),"ARRITRA GAIA")</f>
        <v>ARRITRA GAIA</v>
      </c>
      <c r="D56" s="9"/>
      <c r="E56" s="9" t="str">
        <f>IFERROR(__xludf.DUMMYFUNCTION("""COMPUTED_VALUE"""),"ANATALIA J. RAFIÑAN")</f>
        <v>ANATALIA J. RAFIÑAN</v>
      </c>
      <c r="F56" s="133"/>
      <c r="G56" s="13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60">
        <f t="shared" si="1"/>
        <v>51</v>
      </c>
      <c r="B57" s="9" t="str">
        <f>IFERROR(__xludf.DUMMYFUNCTION("""COMPUTED_VALUE"""),"GALEON")</f>
        <v>GALEON</v>
      </c>
      <c r="C57" s="9" t="str">
        <f>IFERROR(__xludf.DUMMYFUNCTION("""COMPUTED_VALUE"""),"ANA MARIA")</f>
        <v>ANA MARIA</v>
      </c>
      <c r="D57" s="9"/>
      <c r="E57" s="9" t="str">
        <f>IFERROR(__xludf.DUMMYFUNCTION("""COMPUTED_VALUE"""),"MARIA DOLORES L. GALEON")</f>
        <v>MARIA DOLORES L. GALEON</v>
      </c>
      <c r="F57" s="133"/>
      <c r="G57" s="13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60">
        <f t="shared" si="1"/>
        <v>52</v>
      </c>
      <c r="B58" s="9" t="str">
        <f>IFERROR(__xludf.DUMMYFUNCTION("""COMPUTED_VALUE"""),"GALEON")</f>
        <v>GALEON</v>
      </c>
      <c r="C58" s="9" t="str">
        <f>IFERROR(__xludf.DUMMYFUNCTION("""COMPUTED_VALUE"""),"MARIANNA")</f>
        <v>MARIANNA</v>
      </c>
      <c r="D58" s="9"/>
      <c r="E58" s="9" t="str">
        <f>IFERROR(__xludf.DUMMYFUNCTION("""COMPUTED_VALUE"""),"MARIA DOLORES L. GALEON")</f>
        <v>MARIA DOLORES L. GALEON</v>
      </c>
      <c r="F58" s="133"/>
      <c r="G58" s="13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0">
        <f t="shared" si="1"/>
        <v>53</v>
      </c>
      <c r="B59" s="9" t="str">
        <f>IFERROR(__xludf.DUMMYFUNCTION("""COMPUTED_VALUE"""),"VALERIO")</f>
        <v>VALERIO</v>
      </c>
      <c r="C59" s="9" t="str">
        <f>IFERROR(__xludf.DUMMYFUNCTION("""COMPUTED_VALUE"""),"SOPHIA")</f>
        <v>SOPHIA</v>
      </c>
      <c r="D59" s="9" t="str">
        <f>IFERROR(__xludf.DUMMYFUNCTION("""COMPUTED_VALUE"""),"L.")</f>
        <v>L.</v>
      </c>
      <c r="E59" s="9" t="str">
        <f>IFERROR(__xludf.DUMMYFUNCTION("""COMPUTED_VALUE"""),"JOSEPH ANTHONY L. VALERIO")</f>
        <v>JOSEPH ANTHONY L. VALERIO</v>
      </c>
      <c r="F59" s="133"/>
      <c r="G59" s="13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0">
        <f t="shared" si="1"/>
        <v>54</v>
      </c>
      <c r="B60" s="9" t="str">
        <f>IFERROR(__xludf.DUMMYFUNCTION("""COMPUTED_VALUE"""),"PAPA")</f>
        <v>PAPA</v>
      </c>
      <c r="C60" s="9" t="str">
        <f>IFERROR(__xludf.DUMMYFUNCTION("""COMPUTED_VALUE"""),"LADY FHERCIA MHARIZ PAPA")</f>
        <v>LADY FHERCIA MHARIZ PAPA</v>
      </c>
      <c r="D60" s="9"/>
      <c r="E60" s="9" t="str">
        <f>IFERROR(__xludf.DUMMYFUNCTION("""COMPUTED_VALUE"""),"FERDINAND PAPA")</f>
        <v>FERDINAND PAPA</v>
      </c>
      <c r="F60" s="133"/>
      <c r="G60" s="13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0">
        <f t="shared" si="1"/>
        <v>55</v>
      </c>
      <c r="B61" s="9" t="str">
        <f>IFERROR(__xludf.DUMMYFUNCTION("""COMPUTED_VALUE"""),"PAPA")</f>
        <v>PAPA</v>
      </c>
      <c r="C61" s="9" t="str">
        <f>IFERROR(__xludf.DUMMYFUNCTION("""COMPUTED_VALUE"""),"THIRDIE")</f>
        <v>THIRDIE</v>
      </c>
      <c r="D61" s="9"/>
      <c r="E61" s="9" t="str">
        <f>IFERROR(__xludf.DUMMYFUNCTION("""COMPUTED_VALUE"""),"FERDINAND PAPA")</f>
        <v>FERDINAND PAPA</v>
      </c>
      <c r="F61" s="133"/>
      <c r="G61" s="13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60">
        <f t="shared" si="1"/>
        <v>56</v>
      </c>
      <c r="B62" s="9" t="str">
        <f>IFERROR(__xludf.DUMMYFUNCTION("""COMPUTED_VALUE"""),"PAPA")</f>
        <v>PAPA</v>
      </c>
      <c r="C62" s="9" t="str">
        <f>IFERROR(__xludf.DUMMYFUNCTION("""COMPUTED_VALUE"""),"ANTHONY")</f>
        <v>ANTHONY</v>
      </c>
      <c r="D62" s="9"/>
      <c r="E62" s="9" t="str">
        <f>IFERROR(__xludf.DUMMYFUNCTION("""COMPUTED_VALUE"""),"CARLOS PAPA")</f>
        <v>CARLOS PAPA</v>
      </c>
      <c r="F62" s="133"/>
      <c r="G62" s="13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60">
        <f t="shared" si="1"/>
        <v>57</v>
      </c>
      <c r="B63" s="9" t="str">
        <f>IFERROR(__xludf.DUMMYFUNCTION("""COMPUTED_VALUE"""),"PAPA")</f>
        <v>PAPA</v>
      </c>
      <c r="C63" s="9" t="str">
        <f>IFERROR(__xludf.DUMMYFUNCTION("""COMPUTED_VALUE"""),"ALYSSA CARLA")</f>
        <v>ALYSSA CARLA</v>
      </c>
      <c r="D63" s="9"/>
      <c r="E63" s="9" t="str">
        <f>IFERROR(__xludf.DUMMYFUNCTION("""COMPUTED_VALUE"""),"CARLOS PAPA")</f>
        <v>CARLOS PAPA</v>
      </c>
      <c r="F63" s="133"/>
      <c r="G63" s="13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0">
        <f t="shared" si="1"/>
        <v>58</v>
      </c>
      <c r="B64" s="9" t="str">
        <f>IFERROR(__xludf.DUMMYFUNCTION("""COMPUTED_VALUE"""),"PAPA")</f>
        <v>PAPA</v>
      </c>
      <c r="C64" s="9" t="str">
        <f>IFERROR(__xludf.DUMMYFUNCTION("""COMPUTED_VALUE"""),"ZAKIA")</f>
        <v>ZAKIA</v>
      </c>
      <c r="D64" s="9"/>
      <c r="E64" s="9" t="str">
        <f>IFERROR(__xludf.DUMMYFUNCTION("""COMPUTED_VALUE"""),"FREDDIE PAPA")</f>
        <v>FREDDIE PAPA</v>
      </c>
      <c r="F64" s="133"/>
      <c r="G64" s="13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0">
        <f t="shared" si="1"/>
        <v>59</v>
      </c>
      <c r="B65" s="9" t="str">
        <f>IFERROR(__xludf.DUMMYFUNCTION("""COMPUTED_VALUE"""),"CIPRIANO")</f>
        <v>CIPRIANO</v>
      </c>
      <c r="C65" s="9" t="str">
        <f>IFERROR(__xludf.DUMMYFUNCTION("""COMPUTED_VALUE"""),"CHLOE")</f>
        <v>CHLOE</v>
      </c>
      <c r="D65" s="9"/>
      <c r="E65" s="9" t="str">
        <f>IFERROR(__xludf.DUMMYFUNCTION("""COMPUTED_VALUE"""),"CLIFFORD CIPRIAMNO")</f>
        <v>CLIFFORD CIPRIAMNO</v>
      </c>
      <c r="F65" s="133"/>
      <c r="G65" s="13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0">
        <f t="shared" si="1"/>
        <v>60</v>
      </c>
      <c r="B66" s="9" t="str">
        <f>IFERROR(__xludf.DUMMYFUNCTION("""COMPUTED_VALUE"""),"NAVARRO")</f>
        <v>NAVARRO</v>
      </c>
      <c r="C66" s="9" t="str">
        <f>IFERROR(__xludf.DUMMYFUNCTION("""COMPUTED_VALUE"""),"JHON NAVARRO")</f>
        <v>JHON NAVARRO</v>
      </c>
      <c r="D66" s="9"/>
      <c r="E66" s="9" t="str">
        <f>IFERROR(__xludf.DUMMYFUNCTION("""COMPUTED_VALUE"""),"EMILY G. NAVARRO")</f>
        <v>EMILY G. NAVARRO</v>
      </c>
      <c r="F66" s="133"/>
      <c r="G66" s="13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60">
        <f t="shared" si="1"/>
        <v>61</v>
      </c>
      <c r="B67" s="9" t="str">
        <f>IFERROR(__xludf.DUMMYFUNCTION("""COMPUTED_VALUE"""),"NAVARRO")</f>
        <v>NAVARRO</v>
      </c>
      <c r="C67" s="9" t="str">
        <f>IFERROR(__xludf.DUMMYFUNCTION("""COMPUTED_VALUE"""),"THERES")</f>
        <v>THERES</v>
      </c>
      <c r="D67" s="9"/>
      <c r="E67" s="9" t="str">
        <f>IFERROR(__xludf.DUMMYFUNCTION("""COMPUTED_VALUE"""),"EMILY G. NAVARRO")</f>
        <v>EMILY G. NAVARRO</v>
      </c>
      <c r="F67" s="133"/>
      <c r="G67" s="13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60">
        <f t="shared" si="1"/>
        <v>62</v>
      </c>
      <c r="B68" s="9" t="str">
        <f>IFERROR(__xludf.DUMMYFUNCTION("""COMPUTED_VALUE"""),"NAVARRO")</f>
        <v>NAVARRO</v>
      </c>
      <c r="C68" s="9" t="str">
        <f>IFERROR(__xludf.DUMMYFUNCTION("""COMPUTED_VALUE"""),"CATY")</f>
        <v>CATY</v>
      </c>
      <c r="D68" s="9"/>
      <c r="E68" s="9" t="str">
        <f>IFERROR(__xludf.DUMMYFUNCTION("""COMPUTED_VALUE"""),"EMILY G. NAVARRO")</f>
        <v>EMILY G. NAVARRO</v>
      </c>
      <c r="F68" s="133"/>
      <c r="G68" s="13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60">
        <f t="shared" si="1"/>
        <v>63</v>
      </c>
      <c r="B69" s="9" t="str">
        <f>IFERROR(__xludf.DUMMYFUNCTION("""COMPUTED_VALUE"""),"NAVARRO")</f>
        <v>NAVARRO</v>
      </c>
      <c r="C69" s="9" t="str">
        <f>IFERROR(__xludf.DUMMYFUNCTION("""COMPUTED_VALUE"""),"SUNNY")</f>
        <v>SUNNY</v>
      </c>
      <c r="D69" s="9"/>
      <c r="E69" s="9" t="str">
        <f>IFERROR(__xludf.DUMMYFUNCTION("""COMPUTED_VALUE"""),"EMILY G. NAVARRO")</f>
        <v>EMILY G. NAVARRO</v>
      </c>
      <c r="F69" s="133"/>
      <c r="G69" s="13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60">
        <f t="shared" si="1"/>
        <v>64</v>
      </c>
      <c r="B70" s="9" t="str">
        <f>IFERROR(__xludf.DUMMYFUNCTION("""COMPUTED_VALUE"""),"NAVARRO")</f>
        <v>NAVARRO</v>
      </c>
      <c r="C70" s="9" t="str">
        <f>IFERROR(__xludf.DUMMYFUNCTION("""COMPUTED_VALUE"""),"GRACE")</f>
        <v>GRACE</v>
      </c>
      <c r="D70" s="9"/>
      <c r="E70" s="9" t="str">
        <f>IFERROR(__xludf.DUMMYFUNCTION("""COMPUTED_VALUE"""),"EMILY G. NAVARRO")</f>
        <v>EMILY G. NAVARRO</v>
      </c>
      <c r="F70" s="133"/>
      <c r="G70" s="13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60">
        <f t="shared" si="1"/>
        <v>65</v>
      </c>
      <c r="B71" s="9" t="str">
        <f>IFERROR(__xludf.DUMMYFUNCTION("""COMPUTED_VALUE"""),"NAVARRO")</f>
        <v>NAVARRO</v>
      </c>
      <c r="C71" s="9" t="str">
        <f>IFERROR(__xludf.DUMMYFUNCTION("""COMPUTED_VALUE"""),"MYKEL")</f>
        <v>MYKEL</v>
      </c>
      <c r="D71" s="9"/>
      <c r="E71" s="9" t="str">
        <f>IFERROR(__xludf.DUMMYFUNCTION("""COMPUTED_VALUE"""),"EMILY G. NAVARRO")</f>
        <v>EMILY G. NAVARRO</v>
      </c>
      <c r="F71" s="133"/>
      <c r="G71" s="13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0">
        <f t="shared" si="1"/>
        <v>66</v>
      </c>
      <c r="B72" s="9" t="str">
        <f>IFERROR(__xludf.DUMMYFUNCTION("""COMPUTED_VALUE"""),"RESURRECCION")</f>
        <v>RESURRECCION</v>
      </c>
      <c r="C72" s="9" t="str">
        <f>IFERROR(__xludf.DUMMYFUNCTION("""COMPUTED_VALUE"""),"JOHN REY")</f>
        <v>JOHN REY</v>
      </c>
      <c r="D72" s="9"/>
      <c r="E72" s="9" t="str">
        <f>IFERROR(__xludf.DUMMYFUNCTION("""COMPUTED_VALUE"""),"ANNA LIZA HAYAG")</f>
        <v>ANNA LIZA HAYAG</v>
      </c>
      <c r="F72" s="133"/>
      <c r="G72" s="13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0">
        <f t="shared" si="1"/>
        <v>67</v>
      </c>
      <c r="B73" s="9" t="str">
        <f>IFERROR(__xludf.DUMMYFUNCTION("""COMPUTED_VALUE"""),"RESURRECCION")</f>
        <v>RESURRECCION</v>
      </c>
      <c r="C73" s="9" t="str">
        <f>IFERROR(__xludf.DUMMYFUNCTION("""COMPUTED_VALUE"""),"JOHN RED")</f>
        <v>JOHN RED</v>
      </c>
      <c r="D73" s="9"/>
      <c r="E73" s="9" t="str">
        <f>IFERROR(__xludf.DUMMYFUNCTION("""COMPUTED_VALUE"""),"ANNA LIZA HAYAG")</f>
        <v>ANNA LIZA HAYAG</v>
      </c>
      <c r="F73" s="133"/>
      <c r="G73" s="13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60">
        <f t="shared" si="1"/>
        <v>68</v>
      </c>
      <c r="B74" s="9" t="str">
        <f>IFERROR(__xludf.DUMMYFUNCTION("""COMPUTED_VALUE"""),"HAYAG")</f>
        <v>HAYAG</v>
      </c>
      <c r="C74" s="9" t="str">
        <f>IFERROR(__xludf.DUMMYFUNCTION("""COMPUTED_VALUE"""),"TRIXIE")</f>
        <v>TRIXIE</v>
      </c>
      <c r="D74" s="9"/>
      <c r="E74" s="9" t="str">
        <f>IFERROR(__xludf.DUMMYFUNCTION("""COMPUTED_VALUE"""),"RESHTIAN HAYAG")</f>
        <v>RESHTIAN HAYAG</v>
      </c>
      <c r="F74" s="133"/>
      <c r="G74" s="13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0">
        <f t="shared" si="1"/>
        <v>69</v>
      </c>
      <c r="B75" s="9" t="str">
        <f>IFERROR(__xludf.DUMMYFUNCTION("""COMPUTED_VALUE"""),"MIRASOL")</f>
        <v>MIRASOL</v>
      </c>
      <c r="C75" s="9" t="str">
        <f>IFERROR(__xludf.DUMMYFUNCTION("""COMPUTED_VALUE"""),"RESH JOHN ")</f>
        <v>RESH JOHN </v>
      </c>
      <c r="D75" s="9"/>
      <c r="E75" s="9" t="str">
        <f>IFERROR(__xludf.DUMMYFUNCTION("""COMPUTED_VALUE"""),"RESHTIAN HAYAG")</f>
        <v>RESHTIAN HAYAG</v>
      </c>
      <c r="F75" s="133"/>
      <c r="G75" s="13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0">
        <f t="shared" si="1"/>
        <v>70</v>
      </c>
      <c r="B76" s="9" t="str">
        <f>IFERROR(__xludf.DUMMYFUNCTION("""COMPUTED_VALUE"""),"PAJE")</f>
        <v>PAJE</v>
      </c>
      <c r="C76" s="9" t="str">
        <f>IFERROR(__xludf.DUMMYFUNCTION("""COMPUTED_VALUE"""),"PRINCE HENRY")</f>
        <v>PRINCE HENRY</v>
      </c>
      <c r="D76" s="9"/>
      <c r="E76" s="9" t="str">
        <f>IFERROR(__xludf.DUMMYFUNCTION("""COMPUTED_VALUE"""),"ELISABETH H. PAJE ")</f>
        <v>ELISABETH H. PAJE </v>
      </c>
      <c r="F76" s="133"/>
      <c r="G76" s="13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0">
        <f t="shared" si="1"/>
        <v>71</v>
      </c>
      <c r="B77" s="9" t="str">
        <f>IFERROR(__xludf.DUMMYFUNCTION("""COMPUTED_VALUE"""),"SISON")</f>
        <v>SISON</v>
      </c>
      <c r="C77" s="9" t="str">
        <f>IFERROR(__xludf.DUMMYFUNCTION("""COMPUTED_VALUE"""),"ELLIE CATHLYN")</f>
        <v>ELLIE CATHLYN</v>
      </c>
      <c r="D77" s="9"/>
      <c r="E77" s="9" t="str">
        <f>IFERROR(__xludf.DUMMYFUNCTION("""COMPUTED_VALUE"""),"TRISHA SISON")</f>
        <v>TRISHA SISON</v>
      </c>
      <c r="F77" s="133"/>
      <c r="G77" s="13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0">
        <f t="shared" si="1"/>
        <v>72</v>
      </c>
      <c r="B78" s="9" t="str">
        <f>IFERROR(__xludf.DUMMYFUNCTION("""COMPUTED_VALUE"""),"HAYAG")</f>
        <v>HAYAG</v>
      </c>
      <c r="C78" s="9" t="str">
        <f>IFERROR(__xludf.DUMMYFUNCTION("""COMPUTED_VALUE"""),"RESTY")</f>
        <v>RESTY</v>
      </c>
      <c r="D78" s="9"/>
      <c r="E78" s="9" t="str">
        <f>IFERROR(__xludf.DUMMYFUNCTION("""COMPUTED_VALUE"""),"TERESITA HAYAG")</f>
        <v>TERESITA HAYAG</v>
      </c>
      <c r="F78" s="133"/>
      <c r="G78" s="13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0">
        <f t="shared" si="1"/>
        <v>73</v>
      </c>
      <c r="B79" s="9" t="str">
        <f>IFERROR(__xludf.DUMMYFUNCTION("""COMPUTED_VALUE"""),"MORANTE")</f>
        <v>MORANTE</v>
      </c>
      <c r="C79" s="9" t="str">
        <f>IFERROR(__xludf.DUMMYFUNCTION("""COMPUTED_VALUE"""),"CHRISTIAN JEFF")</f>
        <v>CHRISTIAN JEFF</v>
      </c>
      <c r="D79" s="9"/>
      <c r="E79" s="9" t="str">
        <f>IFERROR(__xludf.DUMMYFUNCTION("""COMPUTED_VALUE"""),"DOMINADOR MORANTE JR.")</f>
        <v>DOMINADOR MORANTE JR.</v>
      </c>
      <c r="F79" s="133"/>
      <c r="G79" s="13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60">
        <f t="shared" si="1"/>
        <v>74</v>
      </c>
      <c r="B80" s="9" t="str">
        <f>IFERROR(__xludf.DUMMYFUNCTION("""COMPUTED_VALUE"""),"MORANTE")</f>
        <v>MORANTE</v>
      </c>
      <c r="C80" s="9" t="str">
        <f>IFERROR(__xludf.DUMMYFUNCTION("""COMPUTED_VALUE"""),"JERRICK")</f>
        <v>JERRICK</v>
      </c>
      <c r="D80" s="9"/>
      <c r="E80" s="9" t="str">
        <f>IFERROR(__xludf.DUMMYFUNCTION("""COMPUTED_VALUE"""),"DOMINADOR MORANTE JR.")</f>
        <v>DOMINADOR MORANTE JR.</v>
      </c>
      <c r="F80" s="133"/>
      <c r="G80" s="13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60">
        <f t="shared" si="1"/>
        <v>75</v>
      </c>
      <c r="B81" s="9" t="str">
        <f>IFERROR(__xludf.DUMMYFUNCTION("""COMPUTED_VALUE"""),"MORANTE ")</f>
        <v>MORANTE </v>
      </c>
      <c r="C81" s="9" t="str">
        <f>IFERROR(__xludf.DUMMYFUNCTION("""COMPUTED_VALUE"""),"MARIA ARUELICA")</f>
        <v>MARIA ARUELICA</v>
      </c>
      <c r="D81" s="9"/>
      <c r="E81" s="9" t="str">
        <f>IFERROR(__xludf.DUMMYFUNCTION("""COMPUTED_VALUE"""),"DOMINADOR MORANTE JR.")</f>
        <v>DOMINADOR MORANTE JR.</v>
      </c>
      <c r="F81" s="133"/>
      <c r="G81" s="13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60">
        <f t="shared" si="1"/>
        <v>76</v>
      </c>
      <c r="B82" s="9" t="str">
        <f>IFERROR(__xludf.DUMMYFUNCTION("""COMPUTED_VALUE"""),"SALAMAT")</f>
        <v>SALAMAT</v>
      </c>
      <c r="C82" s="9" t="str">
        <f>IFERROR(__xludf.DUMMYFUNCTION("""COMPUTED_VALUE"""),"MADELINE")</f>
        <v>MADELINE</v>
      </c>
      <c r="D82" s="9"/>
      <c r="E82" s="9" t="str">
        <f>IFERROR(__xludf.DUMMYFUNCTION("""COMPUTED_VALUE"""),"BIMBO ACUZAR")</f>
        <v>BIMBO ACUZAR</v>
      </c>
      <c r="F82" s="133"/>
      <c r="G82" s="13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60">
        <f t="shared" si="1"/>
        <v>77</v>
      </c>
      <c r="B83" s="9" t="str">
        <f>IFERROR(__xludf.DUMMYFUNCTION("""COMPUTED_VALUE"""),"MORANTE")</f>
        <v>MORANTE</v>
      </c>
      <c r="C83" s="9" t="str">
        <f>IFERROR(__xludf.DUMMYFUNCTION("""COMPUTED_VALUE"""),"CEDRICK")</f>
        <v>CEDRICK</v>
      </c>
      <c r="D83" s="9"/>
      <c r="E83" s="9" t="str">
        <f>IFERROR(__xludf.DUMMYFUNCTION("""COMPUTED_VALUE"""),"JOSELITO MORANTE")</f>
        <v>JOSELITO MORANTE</v>
      </c>
      <c r="F83" s="133"/>
      <c r="G83" s="13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0">
        <f t="shared" si="1"/>
        <v>78</v>
      </c>
      <c r="B84" s="9" t="str">
        <f>IFERROR(__xludf.DUMMYFUNCTION("""COMPUTED_VALUE"""),"MORANTE")</f>
        <v>MORANTE</v>
      </c>
      <c r="C84" s="9" t="str">
        <f>IFERROR(__xludf.DUMMYFUNCTION("""COMPUTED_VALUE"""),"MARVIN")</f>
        <v>MARVIN</v>
      </c>
      <c r="D84" s="9"/>
      <c r="E84" s="9" t="str">
        <f>IFERROR(__xludf.DUMMYFUNCTION("""COMPUTED_VALUE"""),"JOSELITO MORANTE")</f>
        <v>JOSELITO MORANTE</v>
      </c>
      <c r="F84" s="133"/>
      <c r="G84" s="13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60">
        <f t="shared" si="1"/>
        <v>79</v>
      </c>
      <c r="B85" s="9" t="str">
        <f>IFERROR(__xludf.DUMMYFUNCTION("""COMPUTED_VALUE"""),"PASCO")</f>
        <v>PASCO</v>
      </c>
      <c r="C85" s="9" t="str">
        <f>IFERROR(__xludf.DUMMYFUNCTION("""COMPUTED_VALUE"""),"RICK JAY")</f>
        <v>RICK JAY</v>
      </c>
      <c r="D85" s="9"/>
      <c r="E85" s="9" t="str">
        <f>IFERROR(__xludf.DUMMYFUNCTION("""COMPUTED_VALUE"""),"JERICK PASCO")</f>
        <v>JERICK PASCO</v>
      </c>
      <c r="F85" s="133"/>
      <c r="G85" s="13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60">
        <f t="shared" si="1"/>
        <v>80</v>
      </c>
      <c r="B86" s="9" t="str">
        <f>IFERROR(__xludf.DUMMYFUNCTION("""COMPUTED_VALUE"""),"PASCO")</f>
        <v>PASCO</v>
      </c>
      <c r="C86" s="9" t="str">
        <f>IFERROR(__xludf.DUMMYFUNCTION("""COMPUTED_VALUE"""),"RICK JOHN")</f>
        <v>RICK JOHN</v>
      </c>
      <c r="D86" s="9"/>
      <c r="E86" s="9" t="str">
        <f>IFERROR(__xludf.DUMMYFUNCTION("""COMPUTED_VALUE"""),"JERICK PASCO")</f>
        <v>JERICK PASCO</v>
      </c>
      <c r="F86" s="133"/>
      <c r="G86" s="13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60">
        <f t="shared" si="1"/>
        <v>81</v>
      </c>
      <c r="B87" s="9" t="str">
        <f>IFERROR(__xludf.DUMMYFUNCTION("""COMPUTED_VALUE"""),"PASCO")</f>
        <v>PASCO</v>
      </c>
      <c r="C87" s="9" t="str">
        <f>IFERROR(__xludf.DUMMYFUNCTION("""COMPUTED_VALUE"""),"ROSE ANN JOY")</f>
        <v>ROSE ANN JOY</v>
      </c>
      <c r="D87" s="9"/>
      <c r="E87" s="9" t="str">
        <f>IFERROR(__xludf.DUMMYFUNCTION("""COMPUTED_VALUE"""),"JERICK PASCO")</f>
        <v>JERICK PASCO</v>
      </c>
      <c r="F87" s="133"/>
      <c r="G87" s="13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60">
        <f t="shared" si="1"/>
        <v>82</v>
      </c>
      <c r="B88" s="9" t="str">
        <f>IFERROR(__xludf.DUMMYFUNCTION("""COMPUTED_VALUE"""),"PASCO")</f>
        <v>PASCO</v>
      </c>
      <c r="C88" s="9" t="str">
        <f>IFERROR(__xludf.DUMMYFUNCTION("""COMPUTED_VALUE"""),"RICK JOSHUA")</f>
        <v>RICK JOSHUA</v>
      </c>
      <c r="D88" s="9"/>
      <c r="E88" s="9" t="str">
        <f>IFERROR(__xludf.DUMMYFUNCTION("""COMPUTED_VALUE"""),"JERICK PASCO")</f>
        <v>JERICK PASCO</v>
      </c>
      <c r="F88" s="133"/>
      <c r="G88" s="13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60">
        <f t="shared" si="1"/>
        <v>83</v>
      </c>
      <c r="B89" s="9" t="str">
        <f>IFERROR(__xludf.DUMMYFUNCTION("""COMPUTED_VALUE"""),"PASCO")</f>
        <v>PASCO</v>
      </c>
      <c r="C89" s="9" t="str">
        <f>IFERROR(__xludf.DUMMYFUNCTION("""COMPUTED_VALUE"""),"RICK JAZTINE")</f>
        <v>RICK JAZTINE</v>
      </c>
      <c r="D89" s="9"/>
      <c r="E89" s="9" t="str">
        <f>IFERROR(__xludf.DUMMYFUNCTION("""COMPUTED_VALUE"""),"JERICK PASCO")</f>
        <v>JERICK PASCO</v>
      </c>
      <c r="F89" s="133"/>
      <c r="G89" s="13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60">
        <f t="shared" si="1"/>
        <v>84</v>
      </c>
      <c r="B90" s="9" t="str">
        <f>IFERROR(__xludf.DUMMYFUNCTION("""COMPUTED_VALUE"""),"PASCO")</f>
        <v>PASCO</v>
      </c>
      <c r="C90" s="9" t="str">
        <f>IFERROR(__xludf.DUMMYFUNCTION("""COMPUTED_VALUE"""),"RAZIE JANE ")</f>
        <v>RAZIE JANE </v>
      </c>
      <c r="D90" s="9"/>
      <c r="E90" s="9" t="str">
        <f>IFERROR(__xludf.DUMMYFUNCTION("""COMPUTED_VALUE"""),"JERICK PASCO")</f>
        <v>JERICK PASCO</v>
      </c>
      <c r="F90" s="133"/>
      <c r="G90" s="13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60">
        <f t="shared" si="1"/>
        <v>85</v>
      </c>
      <c r="B91" s="9" t="str">
        <f>IFERROR(__xludf.DUMMYFUNCTION("""COMPUTED_VALUE"""),"VICTORIANO")</f>
        <v>VICTORIANO</v>
      </c>
      <c r="C91" s="9" t="str">
        <f>IFERROR(__xludf.DUMMYFUNCTION("""COMPUTED_VALUE"""),"ARJHEN NICOLE")</f>
        <v>ARJHEN NICOLE</v>
      </c>
      <c r="D91" s="9"/>
      <c r="E91" s="9" t="str">
        <f>IFERROR(__xludf.DUMMYFUNCTION("""COMPUTED_VALUE"""),"ARIEL C. VICTORIANO")</f>
        <v>ARIEL C. VICTORIANO</v>
      </c>
      <c r="F91" s="133"/>
      <c r="G91" s="13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60">
        <f t="shared" si="1"/>
        <v>86</v>
      </c>
      <c r="B92" s="9" t="str">
        <f>IFERROR(__xludf.DUMMYFUNCTION("""COMPUTED_VALUE"""),"MAGHANOY")</f>
        <v>MAGHANOY</v>
      </c>
      <c r="C92" s="9" t="str">
        <f>IFERROR(__xludf.DUMMYFUNCTION("""COMPUTED_VALUE"""),"GIAN ARRIANE ")</f>
        <v>GIAN ARRIANE </v>
      </c>
      <c r="D92" s="9" t="str">
        <f>IFERROR(__xludf.DUMMYFUNCTION("""COMPUTED_VALUE"""),"M.")</f>
        <v>M.</v>
      </c>
      <c r="E92" s="9" t="str">
        <f>IFERROR(__xludf.DUMMYFUNCTION("""COMPUTED_VALUE"""),"ROBERT B. MALAZARTE")</f>
        <v>ROBERT B. MALAZARTE</v>
      </c>
      <c r="F92" s="133"/>
      <c r="G92" s="13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60">
        <f t="shared" si="1"/>
        <v>87</v>
      </c>
      <c r="B93" s="9" t="str">
        <f>IFERROR(__xludf.DUMMYFUNCTION("""COMPUTED_VALUE"""),"SAMONTE")</f>
        <v>SAMONTE</v>
      </c>
      <c r="C93" s="9" t="str">
        <f>IFERROR(__xludf.DUMMYFUNCTION("""COMPUTED_VALUE"""),"FRANCIS DION")</f>
        <v>FRANCIS DION</v>
      </c>
      <c r="D93" s="9" t="str">
        <f>IFERROR(__xludf.DUMMYFUNCTION("""COMPUTED_VALUE"""),"M.")</f>
        <v>M.</v>
      </c>
      <c r="E93" s="9" t="str">
        <f>IFERROR(__xludf.DUMMYFUNCTION("""COMPUTED_VALUE"""),"PRETTY PET M. SAMONTE")</f>
        <v>PRETTY PET M. SAMONTE</v>
      </c>
      <c r="F93" s="133"/>
      <c r="G93" s="13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60">
        <f t="shared" si="1"/>
        <v>88</v>
      </c>
      <c r="B94" s="9" t="str">
        <f>IFERROR(__xludf.DUMMYFUNCTION("""COMPUTED_VALUE"""),"RANCIO")</f>
        <v>RANCIO</v>
      </c>
      <c r="C94" s="9" t="str">
        <f>IFERROR(__xludf.DUMMYFUNCTION("""COMPUTED_VALUE"""),"ALYNNA CIELA")</f>
        <v>ALYNNA CIELA</v>
      </c>
      <c r="D94" s="9"/>
      <c r="E94" s="9" t="str">
        <f>IFERROR(__xludf.DUMMYFUNCTION("""COMPUTED_VALUE"""),"KAREN L. CRUZ")</f>
        <v>KAREN L. CRUZ</v>
      </c>
      <c r="F94" s="133"/>
      <c r="G94" s="13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60">
        <f t="shared" si="1"/>
        <v>89</v>
      </c>
      <c r="B95" s="9" t="str">
        <f>IFERROR(__xludf.DUMMYFUNCTION("""COMPUTED_VALUE"""),"PATALINGHUG")</f>
        <v>PATALINGHUG</v>
      </c>
      <c r="C95" s="9" t="str">
        <f>IFERROR(__xludf.DUMMYFUNCTION("""COMPUTED_VALUE"""),"ELISHA ")</f>
        <v>ELISHA </v>
      </c>
      <c r="D95" s="9" t="str">
        <f>IFERROR(__xludf.DUMMYFUNCTION("""COMPUTED_VALUE"""),"R.")</f>
        <v>R.</v>
      </c>
      <c r="E95" s="9" t="str">
        <f>IFERROR(__xludf.DUMMYFUNCTION("""COMPUTED_VALUE"""),"KAREN L. CRUZ")</f>
        <v>KAREN L. CRUZ</v>
      </c>
      <c r="F95" s="133"/>
      <c r="G95" s="13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60">
        <f t="shared" si="1"/>
        <v>90</v>
      </c>
      <c r="B96" s="9" t="str">
        <f>IFERROR(__xludf.DUMMYFUNCTION("""COMPUTED_VALUE"""),"BELTRAN")</f>
        <v>BELTRAN</v>
      </c>
      <c r="C96" s="9" t="str">
        <f>IFERROR(__xludf.DUMMYFUNCTION("""COMPUTED_VALUE"""),"YUEN AYESHA")</f>
        <v>YUEN AYESHA</v>
      </c>
      <c r="D96" s="9"/>
      <c r="E96" s="9" t="str">
        <f>IFERROR(__xludf.DUMMYFUNCTION("""COMPUTED_VALUE""")," NEILSON M. BELTRAN")</f>
        <v> NEILSON M. BELTRAN</v>
      </c>
      <c r="F96" s="133"/>
      <c r="G96" s="13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60">
        <f t="shared" si="1"/>
        <v>91</v>
      </c>
      <c r="B97" s="9" t="str">
        <f>IFERROR(__xludf.DUMMYFUNCTION("""COMPUTED_VALUE"""),"BELTRAN")</f>
        <v>BELTRAN</v>
      </c>
      <c r="C97" s="9" t="str">
        <f>IFERROR(__xludf.DUMMYFUNCTION("""COMPUTED_VALUE"""),"YOHANN ZYRUS")</f>
        <v>YOHANN ZYRUS</v>
      </c>
      <c r="D97" s="9"/>
      <c r="E97" s="9" t="str">
        <f>IFERROR(__xludf.DUMMYFUNCTION("""COMPUTED_VALUE""")," NEILSON M. BELTRAN")</f>
        <v> NEILSON M. BELTRAN</v>
      </c>
      <c r="F97" s="133"/>
      <c r="G97" s="13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60">
        <f t="shared" si="1"/>
        <v>92</v>
      </c>
      <c r="B98" s="9" t="str">
        <f>IFERROR(__xludf.DUMMYFUNCTION("""COMPUTED_VALUE"""),"BELTRAN")</f>
        <v>BELTRAN</v>
      </c>
      <c r="C98" s="9" t="str">
        <f>IFERROR(__xludf.DUMMYFUNCTION("""COMPUTED_VALUE"""),"YSON ZEN")</f>
        <v>YSON ZEN</v>
      </c>
      <c r="D98" s="9"/>
      <c r="E98" s="9" t="str">
        <f>IFERROR(__xludf.DUMMYFUNCTION("""COMPUTED_VALUE""")," NEILSON M. BELTRAN")</f>
        <v> NEILSON M. BELTRAN</v>
      </c>
      <c r="F98" s="133"/>
      <c r="G98" s="13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60">
        <f t="shared" si="1"/>
        <v>93</v>
      </c>
      <c r="B99" s="9" t="str">
        <f>IFERROR(__xludf.DUMMYFUNCTION("""COMPUTED_VALUE"""),"CAMPAÑA")</f>
        <v>CAMPAÑA</v>
      </c>
      <c r="C99" s="9" t="str">
        <f>IFERROR(__xludf.DUMMYFUNCTION("""COMPUTED_VALUE"""),"ALMA")</f>
        <v>ALMA</v>
      </c>
      <c r="D99" s="9"/>
      <c r="E99" s="9" t="str">
        <f>IFERROR(__xludf.DUMMYFUNCTION("""COMPUTED_VALUE"""),"ALEXANDER CAMPAÑA")</f>
        <v>ALEXANDER CAMPAÑA</v>
      </c>
      <c r="F99" s="133"/>
      <c r="G99" s="13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60">
        <f t="shared" si="1"/>
        <v>94</v>
      </c>
      <c r="B100" s="9" t="str">
        <f>IFERROR(__xludf.DUMMYFUNCTION("""COMPUTED_VALUE"""),"CAMPAÑA")</f>
        <v>CAMPAÑA</v>
      </c>
      <c r="C100" s="9" t="str">
        <f>IFERROR(__xludf.DUMMYFUNCTION("""COMPUTED_VALUE"""),"ALEXIS MIGUEL")</f>
        <v>ALEXIS MIGUEL</v>
      </c>
      <c r="D100" s="9"/>
      <c r="E100" s="9" t="str">
        <f>IFERROR(__xludf.DUMMYFUNCTION("""COMPUTED_VALUE"""),"ALEXANDER CAMPAÑA")</f>
        <v>ALEXANDER CAMPAÑA</v>
      </c>
      <c r="F100" s="133"/>
      <c r="G100" s="13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60">
        <f t="shared" si="1"/>
        <v>95</v>
      </c>
      <c r="B101" s="9" t="str">
        <f>IFERROR(__xludf.DUMMYFUNCTION("""COMPUTED_VALUE"""),"BELTRAN")</f>
        <v>BELTRAN</v>
      </c>
      <c r="C101" s="9" t="str">
        <f>IFERROR(__xludf.DUMMYFUNCTION("""COMPUTED_VALUE"""),"PAMFS BRYLE ANDREI")</f>
        <v>PAMFS BRYLE ANDREI</v>
      </c>
      <c r="D101" s="9"/>
      <c r="E101" s="9" t="str">
        <f>IFERROR(__xludf.DUMMYFUNCTION("""COMPUTED_VALUE"""),"LORENA BELTRAN")</f>
        <v>LORENA BELTRAN</v>
      </c>
      <c r="F101" s="133"/>
      <c r="G101" s="13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60">
        <f t="shared" si="1"/>
        <v>96</v>
      </c>
      <c r="B102" s="9" t="str">
        <f>IFERROR(__xludf.DUMMYFUNCTION("""COMPUTED_VALUE"""),"CABIS")</f>
        <v>CABIS</v>
      </c>
      <c r="C102" s="9" t="str">
        <f>IFERROR(__xludf.DUMMYFUNCTION("""COMPUTED_VALUE"""),"PHEONA ANDREA MAE")</f>
        <v>PHEONA ANDREA MAE</v>
      </c>
      <c r="D102" s="9"/>
      <c r="E102" s="9" t="str">
        <f>IFERROR(__xludf.DUMMYFUNCTION("""COMPUTED_VALUE"""),"LORENA BELTRAN")</f>
        <v>LORENA BELTRAN</v>
      </c>
      <c r="F102" s="133"/>
      <c r="G102" s="13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60">
        <f t="shared" si="1"/>
        <v>97</v>
      </c>
      <c r="B103" s="9" t="str">
        <f>IFERROR(__xludf.DUMMYFUNCTION("""COMPUTED_VALUE"""),"CABIS")</f>
        <v>CABIS</v>
      </c>
      <c r="C103" s="9" t="str">
        <f>IFERROR(__xludf.DUMMYFUNCTION("""COMPUTED_VALUE"""),"PRINCESS ALHANE")</f>
        <v>PRINCESS ALHANE</v>
      </c>
      <c r="D103" s="9"/>
      <c r="E103" s="9" t="str">
        <f>IFERROR(__xludf.DUMMYFUNCTION("""COMPUTED_VALUE"""),"LORENA BELTRAN")</f>
        <v>LORENA BELTRAN</v>
      </c>
      <c r="F103" s="133"/>
      <c r="G103" s="13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60">
        <f t="shared" si="1"/>
        <v>98</v>
      </c>
      <c r="B104" s="9" t="str">
        <f>IFERROR(__xludf.DUMMYFUNCTION("""COMPUTED_VALUE"""),"CENIZAL")</f>
        <v>CENIZAL</v>
      </c>
      <c r="C104" s="9" t="str">
        <f>IFERROR(__xludf.DUMMYFUNCTION("""COMPUTED_VALUE"""),"MANNY")</f>
        <v>MANNY</v>
      </c>
      <c r="D104" s="9"/>
      <c r="E104" s="9" t="str">
        <f>IFERROR(__xludf.DUMMYFUNCTION("""COMPUTED_VALUE"""),"LORENA BELTRAN")</f>
        <v>LORENA BELTRAN</v>
      </c>
      <c r="F104" s="133"/>
      <c r="G104" s="13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60">
        <f t="shared" si="1"/>
        <v>99</v>
      </c>
      <c r="B105" s="9" t="str">
        <f>IFERROR(__xludf.DUMMYFUNCTION("""COMPUTED_VALUE"""),"DELA CUEVA")</f>
        <v>DELA CUEVA</v>
      </c>
      <c r="C105" s="9" t="str">
        <f>IFERROR(__xludf.DUMMYFUNCTION("""COMPUTED_VALUE"""),"GIAN HARLEY ")</f>
        <v>GIAN HARLEY </v>
      </c>
      <c r="D105" s="9" t="str">
        <f>IFERROR(__xludf.DUMMYFUNCTION("""COMPUTED_VALUE"""),"B.")</f>
        <v>B.</v>
      </c>
      <c r="E105" s="9" t="str">
        <f>IFERROR(__xludf.DUMMYFUNCTION("""COMPUTED_VALUE"""),"SHERILYN M. BELTRAN")</f>
        <v>SHERILYN M. BELTRAN</v>
      </c>
      <c r="F105" s="133"/>
      <c r="G105" s="13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60">
        <f t="shared" si="1"/>
        <v>100</v>
      </c>
      <c r="B106" s="9" t="str">
        <f>IFERROR(__xludf.DUMMYFUNCTION("""COMPUTED_VALUE"""),"TAPACLOW")</f>
        <v>TAPACLOW</v>
      </c>
      <c r="C106" s="9" t="str">
        <f>IFERROR(__xludf.DUMMYFUNCTION("""COMPUTED_VALUE"""),"ABIH")</f>
        <v>ABIH</v>
      </c>
      <c r="D106" s="9"/>
      <c r="E106" s="9" t="str">
        <f>IFERROR(__xludf.DUMMYFUNCTION("""COMPUTED_VALUE"""),"ANTONETTE SAMSON")</f>
        <v>ANTONETTE SAMSON</v>
      </c>
      <c r="F106" s="133"/>
      <c r="G106" s="13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60">
        <f t="shared" si="1"/>
        <v>101</v>
      </c>
      <c r="B107" s="9" t="str">
        <f>IFERROR(__xludf.DUMMYFUNCTION("""COMPUTED_VALUE"""),"TOROAW")</f>
        <v>TOROAW</v>
      </c>
      <c r="C107" s="9" t="str">
        <f>IFERROR(__xludf.DUMMYFUNCTION("""COMPUTED_VALUE"""),"AMAKA")</f>
        <v>AMAKA</v>
      </c>
      <c r="D107" s="9"/>
      <c r="E107" s="9" t="str">
        <f>IFERROR(__xludf.DUMMYFUNCTION("""COMPUTED_VALUE"""),"ANTONETTE SAMSON")</f>
        <v>ANTONETTE SAMSON</v>
      </c>
      <c r="F107" s="133"/>
      <c r="G107" s="13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60">
        <f t="shared" si="1"/>
        <v>102</v>
      </c>
      <c r="B108" s="9" t="str">
        <f>IFERROR(__xludf.DUMMYFUNCTION("""COMPUTED_VALUE"""),"SAMSON")</f>
        <v>SAMSON</v>
      </c>
      <c r="C108" s="9" t="str">
        <f>IFERROR(__xludf.DUMMYFUNCTION("""COMPUTED_VALUE"""),"AIKO")</f>
        <v>AIKO</v>
      </c>
      <c r="D108" s="9"/>
      <c r="E108" s="9" t="str">
        <f>IFERROR(__xludf.DUMMYFUNCTION("""COMPUTED_VALUE"""),"PACITA SAMSON")</f>
        <v>PACITA SAMSON</v>
      </c>
      <c r="F108" s="133"/>
      <c r="G108" s="13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60">
        <f t="shared" si="1"/>
        <v>103</v>
      </c>
      <c r="B109" s="9" t="str">
        <f>IFERROR(__xludf.DUMMYFUNCTION("""COMPUTED_VALUE"""),"GUEVARA")</f>
        <v>GUEVARA</v>
      </c>
      <c r="C109" s="9" t="str">
        <f>IFERROR(__xludf.DUMMYFUNCTION("""COMPUTED_VALUE"""),"JANNAH NICOLE")</f>
        <v>JANNAH NICOLE</v>
      </c>
      <c r="D109" s="9"/>
      <c r="E109" s="9" t="str">
        <f>IFERROR(__xludf.DUMMYFUNCTION("""COMPUTED_VALUE"""),"ANISON GUEVARA")</f>
        <v>ANISON GUEVARA</v>
      </c>
      <c r="F109" s="133"/>
      <c r="G109" s="13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60">
        <f t="shared" si="1"/>
        <v>104</v>
      </c>
      <c r="B110" s="9" t="str">
        <f>IFERROR(__xludf.DUMMYFUNCTION("""COMPUTED_VALUE"""),"GUEAVRA")</f>
        <v>GUEAVRA</v>
      </c>
      <c r="C110" s="9" t="str">
        <f>IFERROR(__xludf.DUMMYFUNCTION("""COMPUTED_VALUE"""),"JASMINE QUINN")</f>
        <v>JASMINE QUINN</v>
      </c>
      <c r="D110" s="9"/>
      <c r="E110" s="9" t="str">
        <f>IFERROR(__xludf.DUMMYFUNCTION("""COMPUTED_VALUE"""),"ANISON GUEVARA")</f>
        <v>ANISON GUEVARA</v>
      </c>
      <c r="F110" s="133"/>
      <c r="G110" s="13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60">
        <f t="shared" si="1"/>
        <v>105</v>
      </c>
      <c r="B111" s="9" t="str">
        <f>IFERROR(__xludf.DUMMYFUNCTION("""COMPUTED_VALUE"""),"GUEVARA")</f>
        <v>GUEVARA</v>
      </c>
      <c r="C111" s="9" t="str">
        <f>IFERROR(__xludf.DUMMYFUNCTION("""COMPUTED_VALUE"""),"JOHN GABRIEL")</f>
        <v>JOHN GABRIEL</v>
      </c>
      <c r="D111" s="9"/>
      <c r="E111" s="9" t="str">
        <f>IFERROR(__xludf.DUMMYFUNCTION("""COMPUTED_VALUE"""),"ANISON GUEVARA")</f>
        <v>ANISON GUEVARA</v>
      </c>
      <c r="F111" s="133"/>
      <c r="G111" s="13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60">
        <f t="shared" si="1"/>
        <v>106</v>
      </c>
      <c r="B112" s="9" t="str">
        <f>IFERROR(__xludf.DUMMYFUNCTION("""COMPUTED_VALUE"""),"OLIVA")</f>
        <v>OLIVA</v>
      </c>
      <c r="C112" s="9" t="str">
        <f>IFERROR(__xludf.DUMMYFUNCTION("""COMPUTED_VALUE"""),"JHUSTIN JHURT")</f>
        <v>JHUSTIN JHURT</v>
      </c>
      <c r="D112" s="9"/>
      <c r="E112" s="9" t="str">
        <f>IFERROR(__xludf.DUMMYFUNCTION("""COMPUTED_VALUE"""),"CARLITO OLIVA")</f>
        <v>CARLITO OLIVA</v>
      </c>
      <c r="F112" s="133"/>
      <c r="G112" s="13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60">
        <f t="shared" si="1"/>
        <v>107</v>
      </c>
      <c r="B113" s="9" t="str">
        <f>IFERROR(__xludf.DUMMYFUNCTION("""COMPUTED_VALUE"""),"OLIVA")</f>
        <v>OLIVA</v>
      </c>
      <c r="C113" s="9" t="str">
        <f>IFERROR(__xludf.DUMMYFUNCTION("""COMPUTED_VALUE"""),"ALIYAH KATE")</f>
        <v>ALIYAH KATE</v>
      </c>
      <c r="D113" s="9" t="str">
        <f>IFERROR(__xludf.DUMMYFUNCTION("""COMPUTED_VALUE"""),"C.")</f>
        <v>C.</v>
      </c>
      <c r="E113" s="9" t="str">
        <f>IFERROR(__xludf.DUMMYFUNCTION("""COMPUTED_VALUE"""),"CARLITO OLIVA")</f>
        <v>CARLITO OLIVA</v>
      </c>
      <c r="F113" s="133"/>
      <c r="G113" s="13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60">
        <f t="shared" si="1"/>
        <v>108</v>
      </c>
      <c r="B114" s="9" t="str">
        <f>IFERROR(__xludf.DUMMYFUNCTION("""COMPUTED_VALUE"""),"MOJAR")</f>
        <v>MOJAR</v>
      </c>
      <c r="C114" s="9" t="str">
        <f>IFERROR(__xludf.DUMMYFUNCTION("""COMPUTED_VALUE"""),"RICHARD")</f>
        <v>RICHARD</v>
      </c>
      <c r="D114" s="9" t="str">
        <f>IFERROR(__xludf.DUMMYFUNCTION("""COMPUTED_VALUE"""),"R.")</f>
        <v>R.</v>
      </c>
      <c r="E114" s="9" t="str">
        <f>IFERROR(__xludf.DUMMYFUNCTION("""COMPUTED_VALUE"""),"RENE MOJAR")</f>
        <v>RENE MOJAR</v>
      </c>
      <c r="F114" s="133"/>
      <c r="G114" s="13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0">
        <f t="shared" si="1"/>
        <v>109</v>
      </c>
      <c r="B115" s="9" t="str">
        <f>IFERROR(__xludf.DUMMYFUNCTION("""COMPUTED_VALUE"""),"MOJAR")</f>
        <v>MOJAR</v>
      </c>
      <c r="C115" s="9" t="str">
        <f>IFERROR(__xludf.DUMMYFUNCTION("""COMPUTED_VALUE"""),"RAEVEN")</f>
        <v>RAEVEN</v>
      </c>
      <c r="D115" s="9" t="str">
        <f>IFERROR(__xludf.DUMMYFUNCTION("""COMPUTED_VALUE"""),"R.")</f>
        <v>R.</v>
      </c>
      <c r="E115" s="9" t="str">
        <f>IFERROR(__xludf.DUMMYFUNCTION("""COMPUTED_VALUE"""),"RENE MOJAR")</f>
        <v>RENE MOJAR</v>
      </c>
      <c r="F115" s="133"/>
      <c r="G115" s="13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60">
        <f t="shared" si="1"/>
        <v>110</v>
      </c>
      <c r="B116" s="9" t="str">
        <f>IFERROR(__xludf.DUMMYFUNCTION("""COMPUTED_VALUE"""),"MOJAR")</f>
        <v>MOJAR</v>
      </c>
      <c r="C116" s="9" t="str">
        <f>IFERROR(__xludf.DUMMYFUNCTION("""COMPUTED_VALUE"""),"RAYMOND")</f>
        <v>RAYMOND</v>
      </c>
      <c r="D116" s="9" t="str">
        <f>IFERROR(__xludf.DUMMYFUNCTION("""COMPUTED_VALUE"""),"R.")</f>
        <v>R.</v>
      </c>
      <c r="E116" s="9" t="str">
        <f>IFERROR(__xludf.DUMMYFUNCTION("""COMPUTED_VALUE"""),"RENE MOJAR")</f>
        <v>RENE MOJAR</v>
      </c>
      <c r="F116" s="133"/>
      <c r="G116" s="13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0">
        <f t="shared" si="1"/>
        <v>111</v>
      </c>
      <c r="B117" s="9" t="str">
        <f>IFERROR(__xludf.DUMMYFUNCTION("""COMPUTED_VALUE"""),"CANAPIT")</f>
        <v>CANAPIT</v>
      </c>
      <c r="C117" s="9" t="str">
        <f>IFERROR(__xludf.DUMMYFUNCTION("""COMPUTED_VALUE"""),"JUSTINE VASHTI")</f>
        <v>JUSTINE VASHTI</v>
      </c>
      <c r="D117" s="9"/>
      <c r="E117" s="9" t="str">
        <f>IFERROR(__xludf.DUMMYFUNCTION("""COMPUTED_VALUE"""),"JOSELITO CANAPIT")</f>
        <v>JOSELITO CANAPIT</v>
      </c>
      <c r="F117" s="133"/>
      <c r="G117" s="13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0">
        <f t="shared" si="1"/>
        <v>112</v>
      </c>
      <c r="B118" s="9" t="str">
        <f>IFERROR(__xludf.DUMMYFUNCTION("""COMPUTED_VALUE"""),"CANAPIT")</f>
        <v>CANAPIT</v>
      </c>
      <c r="C118" s="9" t="str">
        <f>IFERROR(__xludf.DUMMYFUNCTION("""COMPUTED_VALUE"""),"GLULIANA BEATRIX")</f>
        <v>GLULIANA BEATRIX</v>
      </c>
      <c r="D118" s="9"/>
      <c r="E118" s="9" t="str">
        <f>IFERROR(__xludf.DUMMYFUNCTION("""COMPUTED_VALUE"""),"JOSELITO CANAPIT")</f>
        <v>JOSELITO CANAPIT</v>
      </c>
      <c r="F118" s="133"/>
      <c r="G118" s="13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60">
        <f t="shared" si="1"/>
        <v>113</v>
      </c>
      <c r="B119" s="9" t="str">
        <f>IFERROR(__xludf.DUMMYFUNCTION("""COMPUTED_VALUE"""),"TOMALE")</f>
        <v>TOMALE</v>
      </c>
      <c r="C119" s="9" t="str">
        <f>IFERROR(__xludf.DUMMYFUNCTION("""COMPUTED_VALUE"""),"GEORGIANA AINSLEY")</f>
        <v>GEORGIANA AINSLEY</v>
      </c>
      <c r="D119" s="9"/>
      <c r="E119" s="9" t="str">
        <f>IFERROR(__xludf.DUMMYFUNCTION("""COMPUTED_VALUE"""),"JOSELITO CANAPIT")</f>
        <v>JOSELITO CANAPIT</v>
      </c>
      <c r="F119" s="133"/>
      <c r="G119" s="13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60">
        <f t="shared" si="1"/>
        <v>114</v>
      </c>
      <c r="B120" s="9" t="str">
        <f>IFERROR(__xludf.DUMMYFUNCTION("""COMPUTED_VALUE"""),"TOMALE")</f>
        <v>TOMALE</v>
      </c>
      <c r="C120" s="9" t="str">
        <f>IFERROR(__xludf.DUMMYFUNCTION("""COMPUTED_VALUE"""),"AISLINN")</f>
        <v>AISLINN</v>
      </c>
      <c r="D120" s="9"/>
      <c r="E120" s="9" t="str">
        <f>IFERROR(__xludf.DUMMYFUNCTION("""COMPUTED_VALUE"""),"JOSELITO CANAPIT")</f>
        <v>JOSELITO CANAPIT</v>
      </c>
      <c r="F120" s="133"/>
      <c r="G120" s="13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60">
        <f t="shared" si="1"/>
        <v>115</v>
      </c>
      <c r="B121" s="9" t="str">
        <f>IFERROR(__xludf.DUMMYFUNCTION("""COMPUTED_VALUE"""),"ROLDAN")</f>
        <v>ROLDAN</v>
      </c>
      <c r="C121" s="9" t="str">
        <f>IFERROR(__xludf.DUMMYFUNCTION("""COMPUTED_VALUE"""),"ALANIS LOVI")</f>
        <v>ALANIS LOVI</v>
      </c>
      <c r="D121" s="9" t="str">
        <f>IFERROR(__xludf.DUMMYFUNCTION("""COMPUTED_VALUE"""),"H.")</f>
        <v>H.</v>
      </c>
      <c r="E121" s="9" t="str">
        <f>IFERROR(__xludf.DUMMYFUNCTION("""COMPUTED_VALUE"""),"LAURICE H. ROLDAN")</f>
        <v>LAURICE H. ROLDAN</v>
      </c>
      <c r="F121" s="133"/>
      <c r="G121" s="13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60">
        <f t="shared" si="1"/>
        <v>116</v>
      </c>
      <c r="B122" s="9" t="str">
        <f>IFERROR(__xludf.DUMMYFUNCTION("""COMPUTED_VALUE"""),"ROLDAN")</f>
        <v>ROLDAN</v>
      </c>
      <c r="C122" s="9" t="str">
        <f>IFERROR(__xludf.DUMMYFUNCTION("""COMPUTED_VALUE"""),"LIAN ARASHEL")</f>
        <v>LIAN ARASHEL</v>
      </c>
      <c r="D122" s="9" t="str">
        <f>IFERROR(__xludf.DUMMYFUNCTION("""COMPUTED_VALUE"""),"H.")</f>
        <v>H.</v>
      </c>
      <c r="E122" s="9" t="str">
        <f>IFERROR(__xludf.DUMMYFUNCTION("""COMPUTED_VALUE"""),"LAURICE H. ROLDAN")</f>
        <v>LAURICE H. ROLDAN</v>
      </c>
      <c r="F122" s="133"/>
      <c r="G122" s="13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60">
        <f t="shared" si="1"/>
        <v>117</v>
      </c>
      <c r="B123" s="9" t="str">
        <f>IFERROR(__xludf.DUMMYFUNCTION("""COMPUTED_VALUE"""),"ROLDAN")</f>
        <v>ROLDAN</v>
      </c>
      <c r="C123" s="9" t="str">
        <f>IFERROR(__xludf.DUMMYFUNCTION("""COMPUTED_VALUE"""),"SILAS GREY")</f>
        <v>SILAS GREY</v>
      </c>
      <c r="D123" s="9" t="str">
        <f>IFERROR(__xludf.DUMMYFUNCTION("""COMPUTED_VALUE"""),"H.")</f>
        <v>H.</v>
      </c>
      <c r="E123" s="9" t="str">
        <f>IFERROR(__xludf.DUMMYFUNCTION("""COMPUTED_VALUE"""),"LAURICE H. ROLDAN")</f>
        <v>LAURICE H. ROLDAN</v>
      </c>
      <c r="F123" s="133"/>
      <c r="G123" s="13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60">
        <f t="shared" si="1"/>
        <v>118</v>
      </c>
      <c r="B124" s="9" t="str">
        <f>IFERROR(__xludf.DUMMYFUNCTION("""COMPUTED_VALUE"""),"SANTOS")</f>
        <v>SANTOS</v>
      </c>
      <c r="C124" s="9" t="str">
        <f>IFERROR(__xludf.DUMMYFUNCTION("""COMPUTED_VALUE"""),"IHAN KRISHNA")</f>
        <v>IHAN KRISHNA</v>
      </c>
      <c r="D124" s="9"/>
      <c r="E124" s="9" t="str">
        <f>IFERROR(__xludf.DUMMYFUNCTION("""COMPUTED_VALUE"""),"TRICIA HUPALAR")</f>
        <v>TRICIA HUPALAR</v>
      </c>
      <c r="F124" s="133"/>
      <c r="G124" s="13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60">
        <f t="shared" si="1"/>
        <v>119</v>
      </c>
      <c r="B125" s="9" t="str">
        <f>IFERROR(__xludf.DUMMYFUNCTION("""COMPUTED_VALUE"""),"SANTOS")</f>
        <v>SANTOS</v>
      </c>
      <c r="C125" s="9" t="str">
        <f>IFERROR(__xludf.DUMMYFUNCTION("""COMPUTED_VALUE"""),"KRIS NOAH")</f>
        <v>KRIS NOAH</v>
      </c>
      <c r="D125" s="9"/>
      <c r="E125" s="9" t="str">
        <f>IFERROR(__xludf.DUMMYFUNCTION("""COMPUTED_VALUE"""),"TRICIA HUPALAR")</f>
        <v>TRICIA HUPALAR</v>
      </c>
      <c r="F125" s="133"/>
      <c r="G125" s="13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60">
        <f t="shared" si="1"/>
        <v>120</v>
      </c>
      <c r="B126" s="9" t="str">
        <f>IFERROR(__xludf.DUMMYFUNCTION("""COMPUTED_VALUE"""),"SANTOS")</f>
        <v>SANTOS</v>
      </c>
      <c r="C126" s="9" t="str">
        <f>IFERROR(__xludf.DUMMYFUNCTION("""COMPUTED_VALUE"""),"NASHI KRISCIA")</f>
        <v>NASHI KRISCIA</v>
      </c>
      <c r="D126" s="9"/>
      <c r="E126" s="9" t="str">
        <f>IFERROR(__xludf.DUMMYFUNCTION("""COMPUTED_VALUE"""),"TRICIA HUPALAR")</f>
        <v>TRICIA HUPALAR</v>
      </c>
      <c r="F126" s="133"/>
      <c r="G126" s="13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60">
        <f t="shared" si="1"/>
        <v>121</v>
      </c>
      <c r="B127" s="9" t="str">
        <f>IFERROR(__xludf.DUMMYFUNCTION("""COMPUTED_VALUE"""),"HUPALAR")</f>
        <v>HUPALAR</v>
      </c>
      <c r="C127" s="9" t="str">
        <f>IFERROR(__xludf.DUMMYFUNCTION("""COMPUTED_VALUE"""),"LANCE ABRIEL")</f>
        <v>LANCE ABRIEL</v>
      </c>
      <c r="D127" s="9"/>
      <c r="E127" s="9" t="str">
        <f>IFERROR(__xludf.DUMMYFUNCTION("""COMPUTED_VALUE"""),"REBECCA C. HUPALAR")</f>
        <v>REBECCA C. HUPALAR</v>
      </c>
      <c r="F127" s="133"/>
      <c r="G127" s="13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60">
        <f t="shared" si="1"/>
        <v>122</v>
      </c>
      <c r="B128" s="9" t="str">
        <f>IFERROR(__xludf.DUMMYFUNCTION("""COMPUTED_VALUE"""),"HUPALAR")</f>
        <v>HUPALAR</v>
      </c>
      <c r="C128" s="9" t="str">
        <f>IFERROR(__xludf.DUMMYFUNCTION("""COMPUTED_VALUE"""),"LUIGI ADAM")</f>
        <v>LUIGI ADAM</v>
      </c>
      <c r="D128" s="9" t="str">
        <f>IFERROR(__xludf.DUMMYFUNCTION("""COMPUTED_VALUE"""),"P.")</f>
        <v>P.</v>
      </c>
      <c r="E128" s="9" t="str">
        <f>IFERROR(__xludf.DUMMYFUNCTION("""COMPUTED_VALUE"""),"REBECCA C. HUPALAR")</f>
        <v>REBECCA C. HUPALAR</v>
      </c>
      <c r="F128" s="133"/>
      <c r="G128" s="13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60">
        <f t="shared" si="1"/>
        <v>123</v>
      </c>
      <c r="B129" s="9" t="str">
        <f>IFERROR(__xludf.DUMMYFUNCTION("""COMPUTED_VALUE"""),"LOPINIA")</f>
        <v>LOPINIA</v>
      </c>
      <c r="C129" s="9" t="str">
        <f>IFERROR(__xludf.DUMMYFUNCTION("""COMPUTED_VALUE"""),"EXEE")</f>
        <v>EXEE</v>
      </c>
      <c r="D129" s="9"/>
      <c r="E129" s="9" t="str">
        <f>IFERROR(__xludf.DUMMYFUNCTION("""COMPUTED_VALUE"""),"JANET LOPINIA")</f>
        <v>JANET LOPINIA</v>
      </c>
      <c r="F129" s="133"/>
      <c r="G129" s="13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60">
        <f t="shared" si="1"/>
        <v>124</v>
      </c>
      <c r="B130" s="9" t="str">
        <f>IFERROR(__xludf.DUMMYFUNCTION("""COMPUTED_VALUE"""),"LOPINIA")</f>
        <v>LOPINIA</v>
      </c>
      <c r="C130" s="9" t="str">
        <f>IFERROR(__xludf.DUMMYFUNCTION("""COMPUTED_VALUE"""),"MICAELA")</f>
        <v>MICAELA</v>
      </c>
      <c r="D130" s="9"/>
      <c r="E130" s="9" t="str">
        <f>IFERROR(__xludf.DUMMYFUNCTION("""COMPUTED_VALUE"""),"JANET LOPINIA")</f>
        <v>JANET LOPINIA</v>
      </c>
      <c r="F130" s="133"/>
      <c r="G130" s="13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60">
        <f t="shared" si="1"/>
        <v>125</v>
      </c>
      <c r="B131" s="9" t="str">
        <f>IFERROR(__xludf.DUMMYFUNCTION("""COMPUTED_VALUE"""),"CALADIAO")</f>
        <v>CALADIAO</v>
      </c>
      <c r="C131" s="9" t="str">
        <f>IFERROR(__xludf.DUMMYFUNCTION("""COMPUTED_VALUE"""),"VEENA LALAINE")</f>
        <v>VEENA LALAINE</v>
      </c>
      <c r="D131" s="9" t="str">
        <f>IFERROR(__xludf.DUMMYFUNCTION("""COMPUTED_VALUE"""),"C.")</f>
        <v>C.</v>
      </c>
      <c r="E131" s="9" t="str">
        <f>IFERROR(__xludf.DUMMYFUNCTION("""COMPUTED_VALUE"""),"LOURDES C. CALADIAO")</f>
        <v>LOURDES C. CALADIAO</v>
      </c>
      <c r="F131" s="133"/>
      <c r="G131" s="13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60">
        <f t="shared" si="1"/>
        <v>126</v>
      </c>
      <c r="B132" s="9" t="str">
        <f>IFERROR(__xludf.DUMMYFUNCTION("""COMPUTED_VALUE"""),"CATA")</f>
        <v>CATA</v>
      </c>
      <c r="C132" s="9" t="str">
        <f>IFERROR(__xludf.DUMMYFUNCTION("""COMPUTED_VALUE"""),"MA. SAMUELA")</f>
        <v>MA. SAMUELA</v>
      </c>
      <c r="D132" s="9" t="str">
        <f>IFERROR(__xludf.DUMMYFUNCTION("""COMPUTED_VALUE"""),"P.")</f>
        <v>P.</v>
      </c>
      <c r="E132" s="9" t="str">
        <f>IFERROR(__xludf.DUMMYFUNCTION("""COMPUTED_VALUE"""),"MELITA DAUS PASCUA")</f>
        <v>MELITA DAUS PASCUA</v>
      </c>
      <c r="F132" s="133"/>
      <c r="G132" s="13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60">
        <f t="shared" si="1"/>
        <v>127</v>
      </c>
      <c r="B133" s="9" t="str">
        <f>IFERROR(__xludf.DUMMYFUNCTION("""COMPUTED_VALUE"""),"CATA")</f>
        <v>CATA</v>
      </c>
      <c r="C133" s="9" t="str">
        <f>IFERROR(__xludf.DUMMYFUNCTION("""COMPUTED_VALUE"""),"MA. ANGELA")</f>
        <v>MA. ANGELA</v>
      </c>
      <c r="D133" s="9" t="str">
        <f>IFERROR(__xludf.DUMMYFUNCTION("""COMPUTED_VALUE"""),"P.")</f>
        <v>P.</v>
      </c>
      <c r="E133" s="9" t="str">
        <f>IFERROR(__xludf.DUMMYFUNCTION("""COMPUTED_VALUE"""),"MELITA DAUS PASCUA")</f>
        <v>MELITA DAUS PASCUA</v>
      </c>
      <c r="F133" s="133"/>
      <c r="G133" s="13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60">
        <f t="shared" si="1"/>
        <v>128</v>
      </c>
      <c r="B134" s="9" t="str">
        <f>IFERROR(__xludf.DUMMYFUNCTION("""COMPUTED_VALUE"""),"PASCUA")</f>
        <v>PASCUA</v>
      </c>
      <c r="C134" s="9" t="str">
        <f>IFERROR(__xludf.DUMMYFUNCTION("""COMPUTED_VALUE"""),"MA. SAMANTHA MARIZ")</f>
        <v>MA. SAMANTHA MARIZ</v>
      </c>
      <c r="D134" s="9"/>
      <c r="E134" s="9" t="str">
        <f>IFERROR(__xludf.DUMMYFUNCTION("""COMPUTED_VALUE"""),"MELITA DAUS PASCUA")</f>
        <v>MELITA DAUS PASCUA</v>
      </c>
      <c r="F134" s="133"/>
      <c r="G134" s="13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60">
        <f t="shared" si="1"/>
        <v>129</v>
      </c>
      <c r="B135" s="9" t="str">
        <f>IFERROR(__xludf.DUMMYFUNCTION("""COMPUTED_VALUE"""),"SUMAGDON")</f>
        <v>SUMAGDON</v>
      </c>
      <c r="C135" s="9" t="str">
        <f>IFERROR(__xludf.DUMMYFUNCTION("""COMPUTED_VALUE"""),"DIOMEL")</f>
        <v>DIOMEL</v>
      </c>
      <c r="D135" s="9"/>
      <c r="E135" s="9" t="str">
        <f>IFERROR(__xludf.DUMMYFUNCTION("""COMPUTED_VALUE"""),"MELITA DAUS PASCUA")</f>
        <v>MELITA DAUS PASCUA</v>
      </c>
      <c r="F135" s="133"/>
      <c r="G135" s="13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60">
        <f t="shared" si="1"/>
        <v>130</v>
      </c>
      <c r="B136" s="9" t="str">
        <f>IFERROR(__xludf.DUMMYFUNCTION("""COMPUTED_VALUE"""),"VILLARUZ")</f>
        <v>VILLARUZ</v>
      </c>
      <c r="C136" s="9" t="str">
        <f>IFERROR(__xludf.DUMMYFUNCTION("""COMPUTED_VALUE"""),"DARVIC")</f>
        <v>DARVIC</v>
      </c>
      <c r="D136" s="9" t="str">
        <f>IFERROR(__xludf.DUMMYFUNCTION("""COMPUTED_VALUE"""),"P.")</f>
        <v>P.</v>
      </c>
      <c r="E136" s="9" t="str">
        <f>IFERROR(__xludf.DUMMYFUNCTION("""COMPUTED_VALUE"""),"JAMES ADAM S. VILLARUZ")</f>
        <v>JAMES ADAM S. VILLARUZ</v>
      </c>
      <c r="F136" s="133"/>
      <c r="G136" s="13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60">
        <f t="shared" si="1"/>
        <v>131</v>
      </c>
      <c r="B137" s="9" t="str">
        <f>IFERROR(__xludf.DUMMYFUNCTION("""COMPUTED_VALUE"""),"MERANO")</f>
        <v>MERANO</v>
      </c>
      <c r="C137" s="9" t="str">
        <f>IFERROR(__xludf.DUMMYFUNCTION("""COMPUTED_VALUE"""),"RAVEN JOHN")</f>
        <v>RAVEN JOHN</v>
      </c>
      <c r="D137" s="9" t="str">
        <f>IFERROR(__xludf.DUMMYFUNCTION("""COMPUTED_VALUE"""),"M.")</f>
        <v>M.</v>
      </c>
      <c r="E137" s="9" t="str">
        <f>IFERROR(__xludf.DUMMYFUNCTION("""COMPUTED_VALUE"""),"MERCEDITA YAP MERANO")</f>
        <v>MERCEDITA YAP MERANO</v>
      </c>
      <c r="F137" s="133"/>
      <c r="G137" s="13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60">
        <f t="shared" si="1"/>
        <v>132</v>
      </c>
      <c r="B138" s="9" t="str">
        <f>IFERROR(__xludf.DUMMYFUNCTION("""COMPUTED_VALUE"""),"MERANO")</f>
        <v>MERANO</v>
      </c>
      <c r="C138" s="9" t="str">
        <f>IFERROR(__xludf.DUMMYFUNCTION("""COMPUTED_VALUE"""),"CHEENE")</f>
        <v>CHEENE</v>
      </c>
      <c r="D138" s="9" t="str">
        <f>IFERROR(__xludf.DUMMYFUNCTION("""COMPUTED_VALUE"""),"M.")</f>
        <v>M.</v>
      </c>
      <c r="E138" s="9" t="str">
        <f>IFERROR(__xludf.DUMMYFUNCTION("""COMPUTED_VALUE"""),"MERCEDITA YAP MERANO")</f>
        <v>MERCEDITA YAP MERANO</v>
      </c>
      <c r="F138" s="133"/>
      <c r="G138" s="13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60">
        <f t="shared" si="1"/>
        <v>133</v>
      </c>
      <c r="B139" s="9" t="str">
        <f>IFERROR(__xludf.DUMMYFUNCTION("""COMPUTED_VALUE"""),"TRINIDAD")</f>
        <v>TRINIDAD</v>
      </c>
      <c r="C139" s="9" t="str">
        <f>IFERROR(__xludf.DUMMYFUNCTION("""COMPUTED_VALUE"""),"CHRISTINE JO")</f>
        <v>CHRISTINE JO</v>
      </c>
      <c r="D139" s="9" t="str">
        <f>IFERROR(__xludf.DUMMYFUNCTION("""COMPUTED_VALUE"""),"M.")</f>
        <v>M.</v>
      </c>
      <c r="E139" s="9" t="str">
        <f>IFERROR(__xludf.DUMMYFUNCTION("""COMPUTED_VALUE"""),"MERCEDITA YAP MERANO")</f>
        <v>MERCEDITA YAP MERANO</v>
      </c>
      <c r="F139" s="133"/>
      <c r="G139" s="13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60">
        <f t="shared" si="1"/>
        <v>134</v>
      </c>
      <c r="B140" s="9" t="str">
        <f>IFERROR(__xludf.DUMMYFUNCTION("""COMPUTED_VALUE"""),"TRINIDAD")</f>
        <v>TRINIDAD</v>
      </c>
      <c r="C140" s="9" t="str">
        <f>IFERROR(__xludf.DUMMYFUNCTION("""COMPUTED_VALUE"""),"ASHLEY JANE")</f>
        <v>ASHLEY JANE</v>
      </c>
      <c r="D140" s="9" t="str">
        <f>IFERROR(__xludf.DUMMYFUNCTION("""COMPUTED_VALUE"""),"M.")</f>
        <v>M.</v>
      </c>
      <c r="E140" s="9" t="str">
        <f>IFERROR(__xludf.DUMMYFUNCTION("""COMPUTED_VALUE"""),"MERCEDITA YAP MERANO")</f>
        <v>MERCEDITA YAP MERANO</v>
      </c>
      <c r="F140" s="133"/>
      <c r="G140" s="13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60">
        <f t="shared" si="1"/>
        <v>135</v>
      </c>
      <c r="B141" s="9" t="str">
        <f>IFERROR(__xludf.DUMMYFUNCTION("""COMPUTED_VALUE"""),"TRINIDAD")</f>
        <v>TRINIDAD</v>
      </c>
      <c r="C141" s="9" t="str">
        <f>IFERROR(__xludf.DUMMYFUNCTION("""COMPUTED_VALUE"""),"PRINCE JO")</f>
        <v>PRINCE JO</v>
      </c>
      <c r="D141" s="9" t="str">
        <f>IFERROR(__xludf.DUMMYFUNCTION("""COMPUTED_VALUE"""),"M.")</f>
        <v>M.</v>
      </c>
      <c r="E141" s="9" t="str">
        <f>IFERROR(__xludf.DUMMYFUNCTION("""COMPUTED_VALUE"""),"MERCEDITA YAP MERANO")</f>
        <v>MERCEDITA YAP MERANO</v>
      </c>
      <c r="F141" s="133"/>
      <c r="G141" s="13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60">
        <f t="shared" si="1"/>
        <v>136</v>
      </c>
      <c r="B142" s="9" t="str">
        <f>IFERROR(__xludf.DUMMYFUNCTION("""COMPUTED_VALUE"""),"HIPOLITO")</f>
        <v>HIPOLITO</v>
      </c>
      <c r="C142" s="9" t="str">
        <f>IFERROR(__xludf.DUMMYFUNCTION("""COMPUTED_VALUE"""),"ASH ")</f>
        <v>ASH </v>
      </c>
      <c r="D142" s="9" t="str">
        <f>IFERROR(__xludf.DUMMYFUNCTION("""COMPUTED_VALUE"""),"N.")</f>
        <v>N.</v>
      </c>
      <c r="E142" s="9" t="str">
        <f>IFERROR(__xludf.DUMMYFUNCTION("""COMPUTED_VALUE"""),"ALLAN P. HIPOLITO SR.")</f>
        <v>ALLAN P. HIPOLITO SR.</v>
      </c>
      <c r="F142" s="133"/>
      <c r="G142" s="13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60">
        <f t="shared" si="1"/>
        <v>137</v>
      </c>
      <c r="B143" s="9" t="str">
        <f>IFERROR(__xludf.DUMMYFUNCTION("""COMPUTED_VALUE"""),"HIPOLITO")</f>
        <v>HIPOLITO</v>
      </c>
      <c r="C143" s="9" t="str">
        <f>IFERROR(__xludf.DUMMYFUNCTION("""COMPUTED_VALUE"""),"YANAH")</f>
        <v>YANAH</v>
      </c>
      <c r="D143" s="9" t="str">
        <f>IFERROR(__xludf.DUMMYFUNCTION("""COMPUTED_VALUE"""),"N.")</f>
        <v>N.</v>
      </c>
      <c r="E143" s="9" t="str">
        <f>IFERROR(__xludf.DUMMYFUNCTION("""COMPUTED_VALUE"""),"ALLAN P. HIPOLITO SR.")</f>
        <v>ALLAN P. HIPOLITO SR.</v>
      </c>
      <c r="F143" s="133"/>
      <c r="G143" s="13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60">
        <f t="shared" si="1"/>
        <v>138</v>
      </c>
      <c r="B144" s="9" t="str">
        <f>IFERROR(__xludf.DUMMYFUNCTION("""COMPUTED_VALUE"""),"HIPOLITO")</f>
        <v>HIPOLITO</v>
      </c>
      <c r="C144" s="9" t="str">
        <f>IFERROR(__xludf.DUMMYFUNCTION("""COMPUTED_VALUE"""),"AMIEL")</f>
        <v>AMIEL</v>
      </c>
      <c r="D144" s="9"/>
      <c r="E144" s="9" t="str">
        <f>IFERROR(__xludf.DUMMYFUNCTION("""COMPUTED_VALUE"""),"ALLAN N. HIPOLITO JR.")</f>
        <v>ALLAN N. HIPOLITO JR.</v>
      </c>
      <c r="F144" s="133"/>
      <c r="G144" s="13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60">
        <f t="shared" si="1"/>
        <v>139</v>
      </c>
      <c r="B145" s="9" t="str">
        <f>IFERROR(__xludf.DUMMYFUNCTION("""COMPUTED_VALUE"""),"HIPOLITO")</f>
        <v>HIPOLITO</v>
      </c>
      <c r="C145" s="9" t="str">
        <f>IFERROR(__xludf.DUMMYFUNCTION("""COMPUTED_VALUE"""),"ALAINE MAIREEN")</f>
        <v>ALAINE MAIREEN</v>
      </c>
      <c r="D145" s="9"/>
      <c r="E145" s="9" t="str">
        <f>IFERROR(__xludf.DUMMYFUNCTION("""COMPUTED_VALUE"""),"ALLAN N. HIPOLITO JR.")</f>
        <v>ALLAN N. HIPOLITO JR.</v>
      </c>
      <c r="F145" s="133"/>
      <c r="G145" s="13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60">
        <f t="shared" si="1"/>
        <v>140</v>
      </c>
      <c r="B146" s="9" t="str">
        <f>IFERROR(__xludf.DUMMYFUNCTION("""COMPUTED_VALUE"""),"HIPOLITO")</f>
        <v>HIPOLITO</v>
      </c>
      <c r="C146" s="9" t="str">
        <f>IFERROR(__xludf.DUMMYFUNCTION("""COMPUTED_VALUE"""),"AIRISH ")</f>
        <v>AIRISH </v>
      </c>
      <c r="D146" s="9" t="str">
        <f>IFERROR(__xludf.DUMMYFUNCTION("""COMPUTED_VALUE"""),"R.")</f>
        <v>R.</v>
      </c>
      <c r="E146" s="9" t="str">
        <f>IFERROR(__xludf.DUMMYFUNCTION("""COMPUTED_VALUE"""),"ALLAN N. HIPOLITO JR.")</f>
        <v>ALLAN N. HIPOLITO JR.</v>
      </c>
      <c r="F146" s="133"/>
      <c r="G146" s="13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60">
        <f t="shared" si="1"/>
        <v>141</v>
      </c>
      <c r="B147" s="9" t="str">
        <f>IFERROR(__xludf.DUMMYFUNCTION("""COMPUTED_VALUE"""),"ARGOTA")</f>
        <v>ARGOTA</v>
      </c>
      <c r="C147" s="9" t="str">
        <f>IFERROR(__xludf.DUMMYFUNCTION("""COMPUTED_VALUE"""),"ELEANA JEN")</f>
        <v>ELEANA JEN</v>
      </c>
      <c r="D147" s="9"/>
      <c r="E147" s="9" t="str">
        <f>IFERROR(__xludf.DUMMYFUNCTION("""COMPUTED_VALUE"""),"JENNY M. ARGOTA")</f>
        <v>JENNY M. ARGOTA</v>
      </c>
      <c r="F147" s="133"/>
      <c r="G147" s="13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60">
        <f t="shared" si="1"/>
        <v>142</v>
      </c>
      <c r="B148" s="9" t="str">
        <f>IFERROR(__xludf.DUMMYFUNCTION("""COMPUTED_VALUE"""),"ZAMORA")</f>
        <v>ZAMORA</v>
      </c>
      <c r="C148" s="9" t="str">
        <f>IFERROR(__xludf.DUMMYFUNCTION("""COMPUTED_VALUE"""),"AVIGAIL")</f>
        <v>AVIGAIL</v>
      </c>
      <c r="D148" s="9"/>
      <c r="E148" s="9" t="str">
        <f>IFERROR(__xludf.DUMMYFUNCTION("""COMPUTED_VALUE"""),"JENNY M. ARGOTA")</f>
        <v>JENNY M. ARGOTA</v>
      </c>
      <c r="F148" s="133"/>
      <c r="G148" s="13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60">
        <f t="shared" si="1"/>
        <v>143</v>
      </c>
      <c r="B149" s="9" t="str">
        <f>IFERROR(__xludf.DUMMYFUNCTION("""COMPUTED_VALUE"""),"ARGOTA")</f>
        <v>ARGOTA</v>
      </c>
      <c r="C149" s="9" t="str">
        <f>IFERROR(__xludf.DUMMYFUNCTION("""COMPUTED_VALUE"""),"PRECIOUS GIANNA")</f>
        <v>PRECIOUS GIANNA</v>
      </c>
      <c r="D149" s="9"/>
      <c r="E149" s="9" t="str">
        <f>IFERROR(__xludf.DUMMYFUNCTION("""COMPUTED_VALUE"""),"JOMEL ARGOTA")</f>
        <v>JOMEL ARGOTA</v>
      </c>
      <c r="F149" s="133"/>
      <c r="G149" s="13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60">
        <f t="shared" si="1"/>
        <v>144</v>
      </c>
      <c r="B150" s="9" t="str">
        <f>IFERROR(__xludf.DUMMYFUNCTION("""COMPUTED_VALUE"""),"WITE")</f>
        <v>WITE</v>
      </c>
      <c r="C150" s="9" t="str">
        <f>IFERROR(__xludf.DUMMYFUNCTION("""COMPUTED_VALUE"""),"JUAN MIGUEL")</f>
        <v>JUAN MIGUEL</v>
      </c>
      <c r="D150" s="9" t="str">
        <f>IFERROR(__xludf.DUMMYFUNCTION("""COMPUTED_VALUE"""),"D.")</f>
        <v>D.</v>
      </c>
      <c r="E150" s="9" t="str">
        <f>IFERROR(__xludf.DUMMYFUNCTION("""COMPUTED_VALUE"""),"RICHARD ORO WITE")</f>
        <v>RICHARD ORO WITE</v>
      </c>
      <c r="F150" s="133"/>
      <c r="G150" s="13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60">
        <f t="shared" si="1"/>
        <v>145</v>
      </c>
      <c r="B151" s="9" t="str">
        <f>IFERROR(__xludf.DUMMYFUNCTION("""COMPUTED_VALUE"""),"WITE")</f>
        <v>WITE</v>
      </c>
      <c r="C151" s="9" t="str">
        <f>IFERROR(__xludf.DUMMYFUNCTION("""COMPUTED_VALUE"""),"ALTHEA NICOLE")</f>
        <v>ALTHEA NICOLE</v>
      </c>
      <c r="D151" s="9" t="str">
        <f>IFERROR(__xludf.DUMMYFUNCTION("""COMPUTED_VALUE"""),"D.")</f>
        <v>D.</v>
      </c>
      <c r="E151" s="9" t="str">
        <f>IFERROR(__xludf.DUMMYFUNCTION("""COMPUTED_VALUE"""),"RICHARD ORO WITE")</f>
        <v>RICHARD ORO WITE</v>
      </c>
      <c r="F151" s="133"/>
      <c r="G151" s="13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60">
        <f t="shared" si="1"/>
        <v>146</v>
      </c>
      <c r="B152" s="9" t="str">
        <f>IFERROR(__xludf.DUMMYFUNCTION("""COMPUTED_VALUE"""),"EVANGELISTA")</f>
        <v>EVANGELISTA</v>
      </c>
      <c r="C152" s="9" t="str">
        <f>IFERROR(__xludf.DUMMYFUNCTION("""COMPUTED_VALUE"""),"JUSTINE DYWING")</f>
        <v>JUSTINE DYWING</v>
      </c>
      <c r="D152" s="9"/>
      <c r="E152" s="9" t="str">
        <f>IFERROR(__xludf.DUMMYFUNCTION("""COMPUTED_VALUE"""),"FREDERICO A. FLORANO")</f>
        <v>FREDERICO A. FLORANO</v>
      </c>
      <c r="F152" s="133"/>
      <c r="G152" s="13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60">
        <f t="shared" si="1"/>
        <v>147</v>
      </c>
      <c r="B153" s="9" t="str">
        <f>IFERROR(__xludf.DUMMYFUNCTION("""COMPUTED_VALUE"""),"EVANGELISTA")</f>
        <v>EVANGELISTA</v>
      </c>
      <c r="C153" s="9" t="str">
        <f>IFERROR(__xludf.DUMMYFUNCTION("""COMPUTED_VALUE"""),"CLYDE EXEQUIEL")</f>
        <v>CLYDE EXEQUIEL</v>
      </c>
      <c r="D153" s="9"/>
      <c r="E153" s="9" t="str">
        <f>IFERROR(__xludf.DUMMYFUNCTION("""COMPUTED_VALUE"""),"FREDERICO A. FLORANO")</f>
        <v>FREDERICO A. FLORANO</v>
      </c>
      <c r="F153" s="133"/>
      <c r="G153" s="13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60">
        <f t="shared" si="1"/>
        <v>148</v>
      </c>
      <c r="B154" s="9" t="str">
        <f>IFERROR(__xludf.DUMMYFUNCTION("""COMPUTED_VALUE"""),"FLORANDO")</f>
        <v>FLORANDO</v>
      </c>
      <c r="C154" s="9" t="str">
        <f>IFERROR(__xludf.DUMMYFUNCTION("""COMPUTED_VALUE"""),"ANGELO")</f>
        <v>ANGELO</v>
      </c>
      <c r="D154" s="9"/>
      <c r="E154" s="9" t="str">
        <f>IFERROR(__xludf.DUMMYFUNCTION("""COMPUTED_VALUE"""),"FREDERICO A. FLORANO")</f>
        <v>FREDERICO A. FLORANO</v>
      </c>
      <c r="F154" s="133"/>
      <c r="G154" s="13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60">
        <f t="shared" si="1"/>
        <v>149</v>
      </c>
      <c r="B155" s="9" t="str">
        <f>IFERROR(__xludf.DUMMYFUNCTION("""COMPUTED_VALUE"""),"ARGOTA")</f>
        <v>ARGOTA</v>
      </c>
      <c r="C155" s="9" t="str">
        <f>IFERROR(__xludf.DUMMYFUNCTION("""COMPUTED_VALUE"""),"JOANAMAE")</f>
        <v>JOANAMAE</v>
      </c>
      <c r="D155" s="9" t="str">
        <f>IFERROR(__xludf.DUMMYFUNCTION("""COMPUTED_VALUE"""),"M.")</f>
        <v>M.</v>
      </c>
      <c r="E155" s="9" t="str">
        <f>IFERROR(__xludf.DUMMYFUNCTION("""COMPUTED_VALUE"""),"TEODORICO G. ARGOTA JR.")</f>
        <v>TEODORICO G. ARGOTA JR.</v>
      </c>
      <c r="F155" s="133"/>
      <c r="G155" s="13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60">
        <f t="shared" si="1"/>
        <v>150</v>
      </c>
      <c r="B156" s="9" t="str">
        <f>IFERROR(__xludf.DUMMYFUNCTION("""COMPUTED_VALUE"""),"ARGOTA")</f>
        <v>ARGOTA</v>
      </c>
      <c r="C156" s="9" t="str">
        <f>IFERROR(__xludf.DUMMYFUNCTION("""COMPUTED_VALUE"""),"JOYCE ANNE")</f>
        <v>JOYCE ANNE</v>
      </c>
      <c r="D156" s="9" t="str">
        <f>IFERROR(__xludf.DUMMYFUNCTION("""COMPUTED_VALUE"""),"M.")</f>
        <v>M.</v>
      </c>
      <c r="E156" s="9" t="str">
        <f>IFERROR(__xludf.DUMMYFUNCTION("""COMPUTED_VALUE"""),"TEODORICO G. ARGOTA JR.")</f>
        <v>TEODORICO G. ARGOTA JR.</v>
      </c>
      <c r="F156" s="133"/>
      <c r="G156" s="13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60">
        <f t="shared" si="1"/>
        <v>151</v>
      </c>
      <c r="B157" s="9" t="str">
        <f>IFERROR(__xludf.DUMMYFUNCTION("""COMPUTED_VALUE"""),"DEL ROSARIO")</f>
        <v>DEL ROSARIO</v>
      </c>
      <c r="C157" s="9" t="str">
        <f>IFERROR(__xludf.DUMMYFUNCTION("""COMPUTED_VALUE"""),"BELLA")</f>
        <v>BELLA</v>
      </c>
      <c r="D157" s="9"/>
      <c r="E157" s="9" t="str">
        <f>IFERROR(__xludf.DUMMYFUNCTION("""COMPUTED_VALUE"""),"JAYSON DEL ROSARIO")</f>
        <v>JAYSON DEL ROSARIO</v>
      </c>
      <c r="F157" s="133"/>
      <c r="G157" s="13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60">
        <f t="shared" si="1"/>
        <v>152</v>
      </c>
      <c r="B158" s="9" t="str">
        <f>IFERROR(__xludf.DUMMYFUNCTION("""COMPUTED_VALUE"""),"DEL ROSARIO")</f>
        <v>DEL ROSARIO</v>
      </c>
      <c r="C158" s="9" t="str">
        <f>IFERROR(__xludf.DUMMYFUNCTION("""COMPUTED_VALUE"""),"KELLA")</f>
        <v>KELLA</v>
      </c>
      <c r="D158" s="9"/>
      <c r="E158" s="9" t="str">
        <f>IFERROR(__xludf.DUMMYFUNCTION("""COMPUTED_VALUE"""),"JAYSON DEL ROSARIO")</f>
        <v>JAYSON DEL ROSARIO</v>
      </c>
      <c r="F158" s="133"/>
      <c r="G158" s="13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60">
        <f t="shared" si="1"/>
        <v>153</v>
      </c>
      <c r="B159" s="9" t="str">
        <f>IFERROR(__xludf.DUMMYFUNCTION("""COMPUTED_VALUE"""),"DEL ROSARIO")</f>
        <v>DEL ROSARIO</v>
      </c>
      <c r="C159" s="9" t="str">
        <f>IFERROR(__xludf.DUMMYFUNCTION("""COMPUTED_VALUE"""),"NAZARETH")</f>
        <v>NAZARETH</v>
      </c>
      <c r="D159" s="9"/>
      <c r="E159" s="9" t="str">
        <f>IFERROR(__xludf.DUMMYFUNCTION("""COMPUTED_VALUE"""),"JAYSON DEL ROSARIO")</f>
        <v>JAYSON DEL ROSARIO</v>
      </c>
      <c r="F159" s="133"/>
      <c r="G159" s="13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60">
        <f t="shared" si="1"/>
        <v>154</v>
      </c>
      <c r="B160" s="9" t="str">
        <f>IFERROR(__xludf.DUMMYFUNCTION("""COMPUTED_VALUE"""),"DEL ROSARIO")</f>
        <v>DEL ROSARIO</v>
      </c>
      <c r="C160" s="9" t="str">
        <f>IFERROR(__xludf.DUMMYFUNCTION("""COMPUTED_VALUE"""),"JHERSEY")</f>
        <v>JHERSEY</v>
      </c>
      <c r="D160" s="9"/>
      <c r="E160" s="9" t="str">
        <f>IFERROR(__xludf.DUMMYFUNCTION("""COMPUTED_VALUE"""),"JEROME DEL ROSARIO")</f>
        <v>JEROME DEL ROSARIO</v>
      </c>
      <c r="F160" s="133"/>
      <c r="G160" s="13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60">
        <f t="shared" si="1"/>
        <v>155</v>
      </c>
      <c r="B161" s="9" t="str">
        <f>IFERROR(__xludf.DUMMYFUNCTION("""COMPUTED_VALUE"""),"DEL ROSARIO")</f>
        <v>DEL ROSARIO</v>
      </c>
      <c r="C161" s="9" t="str">
        <f>IFERROR(__xludf.DUMMYFUNCTION("""COMPUTED_VALUE"""),"PHIL JAMES")</f>
        <v>PHIL JAMES</v>
      </c>
      <c r="D161" s="9"/>
      <c r="E161" s="9" t="str">
        <f>IFERROR(__xludf.DUMMYFUNCTION("""COMPUTED_VALUE"""),"JEROME DEL ROSARIO")</f>
        <v>JEROME DEL ROSARIO</v>
      </c>
      <c r="F161" s="133"/>
      <c r="G161" s="13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60">
        <f t="shared" si="1"/>
        <v>156</v>
      </c>
      <c r="B162" s="9" t="str">
        <f>IFERROR(__xludf.DUMMYFUNCTION("""COMPUTED_VALUE"""),"DEL ROSARIO")</f>
        <v>DEL ROSARIO</v>
      </c>
      <c r="C162" s="9" t="str">
        <f>IFERROR(__xludf.DUMMYFUNCTION("""COMPUTED_VALUE"""),"CALEVE TYROY")</f>
        <v>CALEVE TYROY</v>
      </c>
      <c r="D162" s="9"/>
      <c r="E162" s="9" t="str">
        <f>IFERROR(__xludf.DUMMYFUNCTION("""COMPUTED_VALUE"""),"GERALD DEL ROSARIO")</f>
        <v>GERALD DEL ROSARIO</v>
      </c>
      <c r="F162" s="133"/>
      <c r="G162" s="13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60">
        <f t="shared" si="1"/>
        <v>157</v>
      </c>
      <c r="B163" s="9" t="str">
        <f>IFERROR(__xludf.DUMMYFUNCTION("""COMPUTED_VALUE"""),"DEL ROSARIO")</f>
        <v>DEL ROSARIO</v>
      </c>
      <c r="C163" s="9" t="str">
        <f>IFERROR(__xludf.DUMMYFUNCTION("""COMPUTED_VALUE"""),"LEINA EVANA")</f>
        <v>LEINA EVANA</v>
      </c>
      <c r="D163" s="9"/>
      <c r="E163" s="9" t="str">
        <f>IFERROR(__xludf.DUMMYFUNCTION("""COMPUTED_VALUE"""),"GERALD DEL ROSARIO")</f>
        <v>GERALD DEL ROSARIO</v>
      </c>
      <c r="F163" s="133"/>
      <c r="G163" s="13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60">
        <f t="shared" si="1"/>
        <v>158</v>
      </c>
      <c r="B164" s="9" t="str">
        <f>IFERROR(__xludf.DUMMYFUNCTION("""COMPUTED_VALUE"""),"TAGLE")</f>
        <v>TAGLE</v>
      </c>
      <c r="C164" s="9" t="str">
        <f>IFERROR(__xludf.DUMMYFUNCTION("""COMPUTED_VALUE"""),"CHLOE ANN")</f>
        <v>CHLOE ANN</v>
      </c>
      <c r="D164" s="9"/>
      <c r="E164" s="9" t="str">
        <f>IFERROR(__xludf.DUMMYFUNCTION("""COMPUTED_VALUE"""),"GELBERT MARANTAL")</f>
        <v>GELBERT MARANTAL</v>
      </c>
      <c r="F164" s="133"/>
      <c r="G164" s="13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60">
        <f t="shared" si="1"/>
        <v>159</v>
      </c>
      <c r="B165" s="9" t="str">
        <f>IFERROR(__xludf.DUMMYFUNCTION("""COMPUTED_VALUE"""),"MARANTAL")</f>
        <v>MARANTAL</v>
      </c>
      <c r="C165" s="9" t="str">
        <f>IFERROR(__xludf.DUMMYFUNCTION("""COMPUTED_VALUE"""),"PRINCE NYGEL")</f>
        <v>PRINCE NYGEL</v>
      </c>
      <c r="D165" s="9"/>
      <c r="E165" s="9" t="str">
        <f>IFERROR(__xludf.DUMMYFUNCTION("""COMPUTED_VALUE"""),"GELBERT MARANTAL")</f>
        <v>GELBERT MARANTAL</v>
      </c>
      <c r="F165" s="133"/>
      <c r="G165" s="13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60">
        <f t="shared" si="1"/>
        <v>160</v>
      </c>
      <c r="B166" s="9" t="str">
        <f>IFERROR(__xludf.DUMMYFUNCTION("""COMPUTED_VALUE"""),"MARANTAL")</f>
        <v>MARANTAL</v>
      </c>
      <c r="C166" s="9" t="str">
        <f>IFERROR(__xludf.DUMMYFUNCTION("""COMPUTED_VALUE"""),"MARK KEVIN")</f>
        <v>MARK KEVIN</v>
      </c>
      <c r="D166" s="9"/>
      <c r="E166" s="9" t="str">
        <f>IFERROR(__xludf.DUMMYFUNCTION("""COMPUTED_VALUE"""),"GELBERT MARANTAL")</f>
        <v>GELBERT MARANTAL</v>
      </c>
      <c r="F166" s="133"/>
      <c r="G166" s="13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60">
        <f t="shared" si="1"/>
        <v>161</v>
      </c>
      <c r="B167" s="9" t="str">
        <f>IFERROR(__xludf.DUMMYFUNCTION("""COMPUTED_VALUE"""),"MARANTAL")</f>
        <v>MARANTAL</v>
      </c>
      <c r="C167" s="9" t="str">
        <f>IFERROR(__xludf.DUMMYFUNCTION("""COMPUTED_VALUE"""),"JOSHUA GABRIEL")</f>
        <v>JOSHUA GABRIEL</v>
      </c>
      <c r="D167" s="9"/>
      <c r="E167" s="9" t="str">
        <f>IFERROR(__xludf.DUMMYFUNCTION("""COMPUTED_VALUE"""),"GELBERT MARANTAL")</f>
        <v>GELBERT MARANTAL</v>
      </c>
      <c r="F167" s="133"/>
      <c r="G167" s="13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60">
        <f t="shared" si="1"/>
        <v>162</v>
      </c>
      <c r="B168" s="9" t="str">
        <f>IFERROR(__xludf.DUMMYFUNCTION("""COMPUTED_VALUE"""),"DUMPIT")</f>
        <v>DUMPIT</v>
      </c>
      <c r="C168" s="9" t="str">
        <f>IFERROR(__xludf.DUMMYFUNCTION("""COMPUTED_VALUE"""),"LUCIA DIOR")</f>
        <v>LUCIA DIOR</v>
      </c>
      <c r="D168" s="9" t="str">
        <f>IFERROR(__xludf.DUMMYFUNCTION("""COMPUTED_VALUE"""),"M.")</f>
        <v>M.</v>
      </c>
      <c r="E168" s="9" t="str">
        <f>IFERROR(__xludf.DUMMYFUNCTION("""COMPUTED_VALUE"""),"VANESSA MARANTAL")</f>
        <v>VANESSA MARANTAL</v>
      </c>
      <c r="F168" s="133"/>
      <c r="G168" s="13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60">
        <f t="shared" si="1"/>
        <v>163</v>
      </c>
      <c r="B169" s="9" t="str">
        <f>IFERROR(__xludf.DUMMYFUNCTION("""COMPUTED_VALUE"""),"PRADO")</f>
        <v>PRADO</v>
      </c>
      <c r="C169" s="9" t="str">
        <f>IFERROR(__xludf.DUMMYFUNCTION("""COMPUTED_VALUE"""),"JAMES")</f>
        <v>JAMES</v>
      </c>
      <c r="D169" s="9"/>
      <c r="E169" s="9" t="str">
        <f>IFERROR(__xludf.DUMMYFUNCTION("""COMPUTED_VALUE"""),"ROMEO PRADO")</f>
        <v>ROMEO PRADO</v>
      </c>
      <c r="F169" s="133"/>
      <c r="G169" s="13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60">
        <f t="shared" si="1"/>
        <v>164</v>
      </c>
      <c r="B170" s="9" t="str">
        <f>IFERROR(__xludf.DUMMYFUNCTION("""COMPUTED_VALUE"""),"VILA")</f>
        <v>VILA</v>
      </c>
      <c r="C170" s="9" t="str">
        <f>IFERROR(__xludf.DUMMYFUNCTION("""COMPUTED_VALUE"""),"DAN ARVIN")</f>
        <v>DAN ARVIN</v>
      </c>
      <c r="D170" s="9" t="str">
        <f>IFERROR(__xludf.DUMMYFUNCTION("""COMPUTED_VALUE"""),"D.")</f>
        <v>D.</v>
      </c>
      <c r="E170" s="9" t="str">
        <f>IFERROR(__xludf.DUMMYFUNCTION("""COMPUTED_VALUE"""),"DENNIS E. VILA")</f>
        <v>DENNIS E. VILA</v>
      </c>
      <c r="F170" s="133"/>
      <c r="G170" s="13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60">
        <f t="shared" si="1"/>
        <v>165</v>
      </c>
      <c r="B171" s="9" t="str">
        <f>IFERROR(__xludf.DUMMYFUNCTION("""COMPUTED_VALUE"""),"VILA")</f>
        <v>VILA</v>
      </c>
      <c r="C171" s="9" t="str">
        <f>IFERROR(__xludf.DUMMYFUNCTION("""COMPUTED_VALUE"""),"DEN MARK")</f>
        <v>DEN MARK</v>
      </c>
      <c r="D171" s="9" t="str">
        <f>IFERROR(__xludf.DUMMYFUNCTION("""COMPUTED_VALUE"""),"D.")</f>
        <v>D.</v>
      </c>
      <c r="E171" s="9" t="str">
        <f>IFERROR(__xludf.DUMMYFUNCTION("""COMPUTED_VALUE"""),"DENNIS E. VILA")</f>
        <v>DENNIS E. VILA</v>
      </c>
      <c r="F171" s="133"/>
      <c r="G171" s="13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60">
        <f t="shared" si="1"/>
        <v>166</v>
      </c>
      <c r="B172" s="9" t="str">
        <f>IFERROR(__xludf.DUMMYFUNCTION("""COMPUTED_VALUE"""),"LEONARDO")</f>
        <v>LEONARDO</v>
      </c>
      <c r="C172" s="9" t="str">
        <f>IFERROR(__xludf.DUMMYFUNCTION("""COMPUTED_VALUE"""),"VINCE AARON")</f>
        <v>VINCE AARON</v>
      </c>
      <c r="D172" s="9"/>
      <c r="E172" s="9" t="str">
        <f>IFERROR(__xludf.DUMMYFUNCTION("""COMPUTED_VALUE"""),"NARDO A. LEONARDO")</f>
        <v>NARDO A. LEONARDO</v>
      </c>
      <c r="F172" s="133"/>
      <c r="G172" s="13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60">
        <f t="shared" si="1"/>
        <v>167</v>
      </c>
      <c r="B173" s="9" t="str">
        <f>IFERROR(__xludf.DUMMYFUNCTION("""COMPUTED_VALUE"""),"LEONARDO")</f>
        <v>LEONARDO</v>
      </c>
      <c r="C173" s="9" t="str">
        <f>IFERROR(__xludf.DUMMYFUNCTION("""COMPUTED_VALUE"""),"PRINCE")</f>
        <v>PRINCE</v>
      </c>
      <c r="D173" s="9"/>
      <c r="E173" s="9" t="str">
        <f>IFERROR(__xludf.DUMMYFUNCTION("""COMPUTED_VALUE"""),"NARDO A. LEONARDO")</f>
        <v>NARDO A. LEONARDO</v>
      </c>
      <c r="F173" s="133"/>
      <c r="G173" s="13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60">
        <f t="shared" si="1"/>
        <v>168</v>
      </c>
      <c r="B174" s="9" t="str">
        <f>IFERROR(__xludf.DUMMYFUNCTION("""COMPUTED_VALUE"""),"LEONARDO")</f>
        <v>LEONARDO</v>
      </c>
      <c r="C174" s="9" t="str">
        <f>IFERROR(__xludf.DUMMYFUNCTION("""COMPUTED_VALUE"""),"PRINCESS ")</f>
        <v>PRINCESS </v>
      </c>
      <c r="D174" s="9"/>
      <c r="E174" s="9" t="str">
        <f>IFERROR(__xludf.DUMMYFUNCTION("""COMPUTED_VALUE"""),"NARDO A. LEONARDO")</f>
        <v>NARDO A. LEONARDO</v>
      </c>
      <c r="F174" s="133"/>
      <c r="G174" s="13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60">
        <f t="shared" si="1"/>
        <v>169</v>
      </c>
      <c r="B175" s="9" t="str">
        <f>IFERROR(__xludf.DUMMYFUNCTION("""COMPUTED_VALUE"""),"ORONGAN")</f>
        <v>ORONGAN</v>
      </c>
      <c r="C175" s="9" t="str">
        <f>IFERROR(__xludf.DUMMYFUNCTION("""COMPUTED_VALUE"""),"AKIESHIA")</f>
        <v>AKIESHIA</v>
      </c>
      <c r="D175" s="9"/>
      <c r="E175" s="9" t="str">
        <f>IFERROR(__xludf.DUMMYFUNCTION("""COMPUTED_VALUE"""),"ERWIN CANLAS")</f>
        <v>ERWIN CANLAS</v>
      </c>
      <c r="F175" s="133"/>
      <c r="G175" s="13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60">
        <f t="shared" si="1"/>
        <v>170</v>
      </c>
      <c r="B176" s="9" t="str">
        <f>IFERROR(__xludf.DUMMYFUNCTION("""COMPUTED_VALUE"""),"CANLAS")</f>
        <v>CANLAS</v>
      </c>
      <c r="C176" s="9" t="str">
        <f>IFERROR(__xludf.DUMMYFUNCTION("""COMPUTED_VALUE"""),"ERICKA MAE")</f>
        <v>ERICKA MAE</v>
      </c>
      <c r="D176" s="9"/>
      <c r="E176" s="9" t="str">
        <f>IFERROR(__xludf.DUMMYFUNCTION("""COMPUTED_VALUE"""),"ERWIN CANLAS")</f>
        <v>ERWIN CANLAS</v>
      </c>
      <c r="F176" s="133"/>
      <c r="G176" s="13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60">
        <f t="shared" si="1"/>
        <v>171</v>
      </c>
      <c r="B177" s="9" t="str">
        <f>IFERROR(__xludf.DUMMYFUNCTION("""COMPUTED_VALUE"""),"ROMANO")</f>
        <v>ROMANO</v>
      </c>
      <c r="C177" s="9" t="str">
        <f>IFERROR(__xludf.DUMMYFUNCTION("""COMPUTED_VALUE"""),"JADE MATTHEW")</f>
        <v>JADE MATTHEW</v>
      </c>
      <c r="D177" s="9"/>
      <c r="E177" s="9" t="str">
        <f>IFERROR(__xludf.DUMMYFUNCTION("""COMPUTED_VALUE"""),"ERWIN CANLAS")</f>
        <v>ERWIN CANLAS</v>
      </c>
      <c r="F177" s="133"/>
      <c r="G177" s="13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60">
        <f t="shared" si="1"/>
        <v>172</v>
      </c>
      <c r="B178" s="9" t="str">
        <f>IFERROR(__xludf.DUMMYFUNCTION("""COMPUTED_VALUE"""),"CANLAS")</f>
        <v>CANLAS</v>
      </c>
      <c r="C178" s="9" t="str">
        <f>IFERROR(__xludf.DUMMYFUNCTION("""COMPUTED_VALUE"""),"ERL YHVAN GAVIN")</f>
        <v>ERL YHVAN GAVIN</v>
      </c>
      <c r="D178" s="9"/>
      <c r="E178" s="9" t="str">
        <f>IFERROR(__xludf.DUMMYFUNCTION("""COMPUTED_VALUE"""),"ERWIN CANLAS")</f>
        <v>ERWIN CANLAS</v>
      </c>
      <c r="F178" s="133"/>
      <c r="G178" s="13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60">
        <f t="shared" si="1"/>
        <v>173</v>
      </c>
      <c r="B179" s="9" t="str">
        <f>IFERROR(__xludf.DUMMYFUNCTION("""COMPUTED_VALUE"""),"PAYUNAN")</f>
        <v>PAYUNAN</v>
      </c>
      <c r="C179" s="9" t="str">
        <f>IFERROR(__xludf.DUMMYFUNCTION("""COMPUTED_VALUE"""),"CJ")</f>
        <v>CJ</v>
      </c>
      <c r="D179" s="9"/>
      <c r="E179" s="9" t="str">
        <f>IFERROR(__xludf.DUMMYFUNCTION("""COMPUTED_VALUE"""),"JHON M. PAYUNAN")</f>
        <v>JHON M. PAYUNAN</v>
      </c>
      <c r="F179" s="133"/>
      <c r="G179" s="13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60">
        <f t="shared" si="1"/>
        <v>174</v>
      </c>
      <c r="B180" s="9" t="str">
        <f>IFERROR(__xludf.DUMMYFUNCTION("""COMPUTED_VALUE"""),"PAYUNAN")</f>
        <v>PAYUNAN</v>
      </c>
      <c r="C180" s="9" t="str">
        <f>IFERROR(__xludf.DUMMYFUNCTION("""COMPUTED_VALUE"""),"JHONNEA")</f>
        <v>JHONNEA</v>
      </c>
      <c r="D180" s="9"/>
      <c r="E180" s="9" t="str">
        <f>IFERROR(__xludf.DUMMYFUNCTION("""COMPUTED_VALUE"""),"JHON M. PAYUNAN")</f>
        <v>JHON M. PAYUNAN</v>
      </c>
      <c r="F180" s="133"/>
      <c r="G180" s="13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60">
        <f t="shared" si="1"/>
        <v>175</v>
      </c>
      <c r="B181" s="9" t="str">
        <f>IFERROR(__xludf.DUMMYFUNCTION("""COMPUTED_VALUE"""),"PAYUNAN")</f>
        <v>PAYUNAN</v>
      </c>
      <c r="C181" s="9" t="str">
        <f>IFERROR(__xludf.DUMMYFUNCTION("""COMPUTED_VALUE"""),"SOLANA")</f>
        <v>SOLANA</v>
      </c>
      <c r="D181" s="9"/>
      <c r="E181" s="9" t="str">
        <f>IFERROR(__xludf.DUMMYFUNCTION("""COMPUTED_VALUE"""),"JHON M. PAYUNAN")</f>
        <v>JHON M. PAYUNAN</v>
      </c>
      <c r="F181" s="133"/>
      <c r="G181" s="13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60">
        <f t="shared" si="1"/>
        <v>176</v>
      </c>
      <c r="B182" s="9" t="str">
        <f>IFERROR(__xludf.DUMMYFUNCTION("""COMPUTED_VALUE"""),"AGUANTA")</f>
        <v>AGUANTA</v>
      </c>
      <c r="C182" s="9" t="str">
        <f>IFERROR(__xludf.DUMMYFUNCTION("""COMPUTED_VALUE"""),"LHERICA JOY")</f>
        <v>LHERICA JOY</v>
      </c>
      <c r="D182" s="9"/>
      <c r="E182" s="9" t="str">
        <f>IFERROR(__xludf.DUMMYFUNCTION("""COMPUTED_VALUE"""),"ROBINSON AGUANTA")</f>
        <v>ROBINSON AGUANTA</v>
      </c>
      <c r="F182" s="133"/>
      <c r="G182" s="13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60">
        <f t="shared" si="1"/>
        <v>177</v>
      </c>
      <c r="B183" s="9" t="str">
        <f>IFERROR(__xludf.DUMMYFUNCTION("""COMPUTED_VALUE"""),"AGUANTA")</f>
        <v>AGUANTA</v>
      </c>
      <c r="C183" s="9" t="str">
        <f>IFERROR(__xludf.DUMMYFUNCTION("""COMPUTED_VALUE"""),"ERICA JOY")</f>
        <v>ERICA JOY</v>
      </c>
      <c r="D183" s="9"/>
      <c r="E183" s="9" t="str">
        <f>IFERROR(__xludf.DUMMYFUNCTION("""COMPUTED_VALUE"""),"ROBINSON AGUANTA")</f>
        <v>ROBINSON AGUANTA</v>
      </c>
      <c r="F183" s="133"/>
      <c r="G183" s="13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60">
        <f t="shared" si="1"/>
        <v>178</v>
      </c>
      <c r="B184" s="9" t="str">
        <f>IFERROR(__xludf.DUMMYFUNCTION("""COMPUTED_VALUE"""),"ORICIA")</f>
        <v>ORICIA</v>
      </c>
      <c r="C184" s="9" t="str">
        <f>IFERROR(__xludf.DUMMYFUNCTION("""COMPUTED_VALUE"""),"AJ CHLORID")</f>
        <v>AJ CHLORID</v>
      </c>
      <c r="D184" s="9"/>
      <c r="E184" s="9" t="str">
        <f>IFERROR(__xludf.DUMMYFUNCTION("""COMPUTED_VALUE"""),"ISABEL AGUANTA")</f>
        <v>ISABEL AGUANTA</v>
      </c>
      <c r="F184" s="133"/>
      <c r="G184" s="13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60">
        <f t="shared" si="1"/>
        <v>179</v>
      </c>
      <c r="B185" s="9" t="str">
        <f>IFERROR(__xludf.DUMMYFUNCTION("""COMPUTED_VALUE"""),"AGUANTA")</f>
        <v>AGUANTA</v>
      </c>
      <c r="C185" s="9" t="str">
        <f>IFERROR(__xludf.DUMMYFUNCTION("""COMPUTED_VALUE"""),"INGGRID SERAFFIN")</f>
        <v>INGGRID SERAFFIN</v>
      </c>
      <c r="D185" s="9"/>
      <c r="E185" s="9" t="str">
        <f>IFERROR(__xludf.DUMMYFUNCTION("""COMPUTED_VALUE"""),"ISABEL AGUANTA")</f>
        <v>ISABEL AGUANTA</v>
      </c>
      <c r="F185" s="133"/>
      <c r="G185" s="13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60">
        <f t="shared" si="1"/>
        <v>180</v>
      </c>
      <c r="B186" s="9" t="str">
        <f>IFERROR(__xludf.DUMMYFUNCTION("""COMPUTED_VALUE"""),"HERNANDEZ")</f>
        <v>HERNANDEZ</v>
      </c>
      <c r="C186" s="9" t="str">
        <f>IFERROR(__xludf.DUMMYFUNCTION("""COMPUTED_VALUE"""),"ISIAH JOHN")</f>
        <v>ISIAH JOHN</v>
      </c>
      <c r="D186" s="9"/>
      <c r="E186" s="9" t="str">
        <f>IFERROR(__xludf.DUMMYFUNCTION("""COMPUTED_VALUE"""),"ISABEL AGUANTA")</f>
        <v>ISABEL AGUANTA</v>
      </c>
      <c r="F186" s="133"/>
      <c r="G186" s="13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60">
        <f t="shared" si="1"/>
        <v>181</v>
      </c>
      <c r="B187" s="9" t="str">
        <f>IFERROR(__xludf.DUMMYFUNCTION("""COMPUTED_VALUE"""),"BALOFIÑOS")</f>
        <v>BALOFIÑOS</v>
      </c>
      <c r="C187" s="9" t="str">
        <f>IFERROR(__xludf.DUMMYFUNCTION("""COMPUTED_VALUE"""),"JOHN ALDRIN")</f>
        <v>JOHN ALDRIN</v>
      </c>
      <c r="D187" s="9"/>
      <c r="E187" s="9" t="str">
        <f>IFERROR(__xludf.DUMMYFUNCTION("""COMPUTED_VALUE"""),"ARVIN P. BALOFIÑOS")</f>
        <v>ARVIN P. BALOFIÑOS</v>
      </c>
      <c r="F187" s="133"/>
      <c r="G187" s="13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60">
        <f t="shared" si="1"/>
        <v>182</v>
      </c>
      <c r="B188" s="9" t="str">
        <f>IFERROR(__xludf.DUMMYFUNCTION("""COMPUTED_VALUE"""),"BALOFIÑOS")</f>
        <v>BALOFIÑOS</v>
      </c>
      <c r="C188" s="9" t="str">
        <f>IFERROR(__xludf.DUMMYFUNCTION("""COMPUTED_VALUE"""),"JOHN ARVIE")</f>
        <v>JOHN ARVIE</v>
      </c>
      <c r="D188" s="9"/>
      <c r="E188" s="9" t="str">
        <f>IFERROR(__xludf.DUMMYFUNCTION("""COMPUTED_VALUE"""),"ARVIN P. BALOFIÑOS")</f>
        <v>ARVIN P. BALOFIÑOS</v>
      </c>
      <c r="F188" s="133"/>
      <c r="G188" s="13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60">
        <f t="shared" si="1"/>
        <v>183</v>
      </c>
      <c r="B189" s="9" t="str">
        <f>IFERROR(__xludf.DUMMYFUNCTION("""COMPUTED_VALUE"""),"BALOFIÑOS")</f>
        <v>BALOFIÑOS</v>
      </c>
      <c r="C189" s="9" t="str">
        <f>IFERROR(__xludf.DUMMYFUNCTION("""COMPUTED_VALUE"""),"PRINCESS ELYZ")</f>
        <v>PRINCESS ELYZ</v>
      </c>
      <c r="D189" s="9"/>
      <c r="E189" s="9" t="str">
        <f>IFERROR(__xludf.DUMMYFUNCTION("""COMPUTED_VALUE"""),"ARVIN P. BALOFIÑOS")</f>
        <v>ARVIN P. BALOFIÑOS</v>
      </c>
      <c r="F189" s="133"/>
      <c r="G189" s="13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60">
        <f t="shared" si="1"/>
        <v>184</v>
      </c>
      <c r="B190" s="9" t="str">
        <f>IFERROR(__xludf.DUMMYFUNCTION("""COMPUTED_VALUE"""),"FELISMINO")</f>
        <v>FELISMINO</v>
      </c>
      <c r="C190" s="9" t="str">
        <f>IFERROR(__xludf.DUMMYFUNCTION("""COMPUTED_VALUE"""),"MAIKHA JHOY")</f>
        <v>MAIKHA JHOY</v>
      </c>
      <c r="D190" s="9"/>
      <c r="E190" s="9" t="str">
        <f>IFERROR(__xludf.DUMMYFUNCTION("""COMPUTED_VALUE"""),"TOTO PURUFICACION")</f>
        <v>TOTO PURUFICACION</v>
      </c>
      <c r="F190" s="133"/>
      <c r="G190" s="13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60">
        <f t="shared" si="1"/>
        <v>185</v>
      </c>
      <c r="B191" s="9" t="str">
        <f>IFERROR(__xludf.DUMMYFUNCTION("""COMPUTED_VALUE"""),"GREGORIO")</f>
        <v>GREGORIO</v>
      </c>
      <c r="C191" s="9" t="str">
        <f>IFERROR(__xludf.DUMMYFUNCTION("""COMPUTED_VALUE"""),"MARY YNDELLCELLE")</f>
        <v>MARY YNDELLCELLE</v>
      </c>
      <c r="D191" s="9" t="str">
        <f>IFERROR(__xludf.DUMMYFUNCTION("""COMPUTED_VALUE"""),"L.")</f>
        <v>L.</v>
      </c>
      <c r="E191" s="9" t="str">
        <f>IFERROR(__xludf.DUMMYFUNCTION("""COMPUTED_VALUE"""),"MARSEDILLO GREGORIO")</f>
        <v>MARSEDILLO GREGORIO</v>
      </c>
      <c r="F191" s="133"/>
      <c r="G191" s="13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60">
        <f t="shared" si="1"/>
        <v>186</v>
      </c>
      <c r="B192" s="9" t="str">
        <f>IFERROR(__xludf.DUMMYFUNCTION("""COMPUTED_VALUE"""),"GREGORIO")</f>
        <v>GREGORIO</v>
      </c>
      <c r="C192" s="9" t="str">
        <f>IFERROR(__xludf.DUMMYFUNCTION("""COMPUTED_VALUE"""),"MC BRYLLE")</f>
        <v>MC BRYLLE</v>
      </c>
      <c r="D192" s="9" t="str">
        <f>IFERROR(__xludf.DUMMYFUNCTION("""COMPUTED_VALUE"""),"L.")</f>
        <v>L.</v>
      </c>
      <c r="E192" s="9" t="str">
        <f>IFERROR(__xludf.DUMMYFUNCTION("""COMPUTED_VALUE"""),"MARSEDILLO GREGORIO")</f>
        <v>MARSEDILLO GREGORIO</v>
      </c>
      <c r="F192" s="133"/>
      <c r="G192" s="13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60">
        <f t="shared" si="1"/>
        <v>187</v>
      </c>
      <c r="B193" s="9" t="str">
        <f>IFERROR(__xludf.DUMMYFUNCTION("""COMPUTED_VALUE"""),"GREGORIO")</f>
        <v>GREGORIO</v>
      </c>
      <c r="C193" s="9" t="str">
        <f>IFERROR(__xludf.DUMMYFUNCTION("""COMPUTED_VALUE"""),"LIZZIE ROSE")</f>
        <v>LIZZIE ROSE</v>
      </c>
      <c r="D193" s="9" t="str">
        <f>IFERROR(__xludf.DUMMYFUNCTION("""COMPUTED_VALUE"""),"L.")</f>
        <v>L.</v>
      </c>
      <c r="E193" s="9" t="str">
        <f>IFERROR(__xludf.DUMMYFUNCTION("""COMPUTED_VALUE"""),"MARSEDILLO GREGORIO")</f>
        <v>MARSEDILLO GREGORIO</v>
      </c>
      <c r="F193" s="133"/>
      <c r="G193" s="13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60">
        <f t="shared" si="1"/>
        <v>188</v>
      </c>
      <c r="B194" s="9" t="str">
        <f>IFERROR(__xludf.DUMMYFUNCTION("""COMPUTED_VALUE"""),"LOBRIO")</f>
        <v>LOBRIO</v>
      </c>
      <c r="C194" s="9" t="str">
        <f>IFERROR(__xludf.DUMMYFUNCTION("""COMPUTED_VALUE"""),"JHUNE ALBERT")</f>
        <v>JHUNE ALBERT</v>
      </c>
      <c r="D194" s="9"/>
      <c r="E194" s="9" t="str">
        <f>IFERROR(__xludf.DUMMYFUNCTION("""COMPUTED_VALUE"""),"ALBERTO LOBRIO JR.")</f>
        <v>ALBERTO LOBRIO JR.</v>
      </c>
      <c r="F194" s="133"/>
      <c r="G194" s="13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60">
        <f t="shared" si="1"/>
        <v>189</v>
      </c>
      <c r="B195" s="9" t="str">
        <f>IFERROR(__xludf.DUMMYFUNCTION("""COMPUTED_VALUE"""),"LOBRIO")</f>
        <v>LOBRIO</v>
      </c>
      <c r="C195" s="9" t="str">
        <f>IFERROR(__xludf.DUMMYFUNCTION("""COMPUTED_VALUE"""),"RUBELYN")</f>
        <v>RUBELYN</v>
      </c>
      <c r="D195" s="9"/>
      <c r="E195" s="9" t="str">
        <f>IFERROR(__xludf.DUMMYFUNCTION("""COMPUTED_VALUE"""),"ALBERTO LOBRIO JR.")</f>
        <v>ALBERTO LOBRIO JR.</v>
      </c>
      <c r="F195" s="133"/>
      <c r="G195" s="13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60">
        <f t="shared" si="1"/>
        <v>190</v>
      </c>
      <c r="B196" s="9" t="str">
        <f>IFERROR(__xludf.DUMMYFUNCTION("""COMPUTED_VALUE"""),"LOBRIO")</f>
        <v>LOBRIO</v>
      </c>
      <c r="C196" s="9" t="str">
        <f>IFERROR(__xludf.DUMMYFUNCTION("""COMPUTED_VALUE"""),"ALQUEDA")</f>
        <v>ALQUEDA</v>
      </c>
      <c r="D196" s="9"/>
      <c r="E196" s="9" t="str">
        <f>IFERROR(__xludf.DUMMYFUNCTION("""COMPUTED_VALUE"""),"ALBERTO LOBRIO JR.")</f>
        <v>ALBERTO LOBRIO JR.</v>
      </c>
      <c r="F196" s="133"/>
      <c r="G196" s="13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60">
        <f t="shared" si="1"/>
        <v>191</v>
      </c>
      <c r="B197" s="9" t="str">
        <f>IFERROR(__xludf.DUMMYFUNCTION("""COMPUTED_VALUE"""),"CABO")</f>
        <v>CABO</v>
      </c>
      <c r="C197" s="9" t="str">
        <f>IFERROR(__xludf.DUMMYFUNCTION("""COMPUTED_VALUE"""),"LEURI JEXTER")</f>
        <v>LEURI JEXTER</v>
      </c>
      <c r="D197" s="9"/>
      <c r="E197" s="9" t="str">
        <f>IFERROR(__xludf.DUMMYFUNCTION("""COMPUTED_VALUE"""),"LIZA LOBRIO")</f>
        <v>LIZA LOBRIO</v>
      </c>
      <c r="F197" s="133"/>
      <c r="G197" s="13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60">
        <f t="shared" si="1"/>
        <v>192</v>
      </c>
      <c r="B198" s="9" t="str">
        <f>IFERROR(__xludf.DUMMYFUNCTION("""COMPUTED_VALUE"""),"CABO")</f>
        <v>CABO</v>
      </c>
      <c r="C198" s="9" t="str">
        <f>IFERROR(__xludf.DUMMYFUNCTION("""COMPUTED_VALUE"""),"LEURI KEXCEL")</f>
        <v>LEURI KEXCEL</v>
      </c>
      <c r="D198" s="9"/>
      <c r="E198" s="9" t="str">
        <f>IFERROR(__xludf.DUMMYFUNCTION("""COMPUTED_VALUE"""),"LIZA LOBRIO")</f>
        <v>LIZA LOBRIO</v>
      </c>
      <c r="F198" s="133"/>
      <c r="G198" s="13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60">
        <f t="shared" si="1"/>
        <v>193</v>
      </c>
      <c r="B199" s="9" t="str">
        <f>IFERROR(__xludf.DUMMYFUNCTION("""COMPUTED_VALUE"""),"ARIÑO")</f>
        <v>ARIÑO</v>
      </c>
      <c r="C199" s="9" t="str">
        <f>IFERROR(__xludf.DUMMYFUNCTION("""COMPUTED_VALUE"""),"METH LUCAS")</f>
        <v>METH LUCAS</v>
      </c>
      <c r="D199" s="9"/>
      <c r="E199" s="9" t="str">
        <f>IFERROR(__xludf.DUMMYFUNCTION("""COMPUTED_VALUE"""),"JHON DANIEL C. ARIÑO")</f>
        <v>JHON DANIEL C. ARIÑO</v>
      </c>
      <c r="F199" s="133"/>
      <c r="G199" s="13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60">
        <f t="shared" si="1"/>
        <v>194</v>
      </c>
      <c r="B200" s="9" t="str">
        <f>IFERROR(__xludf.DUMMYFUNCTION("""COMPUTED_VALUE"""),"ARIÑO")</f>
        <v>ARIÑO</v>
      </c>
      <c r="C200" s="9" t="str">
        <f>IFERROR(__xludf.DUMMYFUNCTION("""COMPUTED_VALUE"""),"YANINA WENDY")</f>
        <v>YANINA WENDY</v>
      </c>
      <c r="D200" s="9"/>
      <c r="E200" s="9" t="str">
        <f>IFERROR(__xludf.DUMMYFUNCTION("""COMPUTED_VALUE"""),"JHON DANIEL C. ARIÑO")</f>
        <v>JHON DANIEL C. ARIÑO</v>
      </c>
      <c r="F200" s="133"/>
      <c r="G200" s="13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60">
        <f t="shared" si="1"/>
        <v>195</v>
      </c>
      <c r="B201" s="9" t="str">
        <f>IFERROR(__xludf.DUMMYFUNCTION("""COMPUTED_VALUE"""),"LOBRIO")</f>
        <v>LOBRIO</v>
      </c>
      <c r="C201" s="9" t="str">
        <f>IFERROR(__xludf.DUMMYFUNCTION("""COMPUTED_VALUE"""),"JANN ERICK")</f>
        <v>JANN ERICK</v>
      </c>
      <c r="D201" s="9"/>
      <c r="E201" s="9" t="str">
        <f>IFERROR(__xludf.DUMMYFUNCTION("""COMPUTED_VALUE"""),"JOSELITO LOBRIO")</f>
        <v>JOSELITO LOBRIO</v>
      </c>
      <c r="F201" s="133"/>
      <c r="G201" s="13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60">
        <f t="shared" si="1"/>
        <v>196</v>
      </c>
      <c r="B202" s="9" t="str">
        <f>IFERROR(__xludf.DUMMYFUNCTION("""COMPUTED_VALUE"""),"LOBRIO")</f>
        <v>LOBRIO</v>
      </c>
      <c r="C202" s="9" t="str">
        <f>IFERROR(__xludf.DUMMYFUNCTION("""COMPUTED_VALUE"""),"JHOE NNE ERICKA")</f>
        <v>JHOE NNE ERICKA</v>
      </c>
      <c r="D202" s="9"/>
      <c r="E202" s="9" t="str">
        <f>IFERROR(__xludf.DUMMYFUNCTION("""COMPUTED_VALUE"""),"JOSELITO LOBRIO")</f>
        <v>JOSELITO LOBRIO</v>
      </c>
      <c r="F202" s="133"/>
      <c r="G202" s="13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60">
        <f t="shared" si="1"/>
        <v>197</v>
      </c>
      <c r="B203" s="9" t="str">
        <f>IFERROR(__xludf.DUMMYFUNCTION("""COMPUTED_VALUE"""),"LOBRIO")</f>
        <v>LOBRIO</v>
      </c>
      <c r="C203" s="9" t="str">
        <f>IFERROR(__xludf.DUMMYFUNCTION("""COMPUTED_VALUE"""),"ALONZO MIKAEL")</f>
        <v>ALONZO MIKAEL</v>
      </c>
      <c r="D203" s="9"/>
      <c r="E203" s="9" t="str">
        <f>IFERROR(__xludf.DUMMYFUNCTION("""COMPUTED_VALUE"""),"JOSELITO LOBRIO")</f>
        <v>JOSELITO LOBRIO</v>
      </c>
      <c r="F203" s="133"/>
      <c r="G203" s="13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60">
        <f t="shared" si="1"/>
        <v>198</v>
      </c>
      <c r="B204" s="9" t="str">
        <f>IFERROR(__xludf.DUMMYFUNCTION("""COMPUTED_VALUE"""),"ATAJAR")</f>
        <v>ATAJAR</v>
      </c>
      <c r="C204" s="9" t="str">
        <f>IFERROR(__xludf.DUMMYFUNCTION("""COMPUTED_VALUE"""),"BOBBY")</f>
        <v>BOBBY</v>
      </c>
      <c r="D204" s="9"/>
      <c r="E204" s="9" t="str">
        <f>IFERROR(__xludf.DUMMYFUNCTION("""COMPUTED_VALUE"""),"ROMEO ATAJAR")</f>
        <v>ROMEO ATAJAR</v>
      </c>
      <c r="F204" s="133"/>
      <c r="G204" s="13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60">
        <f t="shared" si="1"/>
        <v>199</v>
      </c>
      <c r="B205" s="9" t="str">
        <f>IFERROR(__xludf.DUMMYFUNCTION("""COMPUTED_VALUE"""),"CUNANAN")</f>
        <v>CUNANAN</v>
      </c>
      <c r="C205" s="9" t="str">
        <f>IFERROR(__xludf.DUMMYFUNCTION("""COMPUTED_VALUE"""),"LUKE ARKIN ")</f>
        <v>LUKE ARKIN </v>
      </c>
      <c r="D205" s="9" t="str">
        <f>IFERROR(__xludf.DUMMYFUNCTION("""COMPUTED_VALUE"""),"D.")</f>
        <v>D.</v>
      </c>
      <c r="E205" s="9" t="str">
        <f>IFERROR(__xludf.DUMMYFUNCTION("""COMPUTED_VALUE"""),"JEFFREY D. CUNANAN")</f>
        <v>JEFFREY D. CUNANAN</v>
      </c>
      <c r="F205" s="133"/>
      <c r="G205" s="13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60">
        <f t="shared" si="1"/>
        <v>200</v>
      </c>
      <c r="B206" s="9" t="str">
        <f>IFERROR(__xludf.DUMMYFUNCTION("""COMPUTED_VALUE"""),"DEL ROSARIO")</f>
        <v>DEL ROSARIO</v>
      </c>
      <c r="C206" s="9" t="str">
        <f>IFERROR(__xludf.DUMMYFUNCTION("""COMPUTED_VALUE"""),"CAREN")</f>
        <v>CAREN</v>
      </c>
      <c r="D206" s="9" t="str">
        <f>IFERROR(__xludf.DUMMYFUNCTION("""COMPUTED_VALUE"""),"O.")</f>
        <v>O.</v>
      </c>
      <c r="E206" s="9" t="str">
        <f>IFERROR(__xludf.DUMMYFUNCTION("""COMPUTED_VALUE"""),"EFREN B. DEL ROSARIO")</f>
        <v>EFREN B. DEL ROSARIO</v>
      </c>
      <c r="F206" s="133"/>
      <c r="G206" s="13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60">
        <f t="shared" si="1"/>
        <v>201</v>
      </c>
      <c r="B207" s="9" t="str">
        <f>IFERROR(__xludf.DUMMYFUNCTION("""COMPUTED_VALUE"""),"DEL ROSARIO")</f>
        <v>DEL ROSARIO</v>
      </c>
      <c r="C207" s="9" t="str">
        <f>IFERROR(__xludf.DUMMYFUNCTION("""COMPUTED_VALUE"""),"MYLENE")</f>
        <v>MYLENE</v>
      </c>
      <c r="D207" s="9" t="str">
        <f>IFERROR(__xludf.DUMMYFUNCTION("""COMPUTED_VALUE"""),"O.")</f>
        <v>O.</v>
      </c>
      <c r="E207" s="9" t="str">
        <f>IFERROR(__xludf.DUMMYFUNCTION("""COMPUTED_VALUE"""),"EFREN B. DEL ROSARIO")</f>
        <v>EFREN B. DEL ROSARIO</v>
      </c>
      <c r="F207" s="133"/>
      <c r="G207" s="13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60">
        <f t="shared" si="1"/>
        <v>202</v>
      </c>
      <c r="B208" s="9" t="str">
        <f>IFERROR(__xludf.DUMMYFUNCTION("""COMPUTED_VALUE"""),"DEL ROSARIO")</f>
        <v>DEL ROSARIO</v>
      </c>
      <c r="C208" s="9" t="str">
        <f>IFERROR(__xludf.DUMMYFUNCTION("""COMPUTED_VALUE"""),"MARY GRACE")</f>
        <v>MARY GRACE</v>
      </c>
      <c r="D208" s="9" t="str">
        <f>IFERROR(__xludf.DUMMYFUNCTION("""COMPUTED_VALUE"""),"O.")</f>
        <v>O.</v>
      </c>
      <c r="E208" s="9" t="str">
        <f>IFERROR(__xludf.DUMMYFUNCTION("""COMPUTED_VALUE"""),"EFREN B. DEL ROSARIO")</f>
        <v>EFREN B. DEL ROSARIO</v>
      </c>
      <c r="F208" s="133"/>
      <c r="G208" s="13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60">
        <f t="shared" si="1"/>
        <v>203</v>
      </c>
      <c r="B209" s="9" t="str">
        <f>IFERROR(__xludf.DUMMYFUNCTION("""COMPUTED_VALUE"""),"DEL ROSARIO")</f>
        <v>DEL ROSARIO</v>
      </c>
      <c r="C209" s="9" t="str">
        <f>IFERROR(__xludf.DUMMYFUNCTION("""COMPUTED_VALUE"""),"VINCENT")</f>
        <v>VINCENT</v>
      </c>
      <c r="D209" s="9" t="str">
        <f>IFERROR(__xludf.DUMMYFUNCTION("""COMPUTED_VALUE"""),"O.")</f>
        <v>O.</v>
      </c>
      <c r="E209" s="9" t="str">
        <f>IFERROR(__xludf.DUMMYFUNCTION("""COMPUTED_VALUE"""),"EFREN B. DEL ROSARIO")</f>
        <v>EFREN B. DEL ROSARIO</v>
      </c>
      <c r="F209" s="133"/>
      <c r="G209" s="13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60">
        <f t="shared" si="1"/>
        <v>204</v>
      </c>
      <c r="B210" s="9" t="str">
        <f>IFERROR(__xludf.DUMMYFUNCTION("""COMPUTED_VALUE"""),"SANTOS")</f>
        <v>SANTOS</v>
      </c>
      <c r="C210" s="9" t="str">
        <f>IFERROR(__xludf.DUMMYFUNCTION("""COMPUTED_VALUE"""),"SAMUELLE LAURIENNE")</f>
        <v>SAMUELLE LAURIENNE</v>
      </c>
      <c r="D210" s="9" t="str">
        <f>IFERROR(__xludf.DUMMYFUNCTION("""COMPUTED_VALUE"""),"D.")</f>
        <v>D.</v>
      </c>
      <c r="E210" s="9" t="str">
        <f>IFERROR(__xludf.DUMMYFUNCTION("""COMPUTED_VALUE"""),"LAURIANO P. SANTOS JR.")</f>
        <v>LAURIANO P. SANTOS JR.</v>
      </c>
      <c r="F210" s="133"/>
      <c r="G210" s="13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60">
        <f t="shared" si="1"/>
        <v>205</v>
      </c>
      <c r="B211" s="9" t="str">
        <f>IFERROR(__xludf.DUMMYFUNCTION("""COMPUTED_VALUE"""),"DEL ROSARIO")</f>
        <v>DEL ROSARIO</v>
      </c>
      <c r="C211" s="9" t="str">
        <f>IFERROR(__xludf.DUMMYFUNCTION("""COMPUTED_VALUE"""),"ASHER ")</f>
        <v>ASHER </v>
      </c>
      <c r="D211" s="9" t="str">
        <f>IFERROR(__xludf.DUMMYFUNCTION("""COMPUTED_VALUE"""),"O.")</f>
        <v>O.</v>
      </c>
      <c r="E211" s="9" t="str">
        <f>IFERROR(__xludf.DUMMYFUNCTION("""COMPUTED_VALUE"""),"ARIEL O. DEL ROSARIO")</f>
        <v>ARIEL O. DEL ROSARIO</v>
      </c>
      <c r="F211" s="133"/>
      <c r="G211" s="13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60">
        <f t="shared" si="1"/>
        <v>206</v>
      </c>
      <c r="B212" s="9" t="str">
        <f>IFERROR(__xludf.DUMMYFUNCTION("""COMPUTED_VALUE"""),"BAREZA")</f>
        <v>BAREZA</v>
      </c>
      <c r="C212" s="9" t="str">
        <f>IFERROR(__xludf.DUMMYFUNCTION("""COMPUTED_VALUE"""),"MICAELA")</f>
        <v>MICAELA</v>
      </c>
      <c r="D212" s="9"/>
      <c r="E212" s="9" t="str">
        <f>IFERROR(__xludf.DUMMYFUNCTION("""COMPUTED_VALUE"""),"ALVIN BAREZA")</f>
        <v>ALVIN BAREZA</v>
      </c>
      <c r="F212" s="133"/>
      <c r="G212" s="13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60">
        <f t="shared" si="1"/>
        <v>207</v>
      </c>
      <c r="B213" s="9" t="str">
        <f>IFERROR(__xludf.DUMMYFUNCTION("""COMPUTED_VALUE"""),"BAREZA")</f>
        <v>BAREZA</v>
      </c>
      <c r="C213" s="9" t="str">
        <f>IFERROR(__xludf.DUMMYFUNCTION("""COMPUTED_VALUE"""),"ALEA KIM")</f>
        <v>ALEA KIM</v>
      </c>
      <c r="D213" s="9"/>
      <c r="E213" s="9" t="str">
        <f>IFERROR(__xludf.DUMMYFUNCTION("""COMPUTED_VALUE"""),"ALVIN BAREZA")</f>
        <v>ALVIN BAREZA</v>
      </c>
      <c r="F213" s="133"/>
      <c r="G213" s="13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60">
        <f t="shared" si="1"/>
        <v>208</v>
      </c>
      <c r="B214" s="9" t="str">
        <f>IFERROR(__xludf.DUMMYFUNCTION("""COMPUTED_VALUE"""),"LIBED")</f>
        <v>LIBED</v>
      </c>
      <c r="C214" s="9" t="str">
        <f>IFERROR(__xludf.DUMMYFUNCTION("""COMPUTED_VALUE"""),"ELDEN")</f>
        <v>ELDEN</v>
      </c>
      <c r="D214" s="9"/>
      <c r="E214" s="9" t="str">
        <f>IFERROR(__xludf.DUMMYFUNCTION("""COMPUTED_VALUE"""),"ELEMER LIBED")</f>
        <v>ELEMER LIBED</v>
      </c>
      <c r="F214" s="133"/>
      <c r="G214" s="13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60">
        <f t="shared" si="1"/>
        <v>209</v>
      </c>
      <c r="B215" s="9" t="str">
        <f>IFERROR(__xludf.DUMMYFUNCTION("""COMPUTED_VALUE"""),"LIBED")</f>
        <v>LIBED</v>
      </c>
      <c r="C215" s="9" t="str">
        <f>IFERROR(__xludf.DUMMYFUNCTION("""COMPUTED_VALUE"""),"EUGIE")</f>
        <v>EUGIE</v>
      </c>
      <c r="D215" s="9"/>
      <c r="E215" s="9" t="str">
        <f>IFERROR(__xludf.DUMMYFUNCTION("""COMPUTED_VALUE"""),"ELEMER LIBED")</f>
        <v>ELEMER LIBED</v>
      </c>
      <c r="F215" s="133"/>
      <c r="G215" s="13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60">
        <f t="shared" si="1"/>
        <v>210</v>
      </c>
      <c r="B216" s="9" t="str">
        <f>IFERROR(__xludf.DUMMYFUNCTION("""COMPUTED_VALUE"""),"RONASE")</f>
        <v>RONASE</v>
      </c>
      <c r="C216" s="9" t="str">
        <f>IFERROR(__xludf.DUMMYFUNCTION("""COMPUTED_VALUE"""),"ELAINE ROSE")</f>
        <v>ELAINE ROSE</v>
      </c>
      <c r="D216" s="9" t="str">
        <f>IFERROR(__xludf.DUMMYFUNCTION("""COMPUTED_VALUE"""),"A.")</f>
        <v>A.</v>
      </c>
      <c r="E216" s="9" t="str">
        <f>IFERROR(__xludf.DUMMYFUNCTION("""COMPUTED_VALUE"""),"ROSIE RONASE")</f>
        <v>ROSIE RONASE</v>
      </c>
      <c r="F216" s="133"/>
      <c r="G216" s="13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60">
        <f t="shared" si="1"/>
        <v>211</v>
      </c>
      <c r="B217" s="9" t="str">
        <f>IFERROR(__xludf.DUMMYFUNCTION("""COMPUTED_VALUE"""),"APALLA")</f>
        <v>APALLA</v>
      </c>
      <c r="C217" s="9" t="str">
        <f>IFERROR(__xludf.DUMMYFUNCTION("""COMPUTED_VALUE"""),"ROSE  ")</f>
        <v>ROSE  </v>
      </c>
      <c r="D217" s="9"/>
      <c r="E217" s="9" t="str">
        <f>IFERROR(__xludf.DUMMYFUNCTION("""COMPUTED_VALUE"""),"TERESITA APALLA")</f>
        <v>TERESITA APALLA</v>
      </c>
      <c r="F217" s="133"/>
      <c r="G217" s="13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60">
        <f t="shared" si="1"/>
        <v>212</v>
      </c>
      <c r="B218" s="9" t="str">
        <f>IFERROR(__xludf.DUMMYFUNCTION("""COMPUTED_VALUE"""),"APALLA")</f>
        <v>APALLA</v>
      </c>
      <c r="C218" s="9" t="str">
        <f>IFERROR(__xludf.DUMMYFUNCTION("""COMPUTED_VALUE"""),"JOY  ")</f>
        <v>JOY  </v>
      </c>
      <c r="D218" s="9"/>
      <c r="E218" s="9" t="str">
        <f>IFERROR(__xludf.DUMMYFUNCTION("""COMPUTED_VALUE"""),"TERESITA APALLA")</f>
        <v>TERESITA APALLA</v>
      </c>
      <c r="F218" s="133"/>
      <c r="G218" s="13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60">
        <f t="shared" si="1"/>
        <v>213</v>
      </c>
      <c r="B219" s="9" t="str">
        <f>IFERROR(__xludf.DUMMYFUNCTION("""COMPUTED_VALUE"""),"OLAES")</f>
        <v>OLAES</v>
      </c>
      <c r="C219" s="9" t="str">
        <f>IFERROR(__xludf.DUMMYFUNCTION("""COMPUTED_VALUE"""),"JOYCE ANNE")</f>
        <v>JOYCE ANNE</v>
      </c>
      <c r="D219" s="9" t="str">
        <f>IFERROR(__xludf.DUMMYFUNCTION("""COMPUTED_VALUE"""),"D.")</f>
        <v>D.</v>
      </c>
      <c r="E219" s="9" t="str">
        <f>IFERROR(__xludf.DUMMYFUNCTION("""COMPUTED_VALUE"""),"ELVIRA D. OLAES")</f>
        <v>ELVIRA D. OLAES</v>
      </c>
      <c r="F219" s="133"/>
      <c r="G219" s="13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60">
        <f t="shared" si="1"/>
        <v>214</v>
      </c>
      <c r="B220" s="9" t="str">
        <f>IFERROR(__xludf.DUMMYFUNCTION("""COMPUTED_VALUE"""),"LOBRIO")</f>
        <v>LOBRIO</v>
      </c>
      <c r="C220" s="9" t="str">
        <f>IFERROR(__xludf.DUMMYFUNCTION("""COMPUTED_VALUE"""),"JAY-R")</f>
        <v>JAY-R</v>
      </c>
      <c r="D220" s="9"/>
      <c r="E220" s="9" t="str">
        <f>IFERROR(__xludf.DUMMYFUNCTION("""COMPUTED_VALUE"""),"DOMINGO LOBRIO")</f>
        <v>DOMINGO LOBRIO</v>
      </c>
      <c r="F220" s="133"/>
      <c r="G220" s="13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60">
        <f t="shared" si="1"/>
        <v>215</v>
      </c>
      <c r="B221" s="9" t="str">
        <f>IFERROR(__xludf.DUMMYFUNCTION("""COMPUTED_VALUE"""),"LOBRIO")</f>
        <v>LOBRIO</v>
      </c>
      <c r="C221" s="9" t="str">
        <f>IFERROR(__xludf.DUMMYFUNCTION("""COMPUTED_VALUE"""),"JEYRAH")</f>
        <v>JEYRAH</v>
      </c>
      <c r="D221" s="9"/>
      <c r="E221" s="9" t="str">
        <f>IFERROR(__xludf.DUMMYFUNCTION("""COMPUTED_VALUE"""),"DOMINGO LOBRIO")</f>
        <v>DOMINGO LOBRIO</v>
      </c>
      <c r="F221" s="133"/>
      <c r="G221" s="13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60">
        <f t="shared" si="1"/>
        <v>216</v>
      </c>
      <c r="B222" s="9" t="str">
        <f>IFERROR(__xludf.DUMMYFUNCTION("""COMPUTED_VALUE"""),"LOBRIO")</f>
        <v>LOBRIO</v>
      </c>
      <c r="C222" s="9" t="str">
        <f>IFERROR(__xludf.DUMMYFUNCTION("""COMPUTED_VALUE"""),"JEYKIA")</f>
        <v>JEYKIA</v>
      </c>
      <c r="D222" s="9"/>
      <c r="E222" s="9" t="str">
        <f>IFERROR(__xludf.DUMMYFUNCTION("""COMPUTED_VALUE"""),"DOMINGO LOBRIO")</f>
        <v>DOMINGO LOBRIO</v>
      </c>
      <c r="F222" s="133"/>
      <c r="G222" s="13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60">
        <f t="shared" si="1"/>
        <v>217</v>
      </c>
      <c r="B223" s="9" t="str">
        <f>IFERROR(__xludf.DUMMYFUNCTION("""COMPUTED_VALUE"""),"LOBRIO")</f>
        <v>LOBRIO</v>
      </c>
      <c r="C223" s="9" t="str">
        <f>IFERROR(__xludf.DUMMYFUNCTION("""COMPUTED_VALUE"""),"JAICO MHICO")</f>
        <v>JAICO MHICO</v>
      </c>
      <c r="D223" s="9"/>
      <c r="E223" s="9" t="str">
        <f>IFERROR(__xludf.DUMMYFUNCTION("""COMPUTED_VALUE"""),"DOMINGO LOBRIO")</f>
        <v>DOMINGO LOBRIO</v>
      </c>
      <c r="F223" s="133"/>
      <c r="G223" s="13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60">
        <f t="shared" si="1"/>
        <v>218</v>
      </c>
      <c r="B224" s="9" t="str">
        <f>IFERROR(__xludf.DUMMYFUNCTION("""COMPUTED_VALUE"""),"LOBRIO")</f>
        <v>LOBRIO</v>
      </c>
      <c r="C224" s="9" t="str">
        <f>IFERROR(__xludf.DUMMYFUNCTION("""COMPUTED_VALUE"""),"JARRO KENT")</f>
        <v>JARRO KENT</v>
      </c>
      <c r="D224" s="9"/>
      <c r="E224" s="9" t="str">
        <f>IFERROR(__xludf.DUMMYFUNCTION("""COMPUTED_VALUE"""),"DOMINGO LOBRIO")</f>
        <v>DOMINGO LOBRIO</v>
      </c>
      <c r="F224" s="133"/>
      <c r="G224" s="13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60">
        <f t="shared" si="1"/>
        <v>219</v>
      </c>
      <c r="B225" s="9" t="str">
        <f>IFERROR(__xludf.DUMMYFUNCTION("""COMPUTED_VALUE"""),"MAÑAS")</f>
        <v>MAÑAS</v>
      </c>
      <c r="C225" s="9" t="str">
        <f>IFERROR(__xludf.DUMMYFUNCTION("""COMPUTED_VALUE"""),"ELISE")</f>
        <v>ELISE</v>
      </c>
      <c r="D225" s="9"/>
      <c r="E225" s="9" t="str">
        <f>IFERROR(__xludf.DUMMYFUNCTION("""COMPUTED_VALUE"""),"JANNE MARBERT MAÑAS")</f>
        <v>JANNE MARBERT MAÑAS</v>
      </c>
      <c r="F225" s="133"/>
      <c r="G225" s="13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60">
        <f t="shared" si="1"/>
        <v>220</v>
      </c>
      <c r="B226" s="9" t="str">
        <f>IFERROR(__xludf.DUMMYFUNCTION("""COMPUTED_VALUE"""),"OLIVERA")</f>
        <v>OLIVERA</v>
      </c>
      <c r="C226" s="9" t="str">
        <f>IFERROR(__xludf.DUMMYFUNCTION("""COMPUTED_VALUE"""),"DAVE RAGS")</f>
        <v>DAVE RAGS</v>
      </c>
      <c r="D226" s="9"/>
      <c r="E226" s="9" t="str">
        <f>IFERROR(__xludf.DUMMYFUNCTION("""COMPUTED_VALUE"""),"DIMA OLIVERA")</f>
        <v>DIMA OLIVERA</v>
      </c>
      <c r="F226" s="133"/>
      <c r="G226" s="13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60">
        <f t="shared" si="1"/>
        <v>221</v>
      </c>
      <c r="B227" s="9" t="str">
        <f>IFERROR(__xludf.DUMMYFUNCTION("""COMPUTED_VALUE"""),"LABUTIN")</f>
        <v>LABUTIN</v>
      </c>
      <c r="C227" s="9" t="str">
        <f>IFERROR(__xludf.DUMMYFUNCTION("""COMPUTED_VALUE"""),"GLENDA")</f>
        <v>GLENDA</v>
      </c>
      <c r="D227" s="9"/>
      <c r="E227" s="9" t="str">
        <f>IFERROR(__xludf.DUMMYFUNCTION("""COMPUTED_VALUE"""),"MARIA BRENDA R. AGOTE")</f>
        <v>MARIA BRENDA R. AGOTE</v>
      </c>
      <c r="F227" s="133"/>
      <c r="G227" s="13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60">
        <f t="shared" si="1"/>
        <v>222</v>
      </c>
      <c r="B228" s="9" t="str">
        <f>IFERROR(__xludf.DUMMYFUNCTION("""COMPUTED_VALUE"""),"LABUTIN")</f>
        <v>LABUTIN</v>
      </c>
      <c r="C228" s="9" t="str">
        <f>IFERROR(__xludf.DUMMYFUNCTION("""COMPUTED_VALUE"""),"APRIL")</f>
        <v>APRIL</v>
      </c>
      <c r="D228" s="9"/>
      <c r="E228" s="9" t="str">
        <f>IFERROR(__xludf.DUMMYFUNCTION("""COMPUTED_VALUE"""),"MARIA BRENDA R. AGOTE")</f>
        <v>MARIA BRENDA R. AGOTE</v>
      </c>
      <c r="F228" s="133"/>
      <c r="G228" s="13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60">
        <f t="shared" si="1"/>
        <v>223</v>
      </c>
      <c r="B229" s="9" t="str">
        <f>IFERROR(__xludf.DUMMYFUNCTION("""COMPUTED_VALUE"""),"ELGRICO")</f>
        <v>ELGRICO</v>
      </c>
      <c r="C229" s="9" t="str">
        <f>IFERROR(__xludf.DUMMYFUNCTION("""COMPUTED_VALUE"""),"ALEYA")</f>
        <v>ALEYA</v>
      </c>
      <c r="D229" s="9"/>
      <c r="E229" s="9" t="str">
        <f>IFERROR(__xludf.DUMMYFUNCTION("""COMPUTED_VALUE"""),"MARIA BRENDA R. AGOTE")</f>
        <v>MARIA BRENDA R. AGOTE</v>
      </c>
      <c r="F229" s="133"/>
      <c r="G229" s="13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60">
        <f t="shared" si="1"/>
        <v>224</v>
      </c>
      <c r="B230" s="9" t="str">
        <f>IFERROR(__xludf.DUMMYFUNCTION("""COMPUTED_VALUE"""),"LABUTIN")</f>
        <v>LABUTIN</v>
      </c>
      <c r="C230" s="9" t="str">
        <f>IFERROR(__xludf.DUMMYFUNCTION("""COMPUTED_VALUE"""),"KHWAN")</f>
        <v>KHWAN</v>
      </c>
      <c r="D230" s="9"/>
      <c r="E230" s="9" t="str">
        <f>IFERROR(__xludf.DUMMYFUNCTION("""COMPUTED_VALUE"""),"MARIA BRENDA R. AGOTE")</f>
        <v>MARIA BRENDA R. AGOTE</v>
      </c>
      <c r="F230" s="133"/>
      <c r="G230" s="13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60">
        <f t="shared" si="1"/>
        <v>225</v>
      </c>
      <c r="B231" s="9" t="str">
        <f>IFERROR(__xludf.DUMMYFUNCTION("""COMPUTED_VALUE"""),"LABUTIN")</f>
        <v>LABUTIN</v>
      </c>
      <c r="C231" s="9" t="str">
        <f>IFERROR(__xludf.DUMMYFUNCTION("""COMPUTED_VALUE"""),"ANGELEA")</f>
        <v>ANGELEA</v>
      </c>
      <c r="D231" s="9"/>
      <c r="E231" s="9" t="str">
        <f>IFERROR(__xludf.DUMMYFUNCTION("""COMPUTED_VALUE"""),"MARIA BRENDA R. AGOTE")</f>
        <v>MARIA BRENDA R. AGOTE</v>
      </c>
      <c r="F231" s="133"/>
      <c r="G231" s="13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60">
        <f t="shared" si="1"/>
        <v>226</v>
      </c>
      <c r="B232" s="9" t="str">
        <f>IFERROR(__xludf.DUMMYFUNCTION("""COMPUTED_VALUE"""),"ESPIRITU")</f>
        <v>ESPIRITU</v>
      </c>
      <c r="C232" s="9" t="str">
        <f>IFERROR(__xludf.DUMMYFUNCTION("""COMPUTED_VALUE"""),"REYNANTE")</f>
        <v>REYNANTE</v>
      </c>
      <c r="D232" s="9"/>
      <c r="E232" s="9" t="str">
        <f>IFERROR(__xludf.DUMMYFUNCTION("""COMPUTED_VALUE"""),"LOLITA ESPIRITU")</f>
        <v>LOLITA ESPIRITU</v>
      </c>
      <c r="F232" s="133"/>
      <c r="G232" s="13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60">
        <f t="shared" si="1"/>
        <v>227</v>
      </c>
      <c r="B233" s="9" t="str">
        <f>IFERROR(__xludf.DUMMYFUNCTION("""COMPUTED_VALUE"""),"LANDA")</f>
        <v>LANDA</v>
      </c>
      <c r="C233" s="9" t="str">
        <f>IFERROR(__xludf.DUMMYFUNCTION("""COMPUTED_VALUE"""),"THRAIA")</f>
        <v>THRAIA</v>
      </c>
      <c r="D233" s="9" t="str">
        <f>IFERROR(__xludf.DUMMYFUNCTION("""COMPUTED_VALUE"""),"OLIVA")</f>
        <v>OLIVA</v>
      </c>
      <c r="E233" s="9" t="str">
        <f>IFERROR(__xludf.DUMMYFUNCTION("""COMPUTED_VALUE"""),"DENNIS LANDA")</f>
        <v>DENNIS LANDA</v>
      </c>
      <c r="F233" s="133"/>
      <c r="G233" s="13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60">
        <f t="shared" si="1"/>
        <v>228</v>
      </c>
      <c r="B234" s="9" t="str">
        <f>IFERROR(__xludf.DUMMYFUNCTION("""COMPUTED_VALUE"""),"CONDE")</f>
        <v>CONDE</v>
      </c>
      <c r="C234" s="9" t="str">
        <f>IFERROR(__xludf.DUMMYFUNCTION("""COMPUTED_VALUE"""),"CRISTINA")</f>
        <v>CRISTINA</v>
      </c>
      <c r="D234" s="9"/>
      <c r="E234" s="9" t="str">
        <f>IFERROR(__xludf.DUMMYFUNCTION("""COMPUTED_VALUE"""),"ROSA CONDE")</f>
        <v>ROSA CONDE</v>
      </c>
      <c r="F234" s="133"/>
      <c r="G234" s="13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60">
        <f t="shared" si="1"/>
        <v>229</v>
      </c>
      <c r="B235" s="9" t="str">
        <f>IFERROR(__xludf.DUMMYFUNCTION("""COMPUTED_VALUE"""),"ANDRES")</f>
        <v>ANDRES</v>
      </c>
      <c r="C235" s="9" t="str">
        <f>IFERROR(__xludf.DUMMYFUNCTION("""COMPUTED_VALUE"""),"JUAN CARLOS")</f>
        <v>JUAN CARLOS</v>
      </c>
      <c r="D235" s="9"/>
      <c r="E235" s="9" t="str">
        <f>IFERROR(__xludf.DUMMYFUNCTION("""COMPUTED_VALUE"""),"ROSA CONDE")</f>
        <v>ROSA CONDE</v>
      </c>
      <c r="F235" s="133"/>
      <c r="G235" s="13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60">
        <f t="shared" si="1"/>
        <v>230</v>
      </c>
      <c r="B236" s="9" t="str">
        <f>IFERROR(__xludf.DUMMYFUNCTION("""COMPUTED_VALUE"""),"PEÑAFLOR")</f>
        <v>PEÑAFLOR</v>
      </c>
      <c r="C236" s="9" t="str">
        <f>IFERROR(__xludf.DUMMYFUNCTION("""COMPUTED_VALUE"""),"ROLANDO")</f>
        <v>ROLANDO</v>
      </c>
      <c r="D236" s="9"/>
      <c r="E236" s="9" t="str">
        <f>IFERROR(__xludf.DUMMYFUNCTION("""COMPUTED_VALUE"""),"ROSA CONDE")</f>
        <v>ROSA CONDE</v>
      </c>
      <c r="F236" s="133"/>
      <c r="G236" s="13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60">
        <f t="shared" si="1"/>
        <v>231</v>
      </c>
      <c r="B237" s="9" t="str">
        <f>IFERROR(__xludf.DUMMYFUNCTION("""COMPUTED_VALUE"""),"SOLIVEN")</f>
        <v>SOLIVEN</v>
      </c>
      <c r="C237" s="9" t="str">
        <f>IFERROR(__xludf.DUMMYFUNCTION("""COMPUTED_VALUE"""),"MARK")</f>
        <v>MARK</v>
      </c>
      <c r="D237" s="9"/>
      <c r="E237" s="9" t="str">
        <f>IFERROR(__xludf.DUMMYFUNCTION("""COMPUTED_VALUE"""),"TERESITA SOLIVEN")</f>
        <v>TERESITA SOLIVEN</v>
      </c>
      <c r="F237" s="133"/>
      <c r="G237" s="13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60">
        <f t="shared" si="1"/>
        <v>232</v>
      </c>
      <c r="B238" s="9" t="str">
        <f>IFERROR(__xludf.DUMMYFUNCTION("""COMPUTED_VALUE"""),"SOLIVEN")</f>
        <v>SOLIVEN</v>
      </c>
      <c r="C238" s="9" t="str">
        <f>IFERROR(__xludf.DUMMYFUNCTION("""COMPUTED_VALUE"""),"MARK WILLXANHDER")</f>
        <v>MARK WILLXANHDER</v>
      </c>
      <c r="D238" s="9"/>
      <c r="E238" s="9" t="str">
        <f>IFERROR(__xludf.DUMMYFUNCTION("""COMPUTED_VALUE"""),"TERESITA SOLIVEN")</f>
        <v>TERESITA SOLIVEN</v>
      </c>
      <c r="F238" s="133"/>
      <c r="G238" s="13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60">
        <f t="shared" si="1"/>
        <v>233</v>
      </c>
      <c r="B239" s="9" t="str">
        <f>IFERROR(__xludf.DUMMYFUNCTION("""COMPUTED_VALUE"""),"SOLIVEN")</f>
        <v>SOLIVEN</v>
      </c>
      <c r="C239" s="9" t="str">
        <f>IFERROR(__xludf.DUMMYFUNCTION("""COMPUTED_VALUE"""),"MONICA THEREEZE")</f>
        <v>MONICA THEREEZE</v>
      </c>
      <c r="D239" s="9"/>
      <c r="E239" s="9" t="str">
        <f>IFERROR(__xludf.DUMMYFUNCTION("""COMPUTED_VALUE"""),"TERESITA SOLIVEN")</f>
        <v>TERESITA SOLIVEN</v>
      </c>
      <c r="F239" s="133"/>
      <c r="G239" s="13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60">
        <f t="shared" si="1"/>
        <v>234</v>
      </c>
      <c r="B240" s="9" t="str">
        <f>IFERROR(__xludf.DUMMYFUNCTION("""COMPUTED_VALUE"""),"SOLIVEN")</f>
        <v>SOLIVEN</v>
      </c>
      <c r="C240" s="9" t="str">
        <f>IFERROR(__xludf.DUMMYFUNCTION("""COMPUTED_VALUE"""),"RIZAZZINA")</f>
        <v>RIZAZZINA</v>
      </c>
      <c r="D240" s="9"/>
      <c r="E240" s="9" t="str">
        <f>IFERROR(__xludf.DUMMYFUNCTION("""COMPUTED_VALUE"""),"TERESITA SOLIVEN")</f>
        <v>TERESITA SOLIVEN</v>
      </c>
      <c r="F240" s="133"/>
      <c r="G240" s="13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60">
        <f t="shared" si="1"/>
        <v>235</v>
      </c>
      <c r="B241" s="9" t="str">
        <f>IFERROR(__xludf.DUMMYFUNCTION("""COMPUTED_VALUE"""),"SOLIVEN")</f>
        <v>SOLIVEN</v>
      </c>
      <c r="C241" s="9" t="str">
        <f>IFERROR(__xludf.DUMMYFUNCTION("""COMPUTED_VALUE"""),"MELANIE MONIQUE")</f>
        <v>MELANIE MONIQUE</v>
      </c>
      <c r="D241" s="9"/>
      <c r="E241" s="9" t="str">
        <f>IFERROR(__xludf.DUMMYFUNCTION("""COMPUTED_VALUE"""),"TERESITA SOLIVEN")</f>
        <v>TERESITA SOLIVEN</v>
      </c>
      <c r="F241" s="133"/>
      <c r="G241" s="13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60">
        <f t="shared" si="1"/>
        <v>236</v>
      </c>
      <c r="B242" s="9" t="str">
        <f>IFERROR(__xludf.DUMMYFUNCTION("""COMPUTED_VALUE"""),"AÑOVERO")</f>
        <v>AÑOVERO</v>
      </c>
      <c r="C242" s="9" t="str">
        <f>IFERROR(__xludf.DUMMYFUNCTION("""COMPUTED_VALUE"""),"KIRSTEN REESE")</f>
        <v>KIRSTEN REESE</v>
      </c>
      <c r="D242" s="9" t="str">
        <f>IFERROR(__xludf.DUMMYFUNCTION("""COMPUTED_VALUE"""),"M.")</f>
        <v>M.</v>
      </c>
      <c r="E242" s="9" t="str">
        <f>IFERROR(__xludf.DUMMYFUNCTION("""COMPUTED_VALUE"""),"KENY AÑONVERO")</f>
        <v>KENY AÑONVERO</v>
      </c>
      <c r="F242" s="133"/>
      <c r="G242" s="13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60">
        <f t="shared" si="1"/>
        <v>237</v>
      </c>
      <c r="B243" s="9" t="str">
        <f>IFERROR(__xludf.DUMMYFUNCTION("""COMPUTED_VALUE"""),"AÑOVERO")</f>
        <v>AÑOVERO</v>
      </c>
      <c r="C243" s="9" t="str">
        <f>IFERROR(__xludf.DUMMYFUNCTION("""COMPUTED_VALUE"""),"AMAYRA YSABELLE")</f>
        <v>AMAYRA YSABELLE</v>
      </c>
      <c r="D243" s="9" t="str">
        <f>IFERROR(__xludf.DUMMYFUNCTION("""COMPUTED_VALUE"""),"M.")</f>
        <v>M.</v>
      </c>
      <c r="E243" s="9" t="str">
        <f>IFERROR(__xludf.DUMMYFUNCTION("""COMPUTED_VALUE"""),"KENY AÑONVERO")</f>
        <v>KENY AÑONVERO</v>
      </c>
      <c r="F243" s="133"/>
      <c r="G243" s="13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60">
        <f t="shared" si="1"/>
        <v>238</v>
      </c>
      <c r="B244" s="9" t="str">
        <f>IFERROR(__xludf.DUMMYFUNCTION("""COMPUTED_VALUE"""),"MAGNO")</f>
        <v>MAGNO</v>
      </c>
      <c r="C244" s="9" t="str">
        <f>IFERROR(__xludf.DUMMYFUNCTION("""COMPUTED_VALUE"""),"JIELLA RAE")</f>
        <v>JIELLA RAE</v>
      </c>
      <c r="D244" s="9"/>
      <c r="E244" s="9" t="str">
        <f>IFERROR(__xludf.DUMMYFUNCTION("""COMPUTED_VALUE"""),"GUNS MAGNO")</f>
        <v>GUNS MAGNO</v>
      </c>
      <c r="F244" s="133"/>
      <c r="G244" s="13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60">
        <f t="shared" si="1"/>
        <v>239</v>
      </c>
      <c r="B245" s="9" t="str">
        <f>IFERROR(__xludf.DUMMYFUNCTION("""COMPUTED_VALUE"""),"MIRALLES")</f>
        <v>MIRALLES</v>
      </c>
      <c r="C245" s="9" t="str">
        <f>IFERROR(__xludf.DUMMYFUNCTION("""COMPUTED_VALUE"""),"SEAN")</f>
        <v>SEAN</v>
      </c>
      <c r="D245" s="9"/>
      <c r="E245" s="9" t="str">
        <f>IFERROR(__xludf.DUMMYFUNCTION("""COMPUTED_VALUE"""),"GEELYN MAGNO")</f>
        <v>GEELYN MAGNO</v>
      </c>
      <c r="F245" s="133"/>
      <c r="G245" s="13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60">
        <f t="shared" si="1"/>
        <v>240</v>
      </c>
      <c r="B246" s="9" t="str">
        <f>IFERROR(__xludf.DUMMYFUNCTION("""COMPUTED_VALUE"""),"MAGNO")</f>
        <v>MAGNO</v>
      </c>
      <c r="C246" s="9" t="str">
        <f>IFERROR(__xludf.DUMMYFUNCTION("""COMPUTED_VALUE"""),"ASHIE")</f>
        <v>ASHIE</v>
      </c>
      <c r="D246" s="9"/>
      <c r="E246" s="9" t="str">
        <f>IFERROR(__xludf.DUMMYFUNCTION("""COMPUTED_VALUE"""),"GEELYN MAGNO")</f>
        <v>GEELYN MAGNO</v>
      </c>
      <c r="F246" s="133"/>
      <c r="G246" s="13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60">
        <f t="shared" si="1"/>
        <v>241</v>
      </c>
      <c r="B247" s="9" t="str">
        <f>IFERROR(__xludf.DUMMYFUNCTION("""COMPUTED_VALUE"""),"MAGNO")</f>
        <v>MAGNO</v>
      </c>
      <c r="C247" s="9" t="str">
        <f>IFERROR(__xludf.DUMMYFUNCTION("""COMPUTED_VALUE"""),"CAI")</f>
        <v>CAI</v>
      </c>
      <c r="D247" s="9"/>
      <c r="E247" s="9" t="str">
        <f>IFERROR(__xludf.DUMMYFUNCTION("""COMPUTED_VALUE"""),"GEELYN MAGNO")</f>
        <v>GEELYN MAGNO</v>
      </c>
      <c r="F247" s="133"/>
      <c r="G247" s="13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60">
        <f t="shared" si="1"/>
        <v>242</v>
      </c>
      <c r="B248" s="9" t="str">
        <f>IFERROR(__xludf.DUMMYFUNCTION("""COMPUTED_VALUE"""),"MONTERO")</f>
        <v>MONTERO</v>
      </c>
      <c r="C248" s="9" t="str">
        <f>IFERROR(__xludf.DUMMYFUNCTION("""COMPUTED_VALUE"""),"JAYRO ZEUS")</f>
        <v>JAYRO ZEUS</v>
      </c>
      <c r="D248" s="9"/>
      <c r="E248" s="9" t="str">
        <f>IFERROR(__xludf.DUMMYFUNCTION("""COMPUTED_VALUE"""),"GEELYN MAGNO")</f>
        <v>GEELYN MAGNO</v>
      </c>
      <c r="F248" s="133"/>
      <c r="G248" s="13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60">
        <f t="shared" si="1"/>
        <v>243</v>
      </c>
      <c r="B249" s="9" t="str">
        <f>IFERROR(__xludf.DUMMYFUNCTION("""COMPUTED_VALUE"""),"MONTERO")</f>
        <v>MONTERO</v>
      </c>
      <c r="C249" s="9" t="str">
        <f>IFERROR(__xludf.DUMMYFUNCTION("""COMPUTED_VALUE"""),"ZEBASTIAN")</f>
        <v>ZEBASTIAN</v>
      </c>
      <c r="D249" s="9"/>
      <c r="E249" s="9" t="str">
        <f>IFERROR(__xludf.DUMMYFUNCTION("""COMPUTED_VALUE"""),"GEELYN MAGNO")</f>
        <v>GEELYN MAGNO</v>
      </c>
      <c r="F249" s="133"/>
      <c r="G249" s="13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60">
        <f t="shared" si="1"/>
        <v>244</v>
      </c>
      <c r="B250" s="9" t="str">
        <f>IFERROR(__xludf.DUMMYFUNCTION("""COMPUTED_VALUE"""),"MAGNO")</f>
        <v>MAGNO</v>
      </c>
      <c r="C250" s="9" t="str">
        <f>IFERROR(__xludf.DUMMYFUNCTION("""COMPUTED_VALUE"""),"MELLYN")</f>
        <v>MELLYN</v>
      </c>
      <c r="D250" s="9"/>
      <c r="E250" s="9" t="str">
        <f>IFERROR(__xludf.DUMMYFUNCTION("""COMPUTED_VALUE"""),"MELVIN MAGNO")</f>
        <v>MELVIN MAGNO</v>
      </c>
      <c r="F250" s="133"/>
      <c r="G250" s="13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60">
        <f t="shared" si="1"/>
        <v>245</v>
      </c>
      <c r="B251" s="9" t="str">
        <f>IFERROR(__xludf.DUMMYFUNCTION("""COMPUTED_VALUE"""),"MAGNO")</f>
        <v>MAGNO</v>
      </c>
      <c r="C251" s="9" t="str">
        <f>IFERROR(__xludf.DUMMYFUNCTION("""COMPUTED_VALUE"""),"GEELYN")</f>
        <v>GEELYN</v>
      </c>
      <c r="D251" s="9"/>
      <c r="E251" s="9" t="str">
        <f>IFERROR(__xludf.DUMMYFUNCTION("""COMPUTED_VALUE"""),"MELVIN MAGNO")</f>
        <v>MELVIN MAGNO</v>
      </c>
      <c r="F251" s="133"/>
      <c r="G251" s="13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60">
        <f t="shared" si="1"/>
        <v>246</v>
      </c>
      <c r="B252" s="9" t="str">
        <f>IFERROR(__xludf.DUMMYFUNCTION("""COMPUTED_VALUE"""),"MAGNO")</f>
        <v>MAGNO</v>
      </c>
      <c r="C252" s="9" t="str">
        <f>IFERROR(__xludf.DUMMYFUNCTION("""COMPUTED_VALUE"""),"GENVIN")</f>
        <v>GENVIN</v>
      </c>
      <c r="D252" s="9"/>
      <c r="E252" s="9" t="str">
        <f>IFERROR(__xludf.DUMMYFUNCTION("""COMPUTED_VALUE"""),"MELVIN MAGNO")</f>
        <v>MELVIN MAGNO</v>
      </c>
      <c r="F252" s="133"/>
      <c r="G252" s="13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60">
        <f t="shared" si="1"/>
        <v>247</v>
      </c>
      <c r="B253" s="9" t="str">
        <f>IFERROR(__xludf.DUMMYFUNCTION("""COMPUTED_VALUE"""),"MAGNO")</f>
        <v>MAGNO</v>
      </c>
      <c r="C253" s="9" t="str">
        <f>IFERROR(__xludf.DUMMYFUNCTION("""COMPUTED_VALUE"""),"GUNS")</f>
        <v>GUNS</v>
      </c>
      <c r="D253" s="9"/>
      <c r="E253" s="9" t="str">
        <f>IFERROR(__xludf.DUMMYFUNCTION("""COMPUTED_VALUE"""),"MELVIN MAGNO")</f>
        <v>MELVIN MAGNO</v>
      </c>
      <c r="F253" s="133"/>
      <c r="G253" s="13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60">
        <f t="shared" si="1"/>
        <v>248</v>
      </c>
      <c r="B254" s="9" t="str">
        <f>IFERROR(__xludf.DUMMYFUNCTION("""COMPUTED_VALUE"""),"MAGNO")</f>
        <v>MAGNO</v>
      </c>
      <c r="C254" s="9" t="str">
        <f>IFERROR(__xludf.DUMMYFUNCTION("""COMPUTED_VALUE"""),"MELVINA")</f>
        <v>MELVINA</v>
      </c>
      <c r="D254" s="9"/>
      <c r="E254" s="9" t="str">
        <f>IFERROR(__xludf.DUMMYFUNCTION("""COMPUTED_VALUE"""),"MELVIN MAGNO")</f>
        <v>MELVIN MAGNO</v>
      </c>
      <c r="F254" s="133"/>
      <c r="G254" s="13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60">
        <f t="shared" si="1"/>
        <v>249</v>
      </c>
      <c r="B255" s="9" t="str">
        <f>IFERROR(__xludf.DUMMYFUNCTION("""COMPUTED_VALUE"""),"MAGNO")</f>
        <v>MAGNO</v>
      </c>
      <c r="C255" s="9" t="str">
        <f>IFERROR(__xludf.DUMMYFUNCTION("""COMPUTED_VALUE"""),"SUZZANE")</f>
        <v>SUZZANE</v>
      </c>
      <c r="D255" s="9"/>
      <c r="E255" s="9" t="str">
        <f>IFERROR(__xludf.DUMMYFUNCTION("""COMPUTED_VALUE"""),"MELVIN MAGNO")</f>
        <v>MELVIN MAGNO</v>
      </c>
      <c r="F255" s="133"/>
      <c r="G255" s="13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60">
        <f t="shared" si="1"/>
        <v>250</v>
      </c>
      <c r="B256" s="9" t="str">
        <f>IFERROR(__xludf.DUMMYFUNCTION("""COMPUTED_VALUE"""),"MAGNO")</f>
        <v>MAGNO</v>
      </c>
      <c r="C256" s="9" t="str">
        <f>IFERROR(__xludf.DUMMYFUNCTION("""COMPUTED_VALUE"""),"LUZZY ANNE")</f>
        <v>LUZZY ANNE</v>
      </c>
      <c r="D256" s="9"/>
      <c r="E256" s="9" t="str">
        <f>IFERROR(__xludf.DUMMYFUNCTION("""COMPUTED_VALUE"""),"MELVIN MAGNO")</f>
        <v>MELVIN MAGNO</v>
      </c>
      <c r="F256" s="133"/>
      <c r="G256" s="13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60">
        <f t="shared" si="1"/>
        <v>251</v>
      </c>
      <c r="B257" s="9" t="str">
        <f>IFERROR(__xludf.DUMMYFUNCTION("""COMPUTED_VALUE"""),"MAGNO")</f>
        <v>MAGNO</v>
      </c>
      <c r="C257" s="9" t="str">
        <f>IFERROR(__xludf.DUMMYFUNCTION("""COMPUTED_VALUE"""),"ALLEN")</f>
        <v>ALLEN</v>
      </c>
      <c r="D257" s="9"/>
      <c r="E257" s="9" t="str">
        <f>IFERROR(__xludf.DUMMYFUNCTION("""COMPUTED_VALUE"""),"MELVIN MAGNO")</f>
        <v>MELVIN MAGNO</v>
      </c>
      <c r="F257" s="133"/>
      <c r="G257" s="13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60">
        <f t="shared" si="1"/>
        <v>252</v>
      </c>
      <c r="B258" s="9" t="str">
        <f>IFERROR(__xludf.DUMMYFUNCTION("""COMPUTED_VALUE"""),"MAGNO")</f>
        <v>MAGNO</v>
      </c>
      <c r="C258" s="9" t="str">
        <f>IFERROR(__xludf.DUMMYFUNCTION("""COMPUTED_VALUE"""),"ANDREW")</f>
        <v>ANDREW</v>
      </c>
      <c r="D258" s="9"/>
      <c r="E258" s="9" t="str">
        <f>IFERROR(__xludf.DUMMYFUNCTION("""COMPUTED_VALUE"""),"MELVIN MAGNO")</f>
        <v>MELVIN MAGNO</v>
      </c>
      <c r="F258" s="133"/>
      <c r="G258" s="13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60">
        <f t="shared" si="1"/>
        <v>253</v>
      </c>
      <c r="B259" s="9" t="str">
        <f>IFERROR(__xludf.DUMMYFUNCTION("""COMPUTED_VALUE"""),"JUAN ")</f>
        <v>JUAN </v>
      </c>
      <c r="C259" s="9" t="str">
        <f>IFERROR(__xludf.DUMMYFUNCTION("""COMPUTED_VALUE"""),"ZAYN CALIX ")</f>
        <v>ZAYN CALIX </v>
      </c>
      <c r="D259" s="9" t="str">
        <f>IFERROR(__xludf.DUMMYFUNCTION("""COMPUTED_VALUE"""),"M.")</f>
        <v>M.</v>
      </c>
      <c r="E259" s="9" t="str">
        <f>IFERROR(__xludf.DUMMYFUNCTION("""COMPUTED_VALUE"""),"JOHN JUAN")</f>
        <v>JOHN JUAN</v>
      </c>
      <c r="F259" s="133"/>
      <c r="G259" s="13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60">
        <f t="shared" si="1"/>
        <v>254</v>
      </c>
      <c r="B260" s="9" t="str">
        <f>IFERROR(__xludf.DUMMYFUNCTION("""COMPUTED_VALUE"""),"MAGNO")</f>
        <v>MAGNO</v>
      </c>
      <c r="C260" s="9" t="str">
        <f>IFERROR(__xludf.DUMMYFUNCTION("""COMPUTED_VALUE"""),"SEAN")</f>
        <v>SEAN</v>
      </c>
      <c r="D260" s="9"/>
      <c r="E260" s="9" t="str">
        <f>IFERROR(__xludf.DUMMYFUNCTION("""COMPUTED_VALUE"""),"AERON DE GORO")</f>
        <v>AERON DE GORO</v>
      </c>
      <c r="F260" s="133"/>
      <c r="G260" s="13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60">
        <f t="shared" si="1"/>
        <v>255</v>
      </c>
      <c r="B261" s="9" t="str">
        <f>IFERROR(__xludf.DUMMYFUNCTION("""COMPUTED_VALUE"""),"MAGNO")</f>
        <v>MAGNO</v>
      </c>
      <c r="C261" s="9" t="str">
        <f>IFERROR(__xludf.DUMMYFUNCTION("""COMPUTED_VALUE"""),"SYDNEY")</f>
        <v>SYDNEY</v>
      </c>
      <c r="D261" s="9"/>
      <c r="E261" s="9" t="str">
        <f>IFERROR(__xludf.DUMMYFUNCTION("""COMPUTED_VALUE"""),"AERON DE GORO")</f>
        <v>AERON DE GORO</v>
      </c>
      <c r="F261" s="133"/>
      <c r="G261" s="13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60">
        <f t="shared" si="1"/>
        <v>256</v>
      </c>
      <c r="B262" s="9" t="str">
        <f>IFERROR(__xludf.DUMMYFUNCTION("""COMPUTED_VALUE"""),"CANTIMBUHAN")</f>
        <v>CANTIMBUHAN</v>
      </c>
      <c r="C262" s="9" t="str">
        <f>IFERROR(__xludf.DUMMYFUNCTION("""COMPUTED_VALUE"""),"SAISAI")</f>
        <v>SAISAI</v>
      </c>
      <c r="D262" s="9"/>
      <c r="E262" s="9" t="str">
        <f>IFERROR(__xludf.DUMMYFUNCTION("""COMPUTED_VALUE"""),"BLEZILDA MAGNO")</f>
        <v>BLEZILDA MAGNO</v>
      </c>
      <c r="F262" s="133"/>
      <c r="G262" s="13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60">
        <f t="shared" si="1"/>
        <v>257</v>
      </c>
      <c r="B263" s="9" t="str">
        <f>IFERROR(__xludf.DUMMYFUNCTION("""COMPUTED_VALUE"""),"MAGNO")</f>
        <v>MAGNO</v>
      </c>
      <c r="C263" s="9" t="str">
        <f>IFERROR(__xludf.DUMMYFUNCTION("""COMPUTED_VALUE"""),"THOMAS")</f>
        <v>THOMAS</v>
      </c>
      <c r="D263" s="9"/>
      <c r="E263" s="9" t="str">
        <f>IFERROR(__xludf.DUMMYFUNCTION("""COMPUTED_VALUE"""),"BLEZILDA MAGNO")</f>
        <v>BLEZILDA MAGNO</v>
      </c>
      <c r="F263" s="133"/>
      <c r="G263" s="13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60">
        <f t="shared" si="1"/>
        <v>258</v>
      </c>
      <c r="B264" s="9" t="str">
        <f>IFERROR(__xludf.DUMMYFUNCTION("""COMPUTED_VALUE"""),"MAGNO")</f>
        <v>MAGNO</v>
      </c>
      <c r="C264" s="9" t="str">
        <f>IFERROR(__xludf.DUMMYFUNCTION("""COMPUTED_VALUE"""),"DANIEL")</f>
        <v>DANIEL</v>
      </c>
      <c r="D264" s="9"/>
      <c r="E264" s="9" t="str">
        <f>IFERROR(__xludf.DUMMYFUNCTION("""COMPUTED_VALUE"""),"BLEZILDA MAGNO")</f>
        <v>BLEZILDA MAGNO</v>
      </c>
      <c r="F264" s="133"/>
      <c r="G264" s="13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60">
        <f t="shared" si="1"/>
        <v>259</v>
      </c>
      <c r="B265" s="9" t="str">
        <f>IFERROR(__xludf.DUMMYFUNCTION("""COMPUTED_VALUE"""),"MAGNO")</f>
        <v>MAGNO</v>
      </c>
      <c r="C265" s="9" t="str">
        <f>IFERROR(__xludf.DUMMYFUNCTION("""COMPUTED_VALUE"""),"ALLAINE MAURIZ")</f>
        <v>ALLAINE MAURIZ</v>
      </c>
      <c r="D265" s="9"/>
      <c r="E265" s="9" t="str">
        <f>IFERROR(__xludf.DUMMYFUNCTION("""COMPUTED_VALUE"""),"PAULA CAMILLE TASLASTAS")</f>
        <v>PAULA CAMILLE TASLASTAS</v>
      </c>
      <c r="F265" s="133"/>
      <c r="G265" s="13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60">
        <f t="shared" si="1"/>
        <v>260</v>
      </c>
      <c r="B266" s="9" t="str">
        <f>IFERROR(__xludf.DUMMYFUNCTION("""COMPUTED_VALUE"""),"MAGNO")</f>
        <v>MAGNO</v>
      </c>
      <c r="C266" s="9" t="str">
        <f>IFERROR(__xludf.DUMMYFUNCTION("""COMPUTED_VALUE"""),"AVAN")</f>
        <v>AVAN</v>
      </c>
      <c r="D266" s="9"/>
      <c r="E266" s="9" t="str">
        <f>IFERROR(__xludf.DUMMYFUNCTION("""COMPUTED_VALUE"""),"PAULA CAMILLE TASLASTAS")</f>
        <v>PAULA CAMILLE TASLASTAS</v>
      </c>
      <c r="F266" s="133"/>
      <c r="G266" s="13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60">
        <f t="shared" si="1"/>
        <v>261</v>
      </c>
      <c r="B267" s="9" t="str">
        <f>IFERROR(__xludf.DUMMYFUNCTION("""COMPUTED_VALUE"""),"MAGNO")</f>
        <v>MAGNO</v>
      </c>
      <c r="C267" s="9" t="str">
        <f>IFERROR(__xludf.DUMMYFUNCTION("""COMPUTED_VALUE"""),"LANCE ABRIEL")</f>
        <v>LANCE ABRIEL</v>
      </c>
      <c r="D267" s="9"/>
      <c r="E267" s="9" t="str">
        <f>IFERROR(__xludf.DUMMYFUNCTION("""COMPUTED_VALUE"""),"PAULA CAMILLE TASLASTAS")</f>
        <v>PAULA CAMILLE TASLASTAS</v>
      </c>
      <c r="F267" s="133"/>
      <c r="G267" s="13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60">
        <f t="shared" si="1"/>
        <v>262</v>
      </c>
      <c r="B268" s="9" t="str">
        <f>IFERROR(__xludf.DUMMYFUNCTION("""COMPUTED_VALUE"""),"TORLAO")</f>
        <v>TORLAO</v>
      </c>
      <c r="C268" s="9" t="str">
        <f>IFERROR(__xludf.DUMMYFUNCTION("""COMPUTED_VALUE"""),"KLEA ANISHA")</f>
        <v>KLEA ANISHA</v>
      </c>
      <c r="D268" s="9"/>
      <c r="E268" s="9" t="str">
        <f>IFERROR(__xludf.DUMMYFUNCTION("""COMPUTED_VALUE"""),"RONALD TORLAO")</f>
        <v>RONALD TORLAO</v>
      </c>
      <c r="F268" s="133"/>
      <c r="G268" s="13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60">
        <f t="shared" si="1"/>
        <v>263</v>
      </c>
      <c r="B269" s="9" t="str">
        <f>IFERROR(__xludf.DUMMYFUNCTION("""COMPUTED_VALUE"""),"TORLAO")</f>
        <v>TORLAO</v>
      </c>
      <c r="C269" s="9" t="str">
        <f>IFERROR(__xludf.DUMMYFUNCTION("""COMPUTED_VALUE"""),"PRINCESS ALANA ")</f>
        <v>PRINCESS ALANA </v>
      </c>
      <c r="D269" s="9"/>
      <c r="E269" s="9" t="str">
        <f>IFERROR(__xludf.DUMMYFUNCTION("""COMPUTED_VALUE"""),"RONALD TORLAO")</f>
        <v>RONALD TORLAO</v>
      </c>
      <c r="F269" s="133"/>
      <c r="G269" s="13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60">
        <f t="shared" si="1"/>
        <v>264</v>
      </c>
      <c r="B270" s="9" t="str">
        <f>IFERROR(__xludf.DUMMYFUNCTION("""COMPUTED_VALUE"""),"SORIANO ")</f>
        <v>SORIANO </v>
      </c>
      <c r="C270" s="9" t="str">
        <f>IFERROR(__xludf.DUMMYFUNCTION("""COMPUTED_VALUE"""),"JEOFFREY  BRYLE SORIANO")</f>
        <v>JEOFFREY  BRYLE SORIANO</v>
      </c>
      <c r="D270" s="9"/>
      <c r="E270" s="9" t="str">
        <f>IFERROR(__xludf.DUMMYFUNCTION("""COMPUTED_VALUE"""),"JEFFREY L. SORIANO")</f>
        <v>JEFFREY L. SORIANO</v>
      </c>
      <c r="F270" s="133"/>
      <c r="G270" s="13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60">
        <f t="shared" si="1"/>
        <v>265</v>
      </c>
      <c r="B271" s="9" t="str">
        <f>IFERROR(__xludf.DUMMYFUNCTION("""COMPUTED_VALUE"""),"SORIANO ")</f>
        <v>SORIANO </v>
      </c>
      <c r="C271" s="9" t="str">
        <f>IFERROR(__xludf.DUMMYFUNCTION("""COMPUTED_VALUE"""),"HANINA KYLE")</f>
        <v>HANINA KYLE</v>
      </c>
      <c r="D271" s="9"/>
      <c r="E271" s="9" t="str">
        <f>IFERROR(__xludf.DUMMYFUNCTION("""COMPUTED_VALUE"""),"JEFFREY L. SORIANO")</f>
        <v>JEFFREY L. SORIANO</v>
      </c>
      <c r="F271" s="133"/>
      <c r="G271" s="13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60">
        <f t="shared" si="1"/>
        <v>266</v>
      </c>
      <c r="B272" s="9" t="str">
        <f>IFERROR(__xludf.DUMMYFUNCTION("""COMPUTED_VALUE"""),"SORIANO ")</f>
        <v>SORIANO </v>
      </c>
      <c r="C272" s="9" t="str">
        <f>IFERROR(__xludf.DUMMYFUNCTION("""COMPUTED_VALUE"""),"MARGOUX ZIALHYNE")</f>
        <v>MARGOUX ZIALHYNE</v>
      </c>
      <c r="D272" s="9"/>
      <c r="E272" s="9" t="str">
        <f>IFERROR(__xludf.DUMMYFUNCTION("""COMPUTED_VALUE"""),"JEFFREY L. SORIANO")</f>
        <v>JEFFREY L. SORIANO</v>
      </c>
      <c r="F272" s="133"/>
      <c r="G272" s="13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60">
        <f t="shared" si="1"/>
        <v>267</v>
      </c>
      <c r="B273" s="9" t="str">
        <f>IFERROR(__xludf.DUMMYFUNCTION("""COMPUTED_VALUE"""),"SORIANO ")</f>
        <v>SORIANO </v>
      </c>
      <c r="C273" s="9" t="str">
        <f>IFERROR(__xludf.DUMMYFUNCTION("""COMPUTED_VALUE"""),"AVIANNAH ZYRA ")</f>
        <v>AVIANNAH ZYRA </v>
      </c>
      <c r="D273" s="9"/>
      <c r="E273" s="9" t="str">
        <f>IFERROR(__xludf.DUMMYFUNCTION("""COMPUTED_VALUE"""),"JEFFREY L. SORIANO")</f>
        <v>JEFFREY L. SORIANO</v>
      </c>
      <c r="F273" s="133"/>
      <c r="G273" s="13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60">
        <f t="shared" si="1"/>
        <v>268</v>
      </c>
      <c r="B274" s="9" t="str">
        <f>IFERROR(__xludf.DUMMYFUNCTION("""COMPUTED_VALUE"""),"LAZARO")</f>
        <v>LAZARO</v>
      </c>
      <c r="C274" s="9" t="str">
        <f>IFERROR(__xludf.DUMMYFUNCTION("""COMPUTED_VALUE"""),"JHAMAICA")</f>
        <v>JHAMAICA</v>
      </c>
      <c r="D274" s="9"/>
      <c r="E274" s="9" t="str">
        <f>IFERROR(__xludf.DUMMYFUNCTION("""COMPUTED_VALUE"""),"MICHAEL BRYLLE NIEVAS")</f>
        <v>MICHAEL BRYLLE NIEVAS</v>
      </c>
      <c r="F274" s="133"/>
      <c r="G274" s="13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60">
        <f t="shared" si="1"/>
        <v>269</v>
      </c>
      <c r="B275" s="9" t="str">
        <f>IFERROR(__xludf.DUMMYFUNCTION("""COMPUTED_VALUE"""),"LAZARO")</f>
        <v>LAZARO</v>
      </c>
      <c r="C275" s="9" t="str">
        <f>IFERROR(__xludf.DUMMYFUNCTION("""COMPUTED_VALUE"""),"ANGEL GRACE")</f>
        <v>ANGEL GRACE</v>
      </c>
      <c r="D275" s="9"/>
      <c r="E275" s="9" t="str">
        <f>IFERROR(__xludf.DUMMYFUNCTION("""COMPUTED_VALUE"""),"MICHAEL BRYLLE NIEVAS")</f>
        <v>MICHAEL BRYLLE NIEVAS</v>
      </c>
      <c r="F275" s="133"/>
      <c r="G275" s="13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60">
        <f t="shared" si="1"/>
        <v>270</v>
      </c>
      <c r="B276" s="9" t="str">
        <f>IFERROR(__xludf.DUMMYFUNCTION("""COMPUTED_VALUE"""),"NIEVAS")</f>
        <v>NIEVAS</v>
      </c>
      <c r="C276" s="9" t="str">
        <f>IFERROR(__xludf.DUMMYFUNCTION("""COMPUTED_VALUE"""),"MICHAELLA BLYTHE")</f>
        <v>MICHAELLA BLYTHE</v>
      </c>
      <c r="D276" s="9"/>
      <c r="E276" s="9" t="str">
        <f>IFERROR(__xludf.DUMMYFUNCTION("""COMPUTED_VALUE"""),"MICHAEL BRYLLE NIEVAS")</f>
        <v>MICHAEL BRYLLE NIEVAS</v>
      </c>
      <c r="F276" s="133"/>
      <c r="G276" s="13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60">
        <f t="shared" si="1"/>
        <v>271</v>
      </c>
      <c r="B277" s="9" t="str">
        <f>IFERROR(__xludf.DUMMYFUNCTION("""COMPUTED_VALUE"""),"NIEVAS")</f>
        <v>NIEVAS</v>
      </c>
      <c r="C277" s="9" t="str">
        <f>IFERROR(__xludf.DUMMYFUNCTION("""COMPUTED_VALUE"""),"ECLLICTY MICHAELLA")</f>
        <v>ECLLICTY MICHAELLA</v>
      </c>
      <c r="D277" s="9"/>
      <c r="E277" s="9" t="str">
        <f>IFERROR(__xludf.DUMMYFUNCTION("""COMPUTED_VALUE"""),"MICHAEL BRYLLE NIEVAS")</f>
        <v>MICHAEL BRYLLE NIEVAS</v>
      </c>
      <c r="F277" s="133"/>
      <c r="G277" s="13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60">
        <f t="shared" si="1"/>
        <v>272</v>
      </c>
      <c r="B278" s="9" t="str">
        <f>IFERROR(__xludf.DUMMYFUNCTION("""COMPUTED_VALUE"""),"PAANO")</f>
        <v>PAANO</v>
      </c>
      <c r="C278" s="9" t="str">
        <f>IFERROR(__xludf.DUMMYFUNCTION("""COMPUTED_VALUE"""),"YEONA LEE NICOLE ")</f>
        <v>YEONA LEE NICOLE </v>
      </c>
      <c r="D278" s="9"/>
      <c r="E278" s="9" t="str">
        <f>IFERROR(__xludf.DUMMYFUNCTION("""COMPUTED_VALUE"""),"KENY AÑONVERO")</f>
        <v>KENY AÑONVERO</v>
      </c>
      <c r="F278" s="133"/>
      <c r="G278" s="13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60">
        <f t="shared" si="1"/>
        <v>273</v>
      </c>
      <c r="B279" s="9" t="str">
        <f>IFERROR(__xludf.DUMMYFUNCTION("""COMPUTED_VALUE"""),"MIRASOL")</f>
        <v>MIRASOL</v>
      </c>
      <c r="C279" s="9" t="str">
        <f>IFERROR(__xludf.DUMMYFUNCTION("""COMPUTED_VALUE"""),"JOHN CLYDE")</f>
        <v>JOHN CLYDE</v>
      </c>
      <c r="D279" s="9"/>
      <c r="E279" s="9" t="str">
        <f>IFERROR(__xludf.DUMMYFUNCTION("""COMPUTED_VALUE"""),"JOHN MARK MIRASOL")</f>
        <v>JOHN MARK MIRASOL</v>
      </c>
      <c r="F279" s="133"/>
      <c r="G279" s="13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60">
        <f t="shared" si="1"/>
        <v>274</v>
      </c>
      <c r="B280" s="9" t="str">
        <f>IFERROR(__xludf.DUMMYFUNCTION("""COMPUTED_VALUE"""),"CARUMBA")</f>
        <v>CARUMBA</v>
      </c>
      <c r="C280" s="9" t="str">
        <f>IFERROR(__xludf.DUMMYFUNCTION("""COMPUTED_VALUE"""),"THELMA")</f>
        <v>THELMA</v>
      </c>
      <c r="D280" s="9"/>
      <c r="E280" s="9" t="str">
        <f>IFERROR(__xludf.DUMMYFUNCTION("""COMPUTED_VALUE"""),"NELBERT AZARCON")</f>
        <v>NELBERT AZARCON</v>
      </c>
      <c r="F280" s="133"/>
      <c r="G280" s="13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0">
        <f t="shared" si="1"/>
        <v>275</v>
      </c>
      <c r="B281" s="9" t="str">
        <f>IFERROR(__xludf.DUMMYFUNCTION("""COMPUTED_VALUE"""),"CARUMBA")</f>
        <v>CARUMBA</v>
      </c>
      <c r="C281" s="9" t="str">
        <f>IFERROR(__xludf.DUMMYFUNCTION("""COMPUTED_VALUE"""),"CAMILLE JOY")</f>
        <v>CAMILLE JOY</v>
      </c>
      <c r="D281" s="9"/>
      <c r="E281" s="9" t="str">
        <f>IFERROR(__xludf.DUMMYFUNCTION("""COMPUTED_VALUE"""),"NELBERT AZARCON")</f>
        <v>NELBERT AZARCON</v>
      </c>
      <c r="F281" s="133"/>
      <c r="G281" s="13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60">
        <f t="shared" si="1"/>
        <v>276</v>
      </c>
      <c r="B282" s="9" t="str">
        <f>IFERROR(__xludf.DUMMYFUNCTION("""COMPUTED_VALUE"""),"AZARCON")</f>
        <v>AZARCON</v>
      </c>
      <c r="C282" s="9" t="str">
        <f>IFERROR(__xludf.DUMMYFUNCTION("""COMPUTED_VALUE"""),"RANEL")</f>
        <v>RANEL</v>
      </c>
      <c r="D282" s="9"/>
      <c r="E282" s="9" t="str">
        <f>IFERROR(__xludf.DUMMYFUNCTION("""COMPUTED_VALUE"""),"NELBERT AZARCON")</f>
        <v>NELBERT AZARCON</v>
      </c>
      <c r="F282" s="133"/>
      <c r="G282" s="13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60">
        <f t="shared" si="1"/>
        <v>277</v>
      </c>
      <c r="B283" s="9" t="str">
        <f>IFERROR(__xludf.DUMMYFUNCTION("""COMPUTED_VALUE"""),"DELOS REYES")</f>
        <v>DELOS REYES</v>
      </c>
      <c r="C283" s="9" t="str">
        <f>IFERROR(__xludf.DUMMYFUNCTION("""COMPUTED_VALUE"""),"SAEL")</f>
        <v>SAEL</v>
      </c>
      <c r="D283" s="9" t="str">
        <f>IFERROR(__xludf.DUMMYFUNCTION("""COMPUTED_VALUE"""),"MAGNO")</f>
        <v>MAGNO</v>
      </c>
      <c r="E283" s="9" t="str">
        <f>IFERROR(__xludf.DUMMYFUNCTION("""COMPUTED_VALUE"""),"JANUS DELOS REYES")</f>
        <v>JANUS DELOS REYES</v>
      </c>
      <c r="F283" s="133"/>
      <c r="G283" s="13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60">
        <f t="shared" si="1"/>
        <v>278</v>
      </c>
      <c r="B284" s="9" t="str">
        <f>IFERROR(__xludf.DUMMYFUNCTION("""COMPUTED_VALUE"""),"DELOS REYES")</f>
        <v>DELOS REYES</v>
      </c>
      <c r="C284" s="9" t="str">
        <f>IFERROR(__xludf.DUMMYFUNCTION("""COMPUTED_VALUE"""),"CHESKA")</f>
        <v>CHESKA</v>
      </c>
      <c r="D284" s="9" t="str">
        <f>IFERROR(__xludf.DUMMYFUNCTION("""COMPUTED_VALUE"""),"MAGNO")</f>
        <v>MAGNO</v>
      </c>
      <c r="E284" s="9" t="str">
        <f>IFERROR(__xludf.DUMMYFUNCTION("""COMPUTED_VALUE"""),"JANUS DELOS REYES")</f>
        <v>JANUS DELOS REYES</v>
      </c>
      <c r="F284" s="133"/>
      <c r="G284" s="13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60">
        <f t="shared" si="1"/>
        <v>279</v>
      </c>
      <c r="B285" s="9" t="str">
        <f>IFERROR(__xludf.DUMMYFUNCTION("""COMPUTED_VALUE"""),"DELOS REYES")</f>
        <v>DELOS REYES</v>
      </c>
      <c r="C285" s="9" t="str">
        <f>IFERROR(__xludf.DUMMYFUNCTION("""COMPUTED_VALUE"""),"ZETH")</f>
        <v>ZETH</v>
      </c>
      <c r="D285" s="9" t="str">
        <f>IFERROR(__xludf.DUMMYFUNCTION("""COMPUTED_VALUE"""),"MAGNO")</f>
        <v>MAGNO</v>
      </c>
      <c r="E285" s="9" t="str">
        <f>IFERROR(__xludf.DUMMYFUNCTION("""COMPUTED_VALUE"""),"JANUS DELOS REYES")</f>
        <v>JANUS DELOS REYES</v>
      </c>
      <c r="F285" s="133"/>
      <c r="G285" s="13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60">
        <f t="shared" si="1"/>
        <v>280</v>
      </c>
      <c r="B286" s="9" t="str">
        <f>IFERROR(__xludf.DUMMYFUNCTION("""COMPUTED_VALUE"""),"MASBATE")</f>
        <v>MASBATE</v>
      </c>
      <c r="C286" s="9" t="str">
        <f>IFERROR(__xludf.DUMMYFUNCTION("""COMPUTED_VALUE"""),"ALEXY EUNICE ")</f>
        <v>ALEXY EUNICE </v>
      </c>
      <c r="D286" s="9"/>
      <c r="E286" s="9" t="str">
        <f>IFERROR(__xludf.DUMMYFUNCTION("""COMPUTED_VALUE"""),"JESUS MASBATE JR.")</f>
        <v>JESUS MASBATE JR.</v>
      </c>
      <c r="F286" s="133"/>
      <c r="G286" s="13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60">
        <f t="shared" si="1"/>
        <v>281</v>
      </c>
      <c r="B287" s="9" t="str">
        <f>IFERROR(__xludf.DUMMYFUNCTION("""COMPUTED_VALUE"""),"DE GUIA")</f>
        <v>DE GUIA</v>
      </c>
      <c r="C287" s="9" t="str">
        <f>IFERROR(__xludf.DUMMYFUNCTION("""COMPUTED_VALUE"""),"ALODIA FAITH")</f>
        <v>ALODIA FAITH</v>
      </c>
      <c r="D287" s="9" t="str">
        <f>IFERROR(__xludf.DUMMYFUNCTION("""COMPUTED_VALUE"""),"O.")</f>
        <v>O.</v>
      </c>
      <c r="E287" s="9" t="str">
        <f>IFERROR(__xludf.DUMMYFUNCTION("""COMPUTED_VALUE"""),"ROSEWELL DE GUIA ")</f>
        <v>ROSEWELL DE GUIA </v>
      </c>
      <c r="F287" s="133"/>
      <c r="G287" s="13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60">
        <f t="shared" si="1"/>
        <v>282</v>
      </c>
      <c r="B288" s="9" t="str">
        <f>IFERROR(__xludf.DUMMYFUNCTION("""COMPUTED_VALUE"""),"DE GUIA")</f>
        <v>DE GUIA</v>
      </c>
      <c r="C288" s="9" t="str">
        <f>IFERROR(__xludf.DUMMYFUNCTION("""COMPUTED_VALUE"""),"AUDREY")</f>
        <v>AUDREY</v>
      </c>
      <c r="D288" s="9" t="str">
        <f>IFERROR(__xludf.DUMMYFUNCTION("""COMPUTED_VALUE"""),"O.")</f>
        <v>O.</v>
      </c>
      <c r="E288" s="9" t="str">
        <f>IFERROR(__xludf.DUMMYFUNCTION("""COMPUTED_VALUE"""),"ROSEWELL DE GUIA ")</f>
        <v>ROSEWELL DE GUIA </v>
      </c>
      <c r="F288" s="133"/>
      <c r="G288" s="13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60">
        <f t="shared" si="1"/>
        <v>283</v>
      </c>
      <c r="B289" s="9" t="str">
        <f>IFERROR(__xludf.DUMMYFUNCTION("""COMPUTED_VALUE"""),"OCAMPO")</f>
        <v>OCAMPO</v>
      </c>
      <c r="C289" s="9" t="str">
        <f>IFERROR(__xludf.DUMMYFUNCTION("""COMPUTED_VALUE"""),"ADIAN CARLOS")</f>
        <v>ADIAN CARLOS</v>
      </c>
      <c r="D289" s="9"/>
      <c r="E289" s="9" t="str">
        <f>IFERROR(__xludf.DUMMYFUNCTION("""COMPUTED_VALUE"""),"ROSEWELL DE GUIA ")</f>
        <v>ROSEWELL DE GUIA </v>
      </c>
      <c r="F289" s="133"/>
      <c r="G289" s="13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60">
        <f t="shared" si="1"/>
        <v>284</v>
      </c>
      <c r="B290" s="9" t="str">
        <f>IFERROR(__xludf.DUMMYFUNCTION("""COMPUTED_VALUE"""),"SILVETRE")</f>
        <v>SILVETRE</v>
      </c>
      <c r="C290" s="9" t="str">
        <f>IFERROR(__xludf.DUMMYFUNCTION("""COMPUTED_VALUE"""),"JOHN RYAAN")</f>
        <v>JOHN RYAAN</v>
      </c>
      <c r="D290" s="9"/>
      <c r="E290" s="9" t="str">
        <f>IFERROR(__xludf.DUMMYFUNCTION("""COMPUTED_VALUE"""),"DELIA SILVESTRE")</f>
        <v>DELIA SILVESTRE</v>
      </c>
      <c r="F290" s="133"/>
      <c r="G290" s="13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60">
        <f t="shared" si="1"/>
        <v>285</v>
      </c>
      <c r="B291" s="9" t="str">
        <f>IFERROR(__xludf.DUMMYFUNCTION("""COMPUTED_VALUE"""),"ROBLES")</f>
        <v>ROBLES</v>
      </c>
      <c r="C291" s="9" t="str">
        <f>IFERROR(__xludf.DUMMYFUNCTION("""COMPUTED_VALUE"""),"RODYLYN")</f>
        <v>RODYLYN</v>
      </c>
      <c r="D291" s="9"/>
      <c r="E291" s="9" t="str">
        <f>IFERROR(__xludf.DUMMYFUNCTION("""COMPUTED_VALUE"""),"DELIA SILVESTRE")</f>
        <v>DELIA SILVESTRE</v>
      </c>
      <c r="F291" s="133"/>
      <c r="G291" s="13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60">
        <f t="shared" si="1"/>
        <v>286</v>
      </c>
      <c r="B292" s="9" t="str">
        <f>IFERROR(__xludf.DUMMYFUNCTION("""COMPUTED_VALUE"""),"SILVETRE")</f>
        <v>SILVETRE</v>
      </c>
      <c r="C292" s="9" t="str">
        <f>IFERROR(__xludf.DUMMYFUNCTION("""COMPUTED_VALUE"""),"XYRYLL YHUUKY")</f>
        <v>XYRYLL YHUUKY</v>
      </c>
      <c r="D292" s="9"/>
      <c r="E292" s="9" t="str">
        <f>IFERROR(__xludf.DUMMYFUNCTION("""COMPUTED_VALUE"""),"DELIA SILVESTRE")</f>
        <v>DELIA SILVESTRE</v>
      </c>
      <c r="F292" s="133"/>
      <c r="G292" s="13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60">
        <f t="shared" si="1"/>
        <v>287</v>
      </c>
      <c r="B293" s="9" t="str">
        <f>IFERROR(__xludf.DUMMYFUNCTION("""COMPUTED_VALUE"""),"SILVETRE")</f>
        <v>SILVETRE</v>
      </c>
      <c r="C293" s="9" t="str">
        <f>IFERROR(__xludf.DUMMYFUNCTION("""COMPUTED_VALUE"""),"XYLLO ZION")</f>
        <v>XYLLO ZION</v>
      </c>
      <c r="D293" s="9"/>
      <c r="E293" s="9" t="str">
        <f>IFERROR(__xludf.DUMMYFUNCTION("""COMPUTED_VALUE"""),"DELIA SILVESTRE")</f>
        <v>DELIA SILVESTRE</v>
      </c>
      <c r="F293" s="133"/>
      <c r="G293" s="13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60">
        <f t="shared" si="1"/>
        <v>288</v>
      </c>
      <c r="B294" s="9" t="str">
        <f>IFERROR(__xludf.DUMMYFUNCTION("""COMPUTED_VALUE"""),"OCAMPO")</f>
        <v>OCAMPO</v>
      </c>
      <c r="C294" s="9" t="str">
        <f>IFERROR(__xludf.DUMMYFUNCTION("""COMPUTED_VALUE"""),"JANPHIL")</f>
        <v>JANPHIL</v>
      </c>
      <c r="D294" s="9"/>
      <c r="E294" s="9" t="str">
        <f>IFERROR(__xludf.DUMMYFUNCTION("""COMPUTED_VALUE"""),"DARWIN R. OCAMPO")</f>
        <v>DARWIN R. OCAMPO</v>
      </c>
      <c r="F294" s="133"/>
      <c r="G294" s="13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60">
        <f t="shared" si="1"/>
        <v>289</v>
      </c>
      <c r="B295" s="9" t="str">
        <f>IFERROR(__xludf.DUMMYFUNCTION("""COMPUTED_VALUE"""),"SILVESTRE")</f>
        <v>SILVESTRE</v>
      </c>
      <c r="C295" s="9" t="str">
        <f>IFERROR(__xludf.DUMMYFUNCTION("""COMPUTED_VALUE"""),"JHANN KYLE ")</f>
        <v>JHANN KYLE </v>
      </c>
      <c r="D295" s="9" t="str">
        <f>IFERROR(__xludf.DUMMYFUNCTION("""COMPUTED_VALUE"""),"B.")</f>
        <v>B.</v>
      </c>
      <c r="E295" s="9" t="str">
        <f>IFERROR(__xludf.DUMMYFUNCTION("""COMPUTED_VALUE"""),"RICHARD B. SILVESTRE")</f>
        <v>RICHARD B. SILVESTRE</v>
      </c>
      <c r="F295" s="133"/>
      <c r="G295" s="13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60">
        <f t="shared" si="1"/>
        <v>290</v>
      </c>
      <c r="B296" s="9" t="str">
        <f>IFERROR(__xludf.DUMMYFUNCTION("""COMPUTED_VALUE"""),"SILVESTRE")</f>
        <v>SILVESTRE</v>
      </c>
      <c r="C296" s="9" t="str">
        <f>IFERROR(__xludf.DUMMYFUNCTION("""COMPUTED_VALUE"""),"ADION MARC")</f>
        <v>ADION MARC</v>
      </c>
      <c r="D296" s="9" t="str">
        <f>IFERROR(__xludf.DUMMYFUNCTION("""COMPUTED_VALUE"""),"B.")</f>
        <v>B.</v>
      </c>
      <c r="E296" s="9" t="str">
        <f>IFERROR(__xludf.DUMMYFUNCTION("""COMPUTED_VALUE"""),"RICHARD B. SILVESTRE")</f>
        <v>RICHARD B. SILVESTRE</v>
      </c>
      <c r="F296" s="133"/>
      <c r="G296" s="13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60">
        <f t="shared" si="1"/>
        <v>291</v>
      </c>
      <c r="B297" s="9" t="str">
        <f>IFERROR(__xludf.DUMMYFUNCTION("""COMPUTED_VALUE"""),"LABAJO")</f>
        <v>LABAJO</v>
      </c>
      <c r="C297" s="9" t="str">
        <f>IFERROR(__xludf.DUMMYFUNCTION("""COMPUTED_VALUE"""),"ALESSANDRA JOYCE")</f>
        <v>ALESSANDRA JOYCE</v>
      </c>
      <c r="D297" s="9"/>
      <c r="E297" s="9" t="str">
        <f>IFERROR(__xludf.DUMMYFUNCTION("""COMPUTED_VALUE"""),"JOY SILVESTRE")</f>
        <v>JOY SILVESTRE</v>
      </c>
      <c r="F297" s="133"/>
      <c r="G297" s="13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60">
        <f t="shared" si="1"/>
        <v>292</v>
      </c>
      <c r="B298" s="9" t="str">
        <f>IFERROR(__xludf.DUMMYFUNCTION("""COMPUTED_VALUE"""),"LABAJO")</f>
        <v>LABAJO</v>
      </c>
      <c r="C298" s="9" t="str">
        <f>IFERROR(__xludf.DUMMYFUNCTION("""COMPUTED_VALUE"""),"SOPHIA VICTORIA")</f>
        <v>SOPHIA VICTORIA</v>
      </c>
      <c r="D298" s="9"/>
      <c r="E298" s="9" t="str">
        <f>IFERROR(__xludf.DUMMYFUNCTION("""COMPUTED_VALUE"""),"JOY SILVESTRE")</f>
        <v>JOY SILVESTRE</v>
      </c>
      <c r="F298" s="133"/>
      <c r="G298" s="13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60">
        <f t="shared" si="1"/>
        <v>293</v>
      </c>
      <c r="B299" s="9" t="str">
        <f>IFERROR(__xludf.DUMMYFUNCTION("""COMPUTED_VALUE"""),"VALDEZ")</f>
        <v>VALDEZ</v>
      </c>
      <c r="C299" s="9" t="str">
        <f>IFERROR(__xludf.DUMMYFUNCTION("""COMPUTED_VALUE"""),"VON RYAN")</f>
        <v>VON RYAN</v>
      </c>
      <c r="D299" s="9"/>
      <c r="E299" s="9" t="str">
        <f>IFERROR(__xludf.DUMMYFUNCTION("""COMPUTED_VALUE"""),"MARLON VALDEZ")</f>
        <v>MARLON VALDEZ</v>
      </c>
      <c r="F299" s="133"/>
      <c r="G299" s="13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60">
        <f t="shared" si="1"/>
        <v>294</v>
      </c>
      <c r="B300" s="9" t="str">
        <f>IFERROR(__xludf.DUMMYFUNCTION("""COMPUTED_VALUE"""),"PASQUAL")</f>
        <v>PASQUAL</v>
      </c>
      <c r="C300" s="9" t="str">
        <f>IFERROR(__xludf.DUMMYFUNCTION("""COMPUTED_VALUE"""),"ALEXANDER")</f>
        <v>ALEXANDER</v>
      </c>
      <c r="D300" s="9" t="str">
        <f>IFERROR(__xludf.DUMMYFUNCTION("""COMPUTED_VALUE"""),"V.")</f>
        <v>V.</v>
      </c>
      <c r="E300" s="9" t="str">
        <f>IFERROR(__xludf.DUMMYFUNCTION("""COMPUTED_VALUE"""),"ARISTOTLE M. PASCUAL")</f>
        <v>ARISTOTLE M. PASCUAL</v>
      </c>
      <c r="F300" s="133"/>
      <c r="G300" s="13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60">
        <f t="shared" si="1"/>
        <v>295</v>
      </c>
      <c r="B301" s="9" t="str">
        <f>IFERROR(__xludf.DUMMYFUNCTION("""COMPUTED_VALUE"""),"PASQUAL")</f>
        <v>PASQUAL</v>
      </c>
      <c r="C301" s="9" t="str">
        <f>IFERROR(__xludf.DUMMYFUNCTION("""COMPUTED_VALUE"""),"JAN MARKO")</f>
        <v>JAN MARKO</v>
      </c>
      <c r="D301" s="9" t="str">
        <f>IFERROR(__xludf.DUMMYFUNCTION("""COMPUTED_VALUE"""),"V.")</f>
        <v>V.</v>
      </c>
      <c r="E301" s="9" t="str">
        <f>IFERROR(__xludf.DUMMYFUNCTION("""COMPUTED_VALUE"""),"ARISTOTLE M. PASCUAL")</f>
        <v>ARISTOTLE M. PASCUAL</v>
      </c>
      <c r="F301" s="133"/>
      <c r="G301" s="13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60">
        <f t="shared" si="1"/>
        <v>296</v>
      </c>
      <c r="B302" s="9" t="str">
        <f>IFERROR(__xludf.DUMMYFUNCTION("""COMPUTED_VALUE"""),"PANUELOS")</f>
        <v>PANUELOS</v>
      </c>
      <c r="C302" s="9" t="str">
        <f>IFERROR(__xludf.DUMMYFUNCTION("""COMPUTED_VALUE"""),"JUVELA SHANE")</f>
        <v>JUVELA SHANE</v>
      </c>
      <c r="D302" s="9"/>
      <c r="E302" s="9" t="str">
        <f>IFERROR(__xludf.DUMMYFUNCTION("""COMPUTED_VALUE"""),"JEFFREY PANUELOS")</f>
        <v>JEFFREY PANUELOS</v>
      </c>
      <c r="F302" s="133"/>
      <c r="G302" s="13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60">
        <f t="shared" si="1"/>
        <v>297</v>
      </c>
      <c r="B303" s="9" t="str">
        <f>IFERROR(__xludf.DUMMYFUNCTION("""COMPUTED_VALUE"""),"PANUELOS")</f>
        <v>PANUELOS</v>
      </c>
      <c r="C303" s="9" t="str">
        <f>IFERROR(__xludf.DUMMYFUNCTION("""COMPUTED_VALUE"""),"JANEA LORAINE")</f>
        <v>JANEA LORAINE</v>
      </c>
      <c r="D303" s="9"/>
      <c r="E303" s="9" t="str">
        <f>IFERROR(__xludf.DUMMYFUNCTION("""COMPUTED_VALUE"""),"JEFFREY PANUELOS")</f>
        <v>JEFFREY PANUELOS</v>
      </c>
      <c r="F303" s="133"/>
      <c r="G303" s="13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60">
        <f t="shared" si="1"/>
        <v>298</v>
      </c>
      <c r="B304" s="9" t="str">
        <f>IFERROR(__xludf.DUMMYFUNCTION("""COMPUTED_VALUE"""),"PANUELOS")</f>
        <v>PANUELOS</v>
      </c>
      <c r="C304" s="9" t="str">
        <f>IFERROR(__xludf.DUMMYFUNCTION("""COMPUTED_VALUE"""),"JIRA LIANNA")</f>
        <v>JIRA LIANNA</v>
      </c>
      <c r="D304" s="9"/>
      <c r="E304" s="9" t="str">
        <f>IFERROR(__xludf.DUMMYFUNCTION("""COMPUTED_VALUE"""),"JEFFREY PANUELOS")</f>
        <v>JEFFREY PANUELOS</v>
      </c>
      <c r="F304" s="133"/>
      <c r="G304" s="13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60">
        <f t="shared" si="1"/>
        <v>299</v>
      </c>
      <c r="B305" s="9" t="str">
        <f>IFERROR(__xludf.DUMMYFUNCTION("""COMPUTED_VALUE"""),"PASCUAL")</f>
        <v>PASCUAL</v>
      </c>
      <c r="C305" s="9" t="str">
        <f>IFERROR(__xludf.DUMMYFUNCTION("""COMPUTED_VALUE"""),"ELGINE")</f>
        <v>ELGINE</v>
      </c>
      <c r="D305" s="9"/>
      <c r="E305" s="9" t="str">
        <f>IFERROR(__xludf.DUMMYFUNCTION("""COMPUTED_VALUE"""),"EMMANUEL PASCUAL")</f>
        <v>EMMANUEL PASCUAL</v>
      </c>
      <c r="F305" s="133"/>
      <c r="G305" s="13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60">
        <f t="shared" si="1"/>
        <v>300</v>
      </c>
      <c r="B306" s="9" t="str">
        <f>IFERROR(__xludf.DUMMYFUNCTION("""COMPUTED_VALUE"""),"PASCUAL")</f>
        <v>PASCUAL</v>
      </c>
      <c r="C306" s="9" t="str">
        <f>IFERROR(__xludf.DUMMYFUNCTION("""COMPUTED_VALUE"""),"MARIEL")</f>
        <v>MARIEL</v>
      </c>
      <c r="D306" s="9"/>
      <c r="E306" s="9" t="str">
        <f>IFERROR(__xludf.DUMMYFUNCTION("""COMPUTED_VALUE"""),"EMMANUEL PASCUAL")</f>
        <v>EMMANUEL PASCUAL</v>
      </c>
      <c r="F306" s="133"/>
      <c r="G306" s="13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60">
        <f t="shared" si="1"/>
        <v>301</v>
      </c>
      <c r="B307" s="9" t="str">
        <f>IFERROR(__xludf.DUMMYFUNCTION("""COMPUTED_VALUE"""),"IGASAN")</f>
        <v>IGASAN</v>
      </c>
      <c r="C307" s="9" t="str">
        <f>IFERROR(__xludf.DUMMYFUNCTION("""COMPUTED_VALUE"""),"JESSALYN")</f>
        <v>JESSALYN</v>
      </c>
      <c r="D307" s="9" t="str">
        <f>IFERROR(__xludf.DUMMYFUNCTION("""COMPUTED_VALUE"""),"J.")</f>
        <v>J.</v>
      </c>
      <c r="E307" s="9" t="str">
        <f>IFERROR(__xludf.DUMMYFUNCTION("""COMPUTED_VALUE"""),"JAIME BELTRAN JARIN")</f>
        <v>JAIME BELTRAN JARIN</v>
      </c>
      <c r="F307" s="133"/>
      <c r="G307" s="13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60">
        <f t="shared" si="1"/>
        <v>302</v>
      </c>
      <c r="B308" s="9" t="str">
        <f>IFERROR(__xludf.DUMMYFUNCTION("""COMPUTED_VALUE"""),"NAGAC")</f>
        <v>NAGAC</v>
      </c>
      <c r="C308" s="9" t="str">
        <f>IFERROR(__xludf.DUMMYFUNCTION("""COMPUTED_VALUE"""),"JONNALYN ")</f>
        <v>JONNALYN </v>
      </c>
      <c r="D308" s="9" t="str">
        <f>IFERROR(__xludf.DUMMYFUNCTION("""COMPUTED_VALUE"""),"J.")</f>
        <v>J.</v>
      </c>
      <c r="E308" s="9" t="str">
        <f>IFERROR(__xludf.DUMMYFUNCTION("""COMPUTED_VALUE"""),"JAIME BELTRAN JARIN")</f>
        <v>JAIME BELTRAN JARIN</v>
      </c>
      <c r="F308" s="133"/>
      <c r="G308" s="13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60">
        <f t="shared" si="1"/>
        <v>303</v>
      </c>
      <c r="B309" s="9" t="str">
        <f>IFERROR(__xludf.DUMMYFUNCTION("""COMPUTED_VALUE"""),"PASCUAL")</f>
        <v>PASCUAL</v>
      </c>
      <c r="C309" s="9" t="str">
        <f>IFERROR(__xludf.DUMMYFUNCTION("""COMPUTED_VALUE"""),"JERICCO")</f>
        <v>JERICCO</v>
      </c>
      <c r="D309" s="9"/>
      <c r="E309" s="9" t="str">
        <f>IFERROR(__xludf.DUMMYFUNCTION("""COMPUTED_VALUE"""),"ALMER M. PASCUAL")</f>
        <v>ALMER M. PASCUAL</v>
      </c>
      <c r="F309" s="133"/>
      <c r="G309" s="13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60">
        <f t="shared" si="1"/>
        <v>304</v>
      </c>
      <c r="B310" s="9" t="str">
        <f>IFERROR(__xludf.DUMMYFUNCTION("""COMPUTED_VALUE"""),"PASCUAL")</f>
        <v>PASCUAL</v>
      </c>
      <c r="C310" s="9" t="str">
        <f>IFERROR(__xludf.DUMMYFUNCTION("""COMPUTED_VALUE"""),"JOANAMAE")</f>
        <v>JOANAMAE</v>
      </c>
      <c r="D310" s="9"/>
      <c r="E310" s="9" t="str">
        <f>IFERROR(__xludf.DUMMYFUNCTION("""COMPUTED_VALUE"""),"ALMER M. PASCUAL")</f>
        <v>ALMER M. PASCUAL</v>
      </c>
      <c r="F310" s="133"/>
      <c r="G310" s="13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60">
        <f t="shared" si="1"/>
        <v>305</v>
      </c>
      <c r="B311" s="9" t="str">
        <f>IFERROR(__xludf.DUMMYFUNCTION("""COMPUTED_VALUE"""),"PASCUAL")</f>
        <v>PASCUAL</v>
      </c>
      <c r="C311" s="9" t="str">
        <f>IFERROR(__xludf.DUMMYFUNCTION("""COMPUTED_VALUE"""),"JOHANA")</f>
        <v>JOHANA</v>
      </c>
      <c r="D311" s="9"/>
      <c r="E311" s="9" t="str">
        <f>IFERROR(__xludf.DUMMYFUNCTION("""COMPUTED_VALUE"""),"ALMER M. PASCUAL")</f>
        <v>ALMER M. PASCUAL</v>
      </c>
      <c r="F311" s="133"/>
      <c r="G311" s="13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60">
        <f t="shared" si="1"/>
        <v>306</v>
      </c>
      <c r="B312" s="9" t="str">
        <f>IFERROR(__xludf.DUMMYFUNCTION("""COMPUTED_VALUE"""),"PASCUAL")</f>
        <v>PASCUAL</v>
      </c>
      <c r="C312" s="9" t="str">
        <f>IFERROR(__xludf.DUMMYFUNCTION("""COMPUTED_VALUE"""),"ELMIRA")</f>
        <v>ELMIRA</v>
      </c>
      <c r="D312" s="9"/>
      <c r="E312" s="9" t="str">
        <f>IFERROR(__xludf.DUMMYFUNCTION("""COMPUTED_VALUE"""),"ALMER M. PASCUAL")</f>
        <v>ALMER M. PASCUAL</v>
      </c>
      <c r="F312" s="133"/>
      <c r="G312" s="13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60">
        <f t="shared" si="1"/>
        <v>307</v>
      </c>
      <c r="B313" s="9" t="str">
        <f>IFERROR(__xludf.DUMMYFUNCTION("""COMPUTED_VALUE"""),"CHAVEZ")</f>
        <v>CHAVEZ</v>
      </c>
      <c r="C313" s="9" t="str">
        <f>IFERROR(__xludf.DUMMYFUNCTION("""COMPUTED_VALUE"""),"ANGELICA")</f>
        <v>ANGELICA</v>
      </c>
      <c r="D313" s="9" t="str">
        <f>IFERROR(__xludf.DUMMYFUNCTION("""COMPUTED_VALUE"""),"L.")</f>
        <v>L.</v>
      </c>
      <c r="E313" s="9" t="str">
        <f>IFERROR(__xludf.DUMMYFUNCTION("""COMPUTED_VALUE"""),"LED G. CHAVEZ")</f>
        <v>LED G. CHAVEZ</v>
      </c>
      <c r="F313" s="133"/>
      <c r="G313" s="13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60">
        <f t="shared" si="1"/>
        <v>308</v>
      </c>
      <c r="B314" s="9" t="str">
        <f>IFERROR(__xludf.DUMMYFUNCTION("""COMPUTED_VALUE"""),"CHAVEZ")</f>
        <v>CHAVEZ</v>
      </c>
      <c r="C314" s="9" t="str">
        <f>IFERROR(__xludf.DUMMYFUNCTION("""COMPUTED_VALUE"""),"SARAH JOI")</f>
        <v>SARAH JOI</v>
      </c>
      <c r="D314" s="9" t="str">
        <f>IFERROR(__xludf.DUMMYFUNCTION("""COMPUTED_VALUE"""),"L.")</f>
        <v>L.</v>
      </c>
      <c r="E314" s="9" t="str">
        <f>IFERROR(__xludf.DUMMYFUNCTION("""COMPUTED_VALUE"""),"LED G. CHAVEZ")</f>
        <v>LED G. CHAVEZ</v>
      </c>
      <c r="F314" s="133"/>
      <c r="G314" s="13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60">
        <f t="shared" si="1"/>
        <v>309</v>
      </c>
      <c r="B315" s="9" t="str">
        <f>IFERROR(__xludf.DUMMYFUNCTION("""COMPUTED_VALUE"""),"CHAVEZ")</f>
        <v>CHAVEZ</v>
      </c>
      <c r="C315" s="9" t="str">
        <f>IFERROR(__xludf.DUMMYFUNCTION("""COMPUTED_VALUE"""),"QUEEN SCARLET ")</f>
        <v>QUEEN SCARLET </v>
      </c>
      <c r="D315" s="9" t="str">
        <f>IFERROR(__xludf.DUMMYFUNCTION("""COMPUTED_VALUE"""),"B.")</f>
        <v>B.</v>
      </c>
      <c r="E315" s="9" t="str">
        <f>IFERROR(__xludf.DUMMYFUNCTION("""COMPUTED_VALUE"""),"JULIEN PAUL  L. CHAVEZ")</f>
        <v>JULIEN PAUL  L. CHAVEZ</v>
      </c>
      <c r="F315" s="133"/>
      <c r="G315" s="13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60">
        <f t="shared" si="1"/>
        <v>310</v>
      </c>
      <c r="B316" s="9" t="str">
        <f>IFERROR(__xludf.DUMMYFUNCTION("""COMPUTED_VALUE"""),"PERALES")</f>
        <v>PERALES</v>
      </c>
      <c r="C316" s="9" t="str">
        <f>IFERROR(__xludf.DUMMYFUNCTION("""COMPUTED_VALUE"""),"JOHN CEDRIC")</f>
        <v>JOHN CEDRIC</v>
      </c>
      <c r="D316" s="9"/>
      <c r="E316" s="9" t="str">
        <f>IFERROR(__xludf.DUMMYFUNCTION("""COMPUTED_VALUE"""),"MA. CRISTINA M. PERALES ")</f>
        <v>MA. CRISTINA M. PERALES </v>
      </c>
      <c r="F316" s="133"/>
      <c r="G316" s="13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60">
        <f t="shared" si="1"/>
        <v>311</v>
      </c>
      <c r="B317" s="9" t="str">
        <f>IFERROR(__xludf.DUMMYFUNCTION("""COMPUTED_VALUE"""),"RODIL")</f>
        <v>RODIL</v>
      </c>
      <c r="C317" s="9" t="str">
        <f>IFERROR(__xludf.DUMMYFUNCTION("""COMPUTED_VALUE"""),"NASH NATHANIEL")</f>
        <v>NASH NATHANIEL</v>
      </c>
      <c r="D317" s="9" t="str">
        <f>IFERROR(__xludf.DUMMYFUNCTION("""COMPUTED_VALUE"""),"P.")</f>
        <v>P.</v>
      </c>
      <c r="E317" s="9" t="str">
        <f>IFERROR(__xludf.DUMMYFUNCTION("""COMPUTED_VALUE"""),"MA. CRISTINA M. PERALES ")</f>
        <v>MA. CRISTINA M. PERALES </v>
      </c>
      <c r="F317" s="133"/>
      <c r="G317" s="13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60">
        <f t="shared" si="1"/>
        <v>312</v>
      </c>
      <c r="B318" s="9" t="str">
        <f>IFERROR(__xludf.DUMMYFUNCTION("""COMPUTED_VALUE"""),"PERALES")</f>
        <v>PERALES</v>
      </c>
      <c r="C318" s="9" t="str">
        <f>IFERROR(__xludf.DUMMYFUNCTION("""COMPUTED_VALUE"""),"CHRISTENSEN")</f>
        <v>CHRISTENSEN</v>
      </c>
      <c r="D318" s="9" t="str">
        <f>IFERROR(__xludf.DUMMYFUNCTION("""COMPUTED_VALUE"""),"M.")</f>
        <v>M.</v>
      </c>
      <c r="E318" s="9" t="str">
        <f>IFERROR(__xludf.DUMMYFUNCTION("""COMPUTED_VALUE"""),"MA. CRISTINA M. PERALES ")</f>
        <v>MA. CRISTINA M. PERALES </v>
      </c>
      <c r="F318" s="133"/>
      <c r="G318" s="13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60">
        <f t="shared" si="1"/>
        <v>313</v>
      </c>
      <c r="B319" s="9" t="str">
        <f>IFERROR(__xludf.DUMMYFUNCTION("""COMPUTED_VALUE"""),"MALAIT")</f>
        <v>MALAIT</v>
      </c>
      <c r="C319" s="9" t="str">
        <f>IFERROR(__xludf.DUMMYFUNCTION("""COMPUTED_VALUE"""),"VLADIMIR")</f>
        <v>VLADIMIR</v>
      </c>
      <c r="D319" s="9"/>
      <c r="E319" s="9" t="str">
        <f>IFERROR(__xludf.DUMMYFUNCTION("""COMPUTED_VALUE"""),"BRANDO MALAIT")</f>
        <v>BRANDO MALAIT</v>
      </c>
      <c r="F319" s="133"/>
      <c r="G319" s="13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60">
        <f t="shared" si="1"/>
        <v>314</v>
      </c>
      <c r="B320" s="9" t="str">
        <f>IFERROR(__xludf.DUMMYFUNCTION("""COMPUTED_VALUE"""),"MALAIT")</f>
        <v>MALAIT</v>
      </c>
      <c r="C320" s="9" t="str">
        <f>IFERROR(__xludf.DUMMYFUNCTION("""COMPUTED_VALUE"""),"TYRON POWER")</f>
        <v>TYRON POWER</v>
      </c>
      <c r="D320" s="9"/>
      <c r="E320" s="9" t="str">
        <f>IFERROR(__xludf.DUMMYFUNCTION("""COMPUTED_VALUE"""),"BRANDO MALAIT")</f>
        <v>BRANDO MALAIT</v>
      </c>
      <c r="F320" s="133"/>
      <c r="G320" s="13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60">
        <f t="shared" si="1"/>
        <v>315</v>
      </c>
      <c r="B321" s="9" t="str">
        <f>IFERROR(__xludf.DUMMYFUNCTION("""COMPUTED_VALUE"""),"VALDEZ")</f>
        <v>VALDEZ</v>
      </c>
      <c r="C321" s="9" t="str">
        <f>IFERROR(__xludf.DUMMYFUNCTION("""COMPUTED_VALUE"""),"JARED")</f>
        <v>JARED</v>
      </c>
      <c r="D321" s="9"/>
      <c r="E321" s="9" t="str">
        <f>IFERROR(__xludf.DUMMYFUNCTION("""COMPUTED_VALUE"""),"BISMARC C. MALAIT")</f>
        <v>BISMARC C. MALAIT</v>
      </c>
      <c r="F321" s="133"/>
      <c r="G321" s="13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60">
        <f t="shared" si="1"/>
        <v>316</v>
      </c>
      <c r="B322" s="9" t="str">
        <f>IFERROR(__xludf.DUMMYFUNCTION("""COMPUTED_VALUE"""),"MALAIT")</f>
        <v>MALAIT</v>
      </c>
      <c r="C322" s="9" t="str">
        <f>IFERROR(__xludf.DUMMYFUNCTION("""COMPUTED_VALUE"""),"SAVANNAH ")</f>
        <v>SAVANNAH </v>
      </c>
      <c r="D322" s="9" t="str">
        <f>IFERROR(__xludf.DUMMYFUNCTION("""COMPUTED_VALUE"""),"V.")</f>
        <v>V.</v>
      </c>
      <c r="E322" s="9" t="str">
        <f>IFERROR(__xludf.DUMMYFUNCTION("""COMPUTED_VALUE"""),"BISMARC C. MALAIT")</f>
        <v>BISMARC C. MALAIT</v>
      </c>
      <c r="F322" s="133"/>
      <c r="G322" s="13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60">
        <f t="shared" si="1"/>
        <v>317</v>
      </c>
      <c r="B323" s="9" t="str">
        <f>IFERROR(__xludf.DUMMYFUNCTION("""COMPUTED_VALUE"""),"NACASABUG")</f>
        <v>NACASABUG</v>
      </c>
      <c r="C323" s="9" t="str">
        <f>IFERROR(__xludf.DUMMYFUNCTION("""COMPUTED_VALUE"""),"SHAIRA")</f>
        <v>SHAIRA</v>
      </c>
      <c r="D323" s="9" t="str">
        <f>IFERROR(__xludf.DUMMYFUNCTION("""COMPUTED_VALUE"""),"C.")</f>
        <v>C.</v>
      </c>
      <c r="E323" s="9" t="str">
        <f>IFERROR(__xludf.DUMMYFUNCTION("""COMPUTED_VALUE"""),"YOLANDA C. NACASABUG")</f>
        <v>YOLANDA C. NACASABUG</v>
      </c>
      <c r="F323" s="133"/>
      <c r="G323" s="13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60">
        <f t="shared" si="1"/>
        <v>318</v>
      </c>
      <c r="B324" s="9" t="str">
        <f>IFERROR(__xludf.DUMMYFUNCTION("""COMPUTED_VALUE"""),"NACASABUG")</f>
        <v>NACASABUG</v>
      </c>
      <c r="C324" s="9" t="str">
        <f>IFERROR(__xludf.DUMMYFUNCTION("""COMPUTED_VALUE"""),"DIANA")</f>
        <v>DIANA</v>
      </c>
      <c r="D324" s="9" t="str">
        <f>IFERROR(__xludf.DUMMYFUNCTION("""COMPUTED_VALUE"""),"C.")</f>
        <v>C.</v>
      </c>
      <c r="E324" s="9" t="str">
        <f>IFERROR(__xludf.DUMMYFUNCTION("""COMPUTED_VALUE"""),"YOLANDA C. NACASABUG")</f>
        <v>YOLANDA C. NACASABUG</v>
      </c>
      <c r="F324" s="133"/>
      <c r="G324" s="13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60">
        <f t="shared" si="1"/>
        <v>319</v>
      </c>
      <c r="B325" s="9" t="str">
        <f>IFERROR(__xludf.DUMMYFUNCTION("""COMPUTED_VALUE"""),"NACASABUG")</f>
        <v>NACASABUG</v>
      </c>
      <c r="C325" s="9" t="str">
        <f>IFERROR(__xludf.DUMMYFUNCTION("""COMPUTED_VALUE"""),"BELINDA")</f>
        <v>BELINDA</v>
      </c>
      <c r="D325" s="9" t="str">
        <f>IFERROR(__xludf.DUMMYFUNCTION("""COMPUTED_VALUE"""),"C.")</f>
        <v>C.</v>
      </c>
      <c r="E325" s="9" t="str">
        <f>IFERROR(__xludf.DUMMYFUNCTION("""COMPUTED_VALUE"""),"YOLANDA C. NACASABUG")</f>
        <v>YOLANDA C. NACASABUG</v>
      </c>
      <c r="F325" s="133"/>
      <c r="G325" s="13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60">
        <f t="shared" si="1"/>
        <v>320</v>
      </c>
      <c r="B326" s="9" t="str">
        <f>IFERROR(__xludf.DUMMYFUNCTION("""COMPUTED_VALUE"""),"NACASABUG")</f>
        <v>NACASABUG</v>
      </c>
      <c r="C326" s="9" t="str">
        <f>IFERROR(__xludf.DUMMYFUNCTION("""COMPUTED_VALUE"""),"ANGELA")</f>
        <v>ANGELA</v>
      </c>
      <c r="D326" s="9" t="str">
        <f>IFERROR(__xludf.DUMMYFUNCTION("""COMPUTED_VALUE"""),"C.")</f>
        <v>C.</v>
      </c>
      <c r="E326" s="9" t="str">
        <f>IFERROR(__xludf.DUMMYFUNCTION("""COMPUTED_VALUE"""),"YOLANDA C. NACASABUG")</f>
        <v>YOLANDA C. NACASABUG</v>
      </c>
      <c r="F326" s="133"/>
      <c r="G326" s="13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60">
        <f t="shared" si="1"/>
        <v>321</v>
      </c>
      <c r="B327" s="9" t="str">
        <f>IFERROR(__xludf.DUMMYFUNCTION("""COMPUTED_VALUE"""),"NACASABUG")</f>
        <v>NACASABUG</v>
      </c>
      <c r="C327" s="9" t="str">
        <f>IFERROR(__xludf.DUMMYFUNCTION("""COMPUTED_VALUE"""),"BEN")</f>
        <v>BEN</v>
      </c>
      <c r="D327" s="9" t="str">
        <f>IFERROR(__xludf.DUMMYFUNCTION("""COMPUTED_VALUE"""),"C. JR.")</f>
        <v>C. JR.</v>
      </c>
      <c r="E327" s="9" t="str">
        <f>IFERROR(__xludf.DUMMYFUNCTION("""COMPUTED_VALUE"""),"YOLANDA C. NACASABUG")</f>
        <v>YOLANDA C. NACASABUG</v>
      </c>
      <c r="F327" s="133"/>
      <c r="G327" s="13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60">
        <f t="shared" si="1"/>
        <v>322</v>
      </c>
      <c r="B328" s="9" t="str">
        <f>IFERROR(__xludf.DUMMYFUNCTION("""COMPUTED_VALUE"""),"SORIANO ")</f>
        <v>SORIANO </v>
      </c>
      <c r="C328" s="9" t="str">
        <f>IFERROR(__xludf.DUMMYFUNCTION("""COMPUTED_VALUE"""),"NICOLE ANDREI ")</f>
        <v>NICOLE ANDREI </v>
      </c>
      <c r="D328" s="9" t="str">
        <f>IFERROR(__xludf.DUMMYFUNCTION("""COMPUTED_VALUE"""),"N.")</f>
        <v>N.</v>
      </c>
      <c r="E328" s="9" t="str">
        <f>IFERROR(__xludf.DUMMYFUNCTION("""COMPUTED_VALUE"""),"ANGELA C. NACASABUG")</f>
        <v>ANGELA C. NACASABUG</v>
      </c>
      <c r="F328" s="133"/>
      <c r="G328" s="13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60">
        <f t="shared" si="1"/>
        <v>323</v>
      </c>
      <c r="B329" s="9" t="str">
        <f>IFERROR(__xludf.DUMMYFUNCTION("""COMPUTED_VALUE"""),"SEGUNDO")</f>
        <v>SEGUNDO</v>
      </c>
      <c r="C329" s="9" t="str">
        <f>IFERROR(__xludf.DUMMYFUNCTION("""COMPUTED_VALUE"""),"MERIAM")</f>
        <v>MERIAM</v>
      </c>
      <c r="D329" s="9"/>
      <c r="E329" s="9" t="str">
        <f>IFERROR(__xludf.DUMMYFUNCTION("""COMPUTED_VALUE"""),"FORTUNATO SEGUNDO")</f>
        <v>FORTUNATO SEGUNDO</v>
      </c>
      <c r="F329" s="133"/>
      <c r="G329" s="13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60">
        <f t="shared" si="1"/>
        <v>324</v>
      </c>
      <c r="B330" s="9" t="str">
        <f>IFERROR(__xludf.DUMMYFUNCTION("""COMPUTED_VALUE"""),"SEGUNDO")</f>
        <v>SEGUNDO</v>
      </c>
      <c r="C330" s="9" t="str">
        <f>IFERROR(__xludf.DUMMYFUNCTION("""COMPUTED_VALUE"""),"DINESSE")</f>
        <v>DINESSE</v>
      </c>
      <c r="D330" s="9" t="str">
        <f>IFERROR(__xludf.DUMMYFUNCTION("""COMPUTED_VALUE"""),"S.")</f>
        <v>S.</v>
      </c>
      <c r="E330" s="9" t="str">
        <f>IFERROR(__xludf.DUMMYFUNCTION("""COMPUTED_VALUE"""),"FRANCIS SEGUNDO")</f>
        <v>FRANCIS SEGUNDO</v>
      </c>
      <c r="F330" s="133"/>
      <c r="G330" s="13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60">
        <f t="shared" si="1"/>
        <v>325</v>
      </c>
      <c r="B331" s="9" t="str">
        <f>IFERROR(__xludf.DUMMYFUNCTION("""COMPUTED_VALUE"""),"SEGUNDO")</f>
        <v>SEGUNDO</v>
      </c>
      <c r="C331" s="9" t="str">
        <f>IFERROR(__xludf.DUMMYFUNCTION("""COMPUTED_VALUE"""),"FRANZ DARREL")</f>
        <v>FRANZ DARREL</v>
      </c>
      <c r="D331" s="9" t="str">
        <f>IFERROR(__xludf.DUMMYFUNCTION("""COMPUTED_VALUE"""),"S.")</f>
        <v>S.</v>
      </c>
      <c r="E331" s="9" t="str">
        <f>IFERROR(__xludf.DUMMYFUNCTION("""COMPUTED_VALUE"""),"FRANCIS SEGUNDO")</f>
        <v>FRANCIS SEGUNDO</v>
      </c>
      <c r="F331" s="133"/>
      <c r="G331" s="13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60">
        <f t="shared" si="1"/>
        <v>326</v>
      </c>
      <c r="B332" s="9" t="str">
        <f>IFERROR(__xludf.DUMMYFUNCTION("""COMPUTED_VALUE"""),"SEGUNDO")</f>
        <v>SEGUNDO</v>
      </c>
      <c r="C332" s="9" t="str">
        <f>IFERROR(__xludf.DUMMYFUNCTION("""COMPUTED_VALUE"""),"FRANCINE  DHANE")</f>
        <v>FRANCINE  DHANE</v>
      </c>
      <c r="D332" s="9" t="str">
        <f>IFERROR(__xludf.DUMMYFUNCTION("""COMPUTED_VALUE"""),"S.")</f>
        <v>S.</v>
      </c>
      <c r="E332" s="9" t="str">
        <f>IFERROR(__xludf.DUMMYFUNCTION("""COMPUTED_VALUE"""),"CHRISTIAN SEGUNDO")</f>
        <v>CHRISTIAN SEGUNDO</v>
      </c>
      <c r="F332" s="133"/>
      <c r="G332" s="13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60">
        <f t="shared" si="1"/>
        <v>327</v>
      </c>
      <c r="B333" s="9" t="str">
        <f>IFERROR(__xludf.DUMMYFUNCTION("""COMPUTED_VALUE"""),"SEGUNDO")</f>
        <v>SEGUNDO</v>
      </c>
      <c r="C333" s="9" t="str">
        <f>IFERROR(__xludf.DUMMYFUNCTION("""COMPUTED_VALUE"""),"CHRYZHER JHET ")</f>
        <v>CHRYZHER JHET </v>
      </c>
      <c r="D333" s="9" t="str">
        <f>IFERROR(__xludf.DUMMYFUNCTION("""COMPUTED_VALUE"""),"F.")</f>
        <v>F.</v>
      </c>
      <c r="E333" s="9" t="str">
        <f>IFERROR(__xludf.DUMMYFUNCTION("""COMPUTED_VALUE"""),"CHRISTIAN SEGUNDO")</f>
        <v>CHRISTIAN SEGUNDO</v>
      </c>
      <c r="F333" s="133"/>
      <c r="G333" s="13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60">
        <f t="shared" si="1"/>
        <v>328</v>
      </c>
      <c r="B334" s="9" t="str">
        <f>IFERROR(__xludf.DUMMYFUNCTION("""COMPUTED_VALUE"""),"SEGUNDO")</f>
        <v>SEGUNDO</v>
      </c>
      <c r="C334" s="9" t="str">
        <f>IFERROR(__xludf.DUMMYFUNCTION("""COMPUTED_VALUE"""),"CRIZHIAN JHOST")</f>
        <v>CRIZHIAN JHOST</v>
      </c>
      <c r="D334" s="9" t="str">
        <f>IFERROR(__xludf.DUMMYFUNCTION("""COMPUTED_VALUE"""),"F.")</f>
        <v>F.</v>
      </c>
      <c r="E334" s="9" t="str">
        <f>IFERROR(__xludf.DUMMYFUNCTION("""COMPUTED_VALUE"""),"CHRISTIAN SEGUNDO")</f>
        <v>CHRISTIAN SEGUNDO</v>
      </c>
      <c r="F334" s="133"/>
      <c r="G334" s="13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60">
        <f t="shared" si="1"/>
        <v>329</v>
      </c>
      <c r="B335" s="9" t="str">
        <f>IFERROR(__xludf.DUMMYFUNCTION("""COMPUTED_VALUE"""),"NACASABUG")</f>
        <v>NACASABUG</v>
      </c>
      <c r="C335" s="9" t="str">
        <f>IFERROR(__xludf.DUMMYFUNCTION("""COMPUTED_VALUE"""),"NATHAN ")</f>
        <v>NATHAN </v>
      </c>
      <c r="D335" s="9" t="str">
        <f>IFERROR(__xludf.DUMMYFUNCTION("""COMPUTED_VALUE"""),"C.")</f>
        <v>C.</v>
      </c>
      <c r="E335" s="9" t="str">
        <f>IFERROR(__xludf.DUMMYFUNCTION("""COMPUTED_VALUE"""),"CHARLES CONRAD C. NACASABUG")</f>
        <v>CHARLES CONRAD C. NACASABUG</v>
      </c>
      <c r="F335" s="133"/>
      <c r="G335" s="13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60">
        <f t="shared" si="1"/>
        <v>330</v>
      </c>
      <c r="B336" s="9" t="str">
        <f>IFERROR(__xludf.DUMMYFUNCTION("""COMPUTED_VALUE"""),"MACAS")</f>
        <v>MACAS</v>
      </c>
      <c r="C336" s="9" t="str">
        <f>IFERROR(__xludf.DUMMYFUNCTION("""COMPUTED_VALUE"""),"REHIANNE AMBER")</f>
        <v>REHIANNE AMBER</v>
      </c>
      <c r="D336" s="9" t="str">
        <f>IFERROR(__xludf.DUMMYFUNCTION("""COMPUTED_VALUE"""),"F.")</f>
        <v>F.</v>
      </c>
      <c r="E336" s="9" t="str">
        <f>IFERROR(__xludf.DUMMYFUNCTION("""COMPUTED_VALUE"""),"RHENAL NEPP V. MACAS")</f>
        <v>RHENAL NEPP V. MACAS</v>
      </c>
      <c r="F336" s="133"/>
      <c r="G336" s="13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60">
        <f t="shared" si="1"/>
        <v>331</v>
      </c>
      <c r="B337" s="9" t="str">
        <f>IFERROR(__xludf.DUMMYFUNCTION("""COMPUTED_VALUE"""),"MACAS")</f>
        <v>MACAS</v>
      </c>
      <c r="C337" s="9" t="str">
        <f>IFERROR(__xludf.DUMMYFUNCTION("""COMPUTED_VALUE"""),"REIHN ANDRE")</f>
        <v>REIHN ANDRE</v>
      </c>
      <c r="D337" s="9" t="str">
        <f>IFERROR(__xludf.DUMMYFUNCTION("""COMPUTED_VALUE"""),"F.")</f>
        <v>F.</v>
      </c>
      <c r="E337" s="9" t="str">
        <f>IFERROR(__xludf.DUMMYFUNCTION("""COMPUTED_VALUE"""),"RHENAL NEPP V. MACAS")</f>
        <v>RHENAL NEPP V. MACAS</v>
      </c>
      <c r="F337" s="133"/>
      <c r="G337" s="13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60">
        <f t="shared" si="1"/>
        <v>332</v>
      </c>
      <c r="B338" s="9" t="str">
        <f>IFERROR(__xludf.DUMMYFUNCTION("""COMPUTED_VALUE"""),"MACAS")</f>
        <v>MACAS</v>
      </c>
      <c r="C338" s="9" t="str">
        <f>IFERROR(__xludf.DUMMYFUNCTION("""COMPUTED_VALUE"""),"REJIEANNE")</f>
        <v>REJIEANNE</v>
      </c>
      <c r="D338" s="9" t="str">
        <f>IFERROR(__xludf.DUMMYFUNCTION("""COMPUTED_VALUE"""),"F.")</f>
        <v>F.</v>
      </c>
      <c r="E338" s="9" t="str">
        <f>IFERROR(__xludf.DUMMYFUNCTION("""COMPUTED_VALUE"""),"RHENAL NEPP V. MACAS")</f>
        <v>RHENAL NEPP V. MACAS</v>
      </c>
      <c r="F338" s="133"/>
      <c r="G338" s="13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60">
        <f t="shared" si="1"/>
        <v>333</v>
      </c>
      <c r="B339" s="9" t="str">
        <f>IFERROR(__xludf.DUMMYFUNCTION("""COMPUTED_VALUE"""),"MACAS")</f>
        <v>MACAS</v>
      </c>
      <c r="C339" s="9" t="str">
        <f>IFERROR(__xludf.DUMMYFUNCTION("""COMPUTED_VALUE"""),"REJIE ANGELO")</f>
        <v>REJIE ANGELO</v>
      </c>
      <c r="D339" s="9" t="str">
        <f>IFERROR(__xludf.DUMMYFUNCTION("""COMPUTED_VALUE"""),"F.")</f>
        <v>F.</v>
      </c>
      <c r="E339" s="9" t="str">
        <f>IFERROR(__xludf.DUMMYFUNCTION("""COMPUTED_VALUE"""),"RHENAL NEPP V. MACAS")</f>
        <v>RHENAL NEPP V. MACAS</v>
      </c>
      <c r="F339" s="133"/>
      <c r="G339" s="13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60">
        <f t="shared" si="1"/>
        <v>334</v>
      </c>
      <c r="B340" s="9" t="str">
        <f>IFERROR(__xludf.DUMMYFUNCTION("""COMPUTED_VALUE"""),"MACAS")</f>
        <v>MACAS</v>
      </c>
      <c r="C340" s="9" t="str">
        <f>IFERROR(__xludf.DUMMYFUNCTION("""COMPUTED_VALUE"""),"REIHN AXEL")</f>
        <v>REIHN AXEL</v>
      </c>
      <c r="D340" s="9" t="str">
        <f>IFERROR(__xludf.DUMMYFUNCTION("""COMPUTED_VALUE"""),"F.")</f>
        <v>F.</v>
      </c>
      <c r="E340" s="9" t="str">
        <f>IFERROR(__xludf.DUMMYFUNCTION("""COMPUTED_VALUE"""),"RHENAL NEPP V. MACAS")</f>
        <v>RHENAL NEPP V. MACAS</v>
      </c>
      <c r="F340" s="133"/>
      <c r="G340" s="13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60">
        <f t="shared" si="1"/>
        <v>335</v>
      </c>
      <c r="B341" s="9" t="str">
        <f>IFERROR(__xludf.DUMMYFUNCTION("""COMPUTED_VALUE"""),"GALIT ")</f>
        <v>GALIT </v>
      </c>
      <c r="C341" s="9" t="str">
        <f>IFERROR(__xludf.DUMMYFUNCTION("""COMPUTED_VALUE"""),"SHAIRA LEIGH")</f>
        <v>SHAIRA LEIGH</v>
      </c>
      <c r="D341" s="9" t="str">
        <f>IFERROR(__xludf.DUMMYFUNCTION("""COMPUTED_VALUE"""),"F.")</f>
        <v>F.</v>
      </c>
      <c r="E341" s="9" t="str">
        <f>IFERROR(__xludf.DUMMYFUNCTION("""COMPUTED_VALUE"""),"ROMEO L. GALIT JR.")</f>
        <v>ROMEO L. GALIT JR.</v>
      </c>
      <c r="F341" s="133"/>
      <c r="G341" s="13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60">
        <f t="shared" si="1"/>
        <v>336</v>
      </c>
      <c r="B342" s="9" t="str">
        <f>IFERROR(__xludf.DUMMYFUNCTION("""COMPUTED_VALUE"""),"GALIT ")</f>
        <v>GALIT </v>
      </c>
      <c r="C342" s="9" t="str">
        <f>IFERROR(__xludf.DUMMYFUNCTION("""COMPUTED_VALUE"""),"EPHRAIM JUDE")</f>
        <v>EPHRAIM JUDE</v>
      </c>
      <c r="D342" s="9" t="str">
        <f>IFERROR(__xludf.DUMMYFUNCTION("""COMPUTED_VALUE"""),"F.")</f>
        <v>F.</v>
      </c>
      <c r="E342" s="9" t="str">
        <f>IFERROR(__xludf.DUMMYFUNCTION("""COMPUTED_VALUE"""),"ROMEO L. GALIT JR.")</f>
        <v>ROMEO L. GALIT JR.</v>
      </c>
      <c r="F342" s="133"/>
      <c r="G342" s="13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60">
        <f t="shared" si="1"/>
        <v>337</v>
      </c>
      <c r="B343" s="9" t="str">
        <f>IFERROR(__xludf.DUMMYFUNCTION("""COMPUTED_VALUE"""),"GALIT ")</f>
        <v>GALIT </v>
      </c>
      <c r="C343" s="9" t="str">
        <f>IFERROR(__xludf.DUMMYFUNCTION("""COMPUTED_VALUE"""),"BARJONA")</f>
        <v>BARJONA</v>
      </c>
      <c r="D343" s="9" t="str">
        <f>IFERROR(__xludf.DUMMYFUNCTION("""COMPUTED_VALUE"""),"F.")</f>
        <v>F.</v>
      </c>
      <c r="E343" s="9" t="str">
        <f>IFERROR(__xludf.DUMMYFUNCTION("""COMPUTED_VALUE"""),"ROMEO L. GALIT JR.")</f>
        <v>ROMEO L. GALIT JR.</v>
      </c>
      <c r="F343" s="133"/>
      <c r="G343" s="13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60">
        <f t="shared" si="1"/>
        <v>338</v>
      </c>
      <c r="B344" s="9" t="str">
        <f>IFERROR(__xludf.DUMMYFUNCTION("""COMPUTED_VALUE"""),"GALIT ")</f>
        <v>GALIT </v>
      </c>
      <c r="C344" s="9" t="str">
        <f>IFERROR(__xludf.DUMMYFUNCTION("""COMPUTED_VALUE"""),"SHINEJAH")</f>
        <v>SHINEJAH</v>
      </c>
      <c r="D344" s="9" t="str">
        <f>IFERROR(__xludf.DUMMYFUNCTION("""COMPUTED_VALUE"""),"F.")</f>
        <v>F.</v>
      </c>
      <c r="E344" s="9" t="str">
        <f>IFERROR(__xludf.DUMMYFUNCTION("""COMPUTED_VALUE"""),"ROMEO L. GALIT JR.")</f>
        <v>ROMEO L. GALIT JR.</v>
      </c>
      <c r="F344" s="133"/>
      <c r="G344" s="13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60">
        <f t="shared" si="1"/>
        <v>339</v>
      </c>
      <c r="B345" s="9" t="str">
        <f>IFERROR(__xludf.DUMMYFUNCTION("""COMPUTED_VALUE"""),"GALIT ")</f>
        <v>GALIT </v>
      </c>
      <c r="C345" s="9" t="str">
        <f>IFERROR(__xludf.DUMMYFUNCTION("""COMPUTED_VALUE"""),"ABISH SUZANNE")</f>
        <v>ABISH SUZANNE</v>
      </c>
      <c r="D345" s="9" t="str">
        <f>IFERROR(__xludf.DUMMYFUNCTION("""COMPUTED_VALUE"""),"F.")</f>
        <v>F.</v>
      </c>
      <c r="E345" s="9" t="str">
        <f>IFERROR(__xludf.DUMMYFUNCTION("""COMPUTED_VALUE"""),"ROMEO L. GALIT JR.")</f>
        <v>ROMEO L. GALIT JR.</v>
      </c>
      <c r="F345" s="133"/>
      <c r="G345" s="13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60">
        <f t="shared" si="1"/>
        <v>340</v>
      </c>
      <c r="B346" s="9" t="str">
        <f>IFERROR(__xludf.DUMMYFUNCTION("""COMPUTED_VALUE"""),"GALIT ")</f>
        <v>GALIT </v>
      </c>
      <c r="C346" s="9" t="str">
        <f>IFERROR(__xludf.DUMMYFUNCTION("""COMPUTED_VALUE"""),"GERALD AUGUSTINE")</f>
        <v>GERALD AUGUSTINE</v>
      </c>
      <c r="D346" s="9" t="str">
        <f>IFERROR(__xludf.DUMMYFUNCTION("""COMPUTED_VALUE"""),"F.")</f>
        <v>F.</v>
      </c>
      <c r="E346" s="9" t="str">
        <f>IFERROR(__xludf.DUMMYFUNCTION("""COMPUTED_VALUE"""),"ROMEO L. GALIT JR.")</f>
        <v>ROMEO L. GALIT JR.</v>
      </c>
      <c r="F346" s="133"/>
      <c r="G346" s="13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60">
        <f t="shared" si="1"/>
        <v>341</v>
      </c>
      <c r="B347" s="9" t="str">
        <f>IFERROR(__xludf.DUMMYFUNCTION("""COMPUTED_VALUE"""),"GALIT ")</f>
        <v>GALIT </v>
      </c>
      <c r="C347" s="9" t="str">
        <f>IFERROR(__xludf.DUMMYFUNCTION("""COMPUTED_VALUE"""),"MAHONRI")</f>
        <v>MAHONRI</v>
      </c>
      <c r="D347" s="9" t="str">
        <f>IFERROR(__xludf.DUMMYFUNCTION("""COMPUTED_VALUE"""),"F.")</f>
        <v>F.</v>
      </c>
      <c r="E347" s="9" t="str">
        <f>IFERROR(__xludf.DUMMYFUNCTION("""COMPUTED_VALUE"""),"ROMEO L. GALIT JR.")</f>
        <v>ROMEO L. GALIT JR.</v>
      </c>
      <c r="F347" s="133"/>
      <c r="G347" s="13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60">
        <f t="shared" si="1"/>
        <v>342</v>
      </c>
      <c r="B348" s="9" t="str">
        <f>IFERROR(__xludf.DUMMYFUNCTION("""COMPUTED_VALUE"""),"MATIONG")</f>
        <v>MATIONG</v>
      </c>
      <c r="C348" s="9" t="str">
        <f>IFERROR(__xludf.DUMMYFUNCTION("""COMPUTED_VALUE"""),"PRINCE JOSHUA")</f>
        <v>PRINCE JOSHUA</v>
      </c>
      <c r="D348" s="9" t="str">
        <f>IFERROR(__xludf.DUMMYFUNCTION("""COMPUTED_VALUE"""),"V.")</f>
        <v>V.</v>
      </c>
      <c r="E348" s="9" t="str">
        <f>IFERROR(__xludf.DUMMYFUNCTION("""COMPUTED_VALUE"""),"NIÑO M. MATIONG")</f>
        <v>NIÑO M. MATIONG</v>
      </c>
      <c r="F348" s="133"/>
      <c r="G348" s="13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60">
        <f t="shared" si="1"/>
        <v>343</v>
      </c>
      <c r="B349" s="9" t="str">
        <f>IFERROR(__xludf.DUMMYFUNCTION("""COMPUTED_VALUE"""),"MATIONG")</f>
        <v>MATIONG</v>
      </c>
      <c r="C349" s="9" t="str">
        <f>IFERROR(__xludf.DUMMYFUNCTION("""COMPUTED_VALUE"""),"LIL ROSNIN")</f>
        <v>LIL ROSNIN</v>
      </c>
      <c r="D349" s="9" t="str">
        <f>IFERROR(__xludf.DUMMYFUNCTION("""COMPUTED_VALUE"""),"V.")</f>
        <v>V.</v>
      </c>
      <c r="E349" s="9" t="str">
        <f>IFERROR(__xludf.DUMMYFUNCTION("""COMPUTED_VALUE"""),"NIÑO M. MATIONG")</f>
        <v>NIÑO M. MATIONG</v>
      </c>
      <c r="F349" s="133"/>
      <c r="G349" s="13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60">
        <f t="shared" si="1"/>
        <v>344</v>
      </c>
      <c r="B350" s="9" t="str">
        <f>IFERROR(__xludf.DUMMYFUNCTION("""COMPUTED_VALUE"""),"DELIGAN")</f>
        <v>DELIGAN</v>
      </c>
      <c r="C350" s="9" t="str">
        <f>IFERROR(__xludf.DUMMYFUNCTION("""COMPUTED_VALUE"""),"JOMAR")</f>
        <v>JOMAR</v>
      </c>
      <c r="D350" s="9"/>
      <c r="E350" s="9" t="str">
        <f>IFERROR(__xludf.DUMMYFUNCTION("""COMPUTED_VALUE"""),"JUNIE DELIGAN")</f>
        <v>JUNIE DELIGAN</v>
      </c>
      <c r="F350" s="133"/>
      <c r="G350" s="13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60">
        <f t="shared" si="1"/>
        <v>345</v>
      </c>
      <c r="B351" s="9" t="str">
        <f>IFERROR(__xludf.DUMMYFUNCTION("""COMPUTED_VALUE"""),"DELIGAN")</f>
        <v>DELIGAN</v>
      </c>
      <c r="C351" s="9" t="str">
        <f>IFERROR(__xludf.DUMMYFUNCTION("""COMPUTED_VALUE"""),"JUZZ DAVID")</f>
        <v>JUZZ DAVID</v>
      </c>
      <c r="D351" s="9"/>
      <c r="E351" s="9" t="str">
        <f>IFERROR(__xludf.DUMMYFUNCTION("""COMPUTED_VALUE"""),"JUNIE DELIGAN")</f>
        <v>JUNIE DELIGAN</v>
      </c>
      <c r="F351" s="133"/>
      <c r="G351" s="13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60">
        <f t="shared" si="1"/>
        <v>346</v>
      </c>
      <c r="B352" s="9" t="str">
        <f>IFERROR(__xludf.DUMMYFUNCTION("""COMPUTED_VALUE"""),"DELIGAN")</f>
        <v>DELIGAN</v>
      </c>
      <c r="C352" s="9" t="str">
        <f>IFERROR(__xludf.DUMMYFUNCTION("""COMPUTED_VALUE"""),"JOSE MARIE")</f>
        <v>JOSE MARIE</v>
      </c>
      <c r="D352" s="9"/>
      <c r="E352" s="9" t="str">
        <f>IFERROR(__xludf.DUMMYFUNCTION("""COMPUTED_VALUE"""),"JUNIE DELIGAN")</f>
        <v>JUNIE DELIGAN</v>
      </c>
      <c r="F352" s="133"/>
      <c r="G352" s="13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60">
        <f t="shared" si="1"/>
        <v>347</v>
      </c>
      <c r="B353" s="9" t="str">
        <f>IFERROR(__xludf.DUMMYFUNCTION("""COMPUTED_VALUE"""),"TUMAGAN")</f>
        <v>TUMAGAN</v>
      </c>
      <c r="C353" s="9" t="str">
        <f>IFERROR(__xludf.DUMMYFUNCTION("""COMPUTED_VALUE"""),"DEONNE CARLO")</f>
        <v>DEONNE CARLO</v>
      </c>
      <c r="D353" s="9" t="str">
        <f>IFERROR(__xludf.DUMMYFUNCTION("""COMPUTED_VALUE"""),"V.")</f>
        <v>V.</v>
      </c>
      <c r="E353" s="9" t="str">
        <f>IFERROR(__xludf.DUMMYFUNCTION("""COMPUTED_VALUE"""),"DANILO A. TUMAGAN")</f>
        <v>DANILO A. TUMAGAN</v>
      </c>
      <c r="F353" s="133"/>
      <c r="G353" s="13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60">
        <f t="shared" si="1"/>
        <v>348</v>
      </c>
      <c r="B354" s="9" t="str">
        <f>IFERROR(__xludf.DUMMYFUNCTION("""COMPUTED_VALUE"""),"TUMAGAN")</f>
        <v>TUMAGAN</v>
      </c>
      <c r="C354" s="9" t="str">
        <f>IFERROR(__xludf.DUMMYFUNCTION("""COMPUTED_VALUE"""),"LALAINE GRACE")</f>
        <v>LALAINE GRACE</v>
      </c>
      <c r="D354" s="9" t="str">
        <f>IFERROR(__xludf.DUMMYFUNCTION("""COMPUTED_VALUE"""),"V.")</f>
        <v>V.</v>
      </c>
      <c r="E354" s="9" t="str">
        <f>IFERROR(__xludf.DUMMYFUNCTION("""COMPUTED_VALUE"""),"DANILO A. TUMAGAN")</f>
        <v>DANILO A. TUMAGAN</v>
      </c>
      <c r="F354" s="133"/>
      <c r="G354" s="13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60">
        <f t="shared" si="1"/>
        <v>349</v>
      </c>
      <c r="B355" s="9" t="str">
        <f>IFERROR(__xludf.DUMMYFUNCTION("""COMPUTED_VALUE"""),"TUMAGAN")</f>
        <v>TUMAGAN</v>
      </c>
      <c r="C355" s="9" t="str">
        <f>IFERROR(__xludf.DUMMYFUNCTION("""COMPUTED_VALUE"""),"MARC LAURENCE")</f>
        <v>MARC LAURENCE</v>
      </c>
      <c r="D355" s="9" t="str">
        <f>IFERROR(__xludf.DUMMYFUNCTION("""COMPUTED_VALUE"""),"V.")</f>
        <v>V.</v>
      </c>
      <c r="E355" s="9" t="str">
        <f>IFERROR(__xludf.DUMMYFUNCTION("""COMPUTED_VALUE"""),"DANILO A. TUMAGAN")</f>
        <v>DANILO A. TUMAGAN</v>
      </c>
      <c r="F355" s="133"/>
      <c r="G355" s="13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60">
        <f t="shared" si="1"/>
        <v>350</v>
      </c>
      <c r="B356" s="9" t="str">
        <f>IFERROR(__xludf.DUMMYFUNCTION("""COMPUTED_VALUE"""),"ESPIRITU")</f>
        <v>ESPIRITU</v>
      </c>
      <c r="C356" s="9" t="str">
        <f>IFERROR(__xludf.DUMMYFUNCTION("""COMPUTED_VALUE"""),"RAFHAEL")</f>
        <v>RAFHAEL</v>
      </c>
      <c r="D356" s="9"/>
      <c r="E356" s="9" t="str">
        <f>IFERROR(__xludf.DUMMYFUNCTION("""COMPUTED_VALUE"""),"LORNA ESPIRITU")</f>
        <v>LORNA ESPIRITU</v>
      </c>
      <c r="F356" s="133"/>
      <c r="G356" s="13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60">
        <f t="shared" si="1"/>
        <v>351</v>
      </c>
      <c r="B357" s="9" t="str">
        <f>IFERROR(__xludf.DUMMYFUNCTION("""COMPUTED_VALUE"""),"ESPIRITU")</f>
        <v>ESPIRITU</v>
      </c>
      <c r="C357" s="9" t="str">
        <f>IFERROR(__xludf.DUMMYFUNCTION("""COMPUTED_VALUE"""),"RYAN")</f>
        <v>RYAN</v>
      </c>
      <c r="D357" s="9"/>
      <c r="E357" s="9" t="str">
        <f>IFERROR(__xludf.DUMMYFUNCTION("""COMPUTED_VALUE"""),"LORNA ESPIRITU")</f>
        <v>LORNA ESPIRITU</v>
      </c>
      <c r="F357" s="133"/>
      <c r="G357" s="13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60">
        <f t="shared" si="1"/>
        <v>352</v>
      </c>
      <c r="B358" s="9" t="str">
        <f>IFERROR(__xludf.DUMMYFUNCTION("""COMPUTED_VALUE"""),"OLAES")</f>
        <v>OLAES</v>
      </c>
      <c r="C358" s="9" t="str">
        <f>IFERROR(__xludf.DUMMYFUNCTION("""COMPUTED_VALUE"""),"YOONA")</f>
        <v>YOONA</v>
      </c>
      <c r="D358" s="9"/>
      <c r="E358" s="9" t="str">
        <f>IFERROR(__xludf.DUMMYFUNCTION("""COMPUTED_VALUE"""),"JONALYN OLAES ")</f>
        <v>JONALYN OLAES </v>
      </c>
      <c r="F358" s="133"/>
      <c r="G358" s="13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60">
        <f t="shared" si="1"/>
        <v>353</v>
      </c>
      <c r="B359" s="9" t="str">
        <f>IFERROR(__xludf.DUMMYFUNCTION("""COMPUTED_VALUE"""),"OLAES")</f>
        <v>OLAES</v>
      </c>
      <c r="C359" s="9" t="str">
        <f>IFERROR(__xludf.DUMMYFUNCTION("""COMPUTED_VALUE"""),"SEANMEL")</f>
        <v>SEANMEL</v>
      </c>
      <c r="D359" s="9"/>
      <c r="E359" s="9" t="str">
        <f>IFERROR(__xludf.DUMMYFUNCTION("""COMPUTED_VALUE"""),"JONALYN OLAES ")</f>
        <v>JONALYN OLAES </v>
      </c>
      <c r="F359" s="133"/>
      <c r="G359" s="13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60">
        <f t="shared" si="1"/>
        <v>354</v>
      </c>
      <c r="B360" s="9" t="str">
        <f>IFERROR(__xludf.DUMMYFUNCTION("""COMPUTED_VALUE"""),"AQUINO")</f>
        <v>AQUINO</v>
      </c>
      <c r="C360" s="9" t="str">
        <f>IFERROR(__xludf.DUMMYFUNCTION("""COMPUTED_VALUE"""),"LENGLENG")</f>
        <v>LENGLENG</v>
      </c>
      <c r="D360" s="9"/>
      <c r="E360" s="9" t="str">
        <f>IFERROR(__xludf.DUMMYFUNCTION("""COMPUTED_VALUE"""),"CHU AQUINO ")</f>
        <v>CHU AQUINO </v>
      </c>
      <c r="F360" s="133"/>
      <c r="G360" s="13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60">
        <f t="shared" si="1"/>
        <v>355</v>
      </c>
      <c r="B361" s="9" t="str">
        <f>IFERROR(__xludf.DUMMYFUNCTION("""COMPUTED_VALUE"""),"AQUINO")</f>
        <v>AQUINO</v>
      </c>
      <c r="C361" s="9" t="str">
        <f>IFERROR(__xludf.DUMMYFUNCTION("""COMPUTED_VALUE"""),"PINGPING")</f>
        <v>PINGPING</v>
      </c>
      <c r="D361" s="9"/>
      <c r="E361" s="9" t="str">
        <f>IFERROR(__xludf.DUMMYFUNCTION("""COMPUTED_VALUE"""),"CHU AQUINO ")</f>
        <v>CHU AQUINO </v>
      </c>
      <c r="F361" s="133"/>
      <c r="G361" s="13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60">
        <f t="shared" si="1"/>
        <v>356</v>
      </c>
      <c r="B362" s="9" t="str">
        <f>IFERROR(__xludf.DUMMYFUNCTION("""COMPUTED_VALUE"""),"AQUINO")</f>
        <v>AQUINO</v>
      </c>
      <c r="C362" s="9" t="str">
        <f>IFERROR(__xludf.DUMMYFUNCTION("""COMPUTED_VALUE"""),"TINTIN")</f>
        <v>TINTIN</v>
      </c>
      <c r="D362" s="9"/>
      <c r="E362" s="9" t="str">
        <f>IFERROR(__xludf.DUMMYFUNCTION("""COMPUTED_VALUE"""),"CHU AQUINO ")</f>
        <v>CHU AQUINO </v>
      </c>
      <c r="F362" s="133"/>
      <c r="G362" s="13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60">
        <f t="shared" si="1"/>
        <v>357</v>
      </c>
      <c r="B363" s="9" t="str">
        <f>IFERROR(__xludf.DUMMYFUNCTION("""COMPUTED_VALUE"""),"KWON")</f>
        <v>KWON</v>
      </c>
      <c r="C363" s="9" t="str">
        <f>IFERROR(__xludf.DUMMYFUNCTION("""COMPUTED_VALUE"""),"SHANE BONA")</f>
        <v>SHANE BONA</v>
      </c>
      <c r="D363" s="9"/>
      <c r="E363" s="9" t="str">
        <f>IFERROR(__xludf.DUMMYFUNCTION("""COMPUTED_VALUE"""),"SHANE BONA KWON")</f>
        <v>SHANE BONA KWON</v>
      </c>
      <c r="F363" s="133"/>
      <c r="G363" s="13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60">
        <f t="shared" si="1"/>
        <v>358</v>
      </c>
      <c r="B364" s="9" t="str">
        <f>IFERROR(__xludf.DUMMYFUNCTION("""COMPUTED_VALUE"""),"CLEMENTE")</f>
        <v>CLEMENTE</v>
      </c>
      <c r="C364" s="9" t="str">
        <f>IFERROR(__xludf.DUMMYFUNCTION("""COMPUTED_VALUE"""),"JAZZY RYE")</f>
        <v>JAZZY RYE</v>
      </c>
      <c r="D364" s="9"/>
      <c r="E364" s="9" t="str">
        <f>IFERROR(__xludf.DUMMYFUNCTION("""COMPUTED_VALUE"""),"RANDY KLEMENTE")</f>
        <v>RANDY KLEMENTE</v>
      </c>
      <c r="F364" s="133"/>
      <c r="G364" s="13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60">
        <f t="shared" si="1"/>
        <v>359</v>
      </c>
      <c r="B365" s="9" t="str">
        <f>IFERROR(__xludf.DUMMYFUNCTION("""COMPUTED_VALUE"""),"RACHELLE")</f>
        <v>RACHELLE</v>
      </c>
      <c r="C365" s="9" t="str">
        <f>IFERROR(__xludf.DUMMYFUNCTION("""COMPUTED_VALUE"""),"DE GUZZMAN")</f>
        <v>DE GUZZMAN</v>
      </c>
      <c r="D365" s="9" t="str">
        <f>IFERROR(__xludf.DUMMYFUNCTION("""COMPUTED_VALUE"""),"C. ")</f>
        <v>C. </v>
      </c>
      <c r="E365" s="9" t="str">
        <f>IFERROR(__xludf.DUMMYFUNCTION("""COMPUTED_VALUE"""),"CORAZON C. DE GUZMAN")</f>
        <v>CORAZON C. DE GUZMAN</v>
      </c>
      <c r="F365" s="133"/>
      <c r="G365" s="13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60">
        <f t="shared" si="1"/>
        <v>360</v>
      </c>
      <c r="B366" s="9" t="str">
        <f>IFERROR(__xludf.DUMMYFUNCTION("""COMPUTED_VALUE"""),"DE GUZMAN ")</f>
        <v>DE GUZMAN </v>
      </c>
      <c r="C366" s="9" t="str">
        <f>IFERROR(__xludf.DUMMYFUNCTION("""COMPUTED_VALUE"""),"RHEXEINYLL")</f>
        <v>RHEXEINYLL</v>
      </c>
      <c r="D366" s="9"/>
      <c r="E366" s="9" t="str">
        <f>IFERROR(__xludf.DUMMYFUNCTION("""COMPUTED_VALUE"""),"REGIDOR BUSCAGAN")</f>
        <v>REGIDOR BUSCAGAN</v>
      </c>
      <c r="F366" s="133"/>
      <c r="G366" s="13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60">
        <f t="shared" si="1"/>
        <v>361</v>
      </c>
      <c r="B367" s="9" t="str">
        <f>IFERROR(__xludf.DUMMYFUNCTION("""COMPUTED_VALUE"""),"SALES")</f>
        <v>SALES</v>
      </c>
      <c r="C367" s="9" t="str">
        <f>IFERROR(__xludf.DUMMYFUNCTION("""COMPUTED_VALUE"""),"LEVI RYEXEN")</f>
        <v>LEVI RYEXEN</v>
      </c>
      <c r="D367" s="9"/>
      <c r="E367" s="9" t="str">
        <f>IFERROR(__xludf.DUMMYFUNCTION("""COMPUTED_VALUE"""),"RHEXEINE REGINALD  DE GUZMAN")</f>
        <v>RHEXEINE REGINALD  DE GUZMAN</v>
      </c>
      <c r="F367" s="133"/>
      <c r="G367" s="13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60">
        <f t="shared" si="1"/>
        <v>362</v>
      </c>
      <c r="B368" s="9" t="str">
        <f>IFERROR(__xludf.DUMMYFUNCTION("""COMPUTED_VALUE"""),"GONZALES")</f>
        <v>GONZALES</v>
      </c>
      <c r="C368" s="9" t="str">
        <f>IFERROR(__xludf.DUMMYFUNCTION("""COMPUTED_VALUE"""),"JACOB")</f>
        <v>JACOB</v>
      </c>
      <c r="D368" s="9" t="str">
        <f>IFERROR(__xludf.DUMMYFUNCTION("""COMPUTED_VALUE"""),"V")</f>
        <v>V</v>
      </c>
      <c r="E368" s="9" t="str">
        <f>IFERROR(__xludf.DUMMYFUNCTION("""COMPUTED_VALUE"""),"HENRY P. GONZALES")</f>
        <v>HENRY P. GONZALES</v>
      </c>
      <c r="F368" s="133"/>
      <c r="G368" s="13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60">
        <f t="shared" si="1"/>
        <v>363</v>
      </c>
      <c r="B369" s="9" t="str">
        <f>IFERROR(__xludf.DUMMYFUNCTION("""COMPUTED_VALUE"""),"CORNELIO")</f>
        <v>CORNELIO</v>
      </c>
      <c r="C369" s="9" t="str">
        <f>IFERROR(__xludf.DUMMYFUNCTION("""COMPUTED_VALUE"""),"WELDELYN")</f>
        <v>WELDELYN</v>
      </c>
      <c r="D369" s="9"/>
      <c r="E369" s="9" t="str">
        <f>IFERROR(__xludf.DUMMYFUNCTION("""COMPUTED_VALUE"""),"JOEL CORNELIO")</f>
        <v>JOEL CORNELIO</v>
      </c>
      <c r="F369" s="133"/>
      <c r="G369" s="13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60">
        <f t="shared" si="1"/>
        <v>364</v>
      </c>
      <c r="B370" s="9" t="str">
        <f>IFERROR(__xludf.DUMMYFUNCTION("""COMPUTED_VALUE"""),"CORNELIO")</f>
        <v>CORNELIO</v>
      </c>
      <c r="C370" s="9" t="str">
        <f>IFERROR(__xludf.DUMMYFUNCTION("""COMPUTED_VALUE"""),"WELLA MAE")</f>
        <v>WELLA MAE</v>
      </c>
      <c r="D370" s="9"/>
      <c r="E370" s="9" t="str">
        <f>IFERROR(__xludf.DUMMYFUNCTION("""COMPUTED_VALUE"""),"JOEL CORNELIO")</f>
        <v>JOEL CORNELIO</v>
      </c>
      <c r="F370" s="133"/>
      <c r="G370" s="13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60">
        <f t="shared" si="1"/>
        <v>365</v>
      </c>
      <c r="B371" s="9" t="str">
        <f>IFERROR(__xludf.DUMMYFUNCTION("""COMPUTED_VALUE"""),"CORNELIO")</f>
        <v>CORNELIO</v>
      </c>
      <c r="C371" s="9" t="str">
        <f>IFERROR(__xludf.DUMMYFUNCTION("""COMPUTED_VALUE"""),"JOYCE ANNE")</f>
        <v>JOYCE ANNE</v>
      </c>
      <c r="D371" s="9"/>
      <c r="E371" s="9" t="str">
        <f>IFERROR(__xludf.DUMMYFUNCTION("""COMPUTED_VALUE"""),"JOEL CORNELIO")</f>
        <v>JOEL CORNELIO</v>
      </c>
      <c r="F371" s="133"/>
      <c r="G371" s="13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60">
        <f t="shared" si="1"/>
        <v>366</v>
      </c>
      <c r="B372" s="9" t="str">
        <f>IFERROR(__xludf.DUMMYFUNCTION("""COMPUTED_VALUE"""),"DELA CRUZ")</f>
        <v>DELA CRUZ</v>
      </c>
      <c r="C372" s="9" t="str">
        <f>IFERROR(__xludf.DUMMYFUNCTION("""COMPUTED_VALUE"""),"ALEXANDRA")</f>
        <v>ALEXANDRA</v>
      </c>
      <c r="D372" s="9"/>
      <c r="E372" s="9" t="str">
        <f>IFERROR(__xludf.DUMMYFUNCTION("""COMPUTED_VALUE"""),"MARJHUN DELA CRUZ ")</f>
        <v>MARJHUN DELA CRUZ </v>
      </c>
      <c r="F372" s="133"/>
      <c r="G372" s="13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60">
        <f t="shared" si="1"/>
        <v>367</v>
      </c>
      <c r="B373" s="9" t="str">
        <f>IFERROR(__xludf.DUMMYFUNCTION("""COMPUTED_VALUE"""),"DELA CRUZ")</f>
        <v>DELA CRUZ</v>
      </c>
      <c r="C373" s="9" t="str">
        <f>IFERROR(__xludf.DUMMYFUNCTION("""COMPUTED_VALUE"""),"CASSANDRA")</f>
        <v>CASSANDRA</v>
      </c>
      <c r="D373" s="9"/>
      <c r="E373" s="9" t="str">
        <f>IFERROR(__xludf.DUMMYFUNCTION("""COMPUTED_VALUE"""),"MARJHUN DELA CRUZ ")</f>
        <v>MARJHUN DELA CRUZ </v>
      </c>
      <c r="F373" s="133"/>
      <c r="G373" s="13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60">
        <f t="shared" si="1"/>
        <v>368</v>
      </c>
      <c r="B374" s="9" t="str">
        <f>IFERROR(__xludf.DUMMYFUNCTION("""COMPUTED_VALUE"""),"DELA CRUZ")</f>
        <v>DELA CRUZ</v>
      </c>
      <c r="C374" s="9" t="str">
        <f>IFERROR(__xludf.DUMMYFUNCTION("""COMPUTED_VALUE"""),"ALEXIS")</f>
        <v>ALEXIS</v>
      </c>
      <c r="D374" s="9"/>
      <c r="E374" s="9" t="str">
        <f>IFERROR(__xludf.DUMMYFUNCTION("""COMPUTED_VALUE"""),"MARJHUN DELA CRUZ ")</f>
        <v>MARJHUN DELA CRUZ </v>
      </c>
      <c r="F374" s="133"/>
      <c r="G374" s="13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60">
        <f t="shared" si="1"/>
        <v>369</v>
      </c>
      <c r="B375" s="9" t="str">
        <f>IFERROR(__xludf.DUMMYFUNCTION("""COMPUTED_VALUE"""),"DELA CRUZ")</f>
        <v>DELA CRUZ</v>
      </c>
      <c r="C375" s="9" t="str">
        <f>IFERROR(__xludf.DUMMYFUNCTION("""COMPUTED_VALUE"""),"NHELO")</f>
        <v>NHELO</v>
      </c>
      <c r="D375" s="9"/>
      <c r="E375" s="9" t="str">
        <f>IFERROR(__xludf.DUMMYFUNCTION("""COMPUTED_VALUE"""),"MARGARETH DELA CRUZ")</f>
        <v>MARGARETH DELA CRUZ</v>
      </c>
      <c r="F375" s="133"/>
      <c r="G375" s="13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60">
        <f t="shared" si="1"/>
        <v>370</v>
      </c>
      <c r="B376" s="9" t="str">
        <f>IFERROR(__xludf.DUMMYFUNCTION("""COMPUTED_VALUE"""),"DE GUZMAN ")</f>
        <v>DE GUZMAN </v>
      </c>
      <c r="C376" s="9" t="str">
        <f>IFERROR(__xludf.DUMMYFUNCTION("""COMPUTED_VALUE"""),"RALPH JAEY LLONE ")</f>
        <v>RALPH JAEY LLONE </v>
      </c>
      <c r="D376" s="9" t="str">
        <f>IFERROR(__xludf.DUMMYFUNCTION("""COMPUTED_VALUE"""),"G.")</f>
        <v>G.</v>
      </c>
      <c r="E376" s="9" t="str">
        <f>IFERROR(__xludf.DUMMYFUNCTION("""COMPUTED_VALUE"""),"ROGELIO M. DE GUZMAN")</f>
        <v>ROGELIO M. DE GUZMAN</v>
      </c>
      <c r="F376" s="133"/>
      <c r="G376" s="13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60">
        <f t="shared" si="1"/>
        <v>371</v>
      </c>
      <c r="B377" s="9" t="str">
        <f>IFERROR(__xludf.DUMMYFUNCTION("""COMPUTED_VALUE"""),"DE GUZMAN ")</f>
        <v>DE GUZMAN </v>
      </c>
      <c r="C377" s="9" t="str">
        <f>IFERROR(__xludf.DUMMYFUNCTION("""COMPUTED_VALUE"""),"JOZELLE LYCA ")</f>
        <v>JOZELLE LYCA </v>
      </c>
      <c r="D377" s="9" t="str">
        <f>IFERROR(__xludf.DUMMYFUNCTION("""COMPUTED_VALUE"""),"G.")</f>
        <v>G.</v>
      </c>
      <c r="E377" s="9" t="str">
        <f>IFERROR(__xludf.DUMMYFUNCTION("""COMPUTED_VALUE"""),"ROGELIO M. DE GUZMAN")</f>
        <v>ROGELIO M. DE GUZMAN</v>
      </c>
      <c r="F377" s="133"/>
      <c r="G377" s="13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60">
        <f t="shared" si="1"/>
        <v>372</v>
      </c>
      <c r="B378" s="9" t="str">
        <f>IFERROR(__xludf.DUMMYFUNCTION("""COMPUTED_VALUE"""),"DE GUZMAN ")</f>
        <v>DE GUZMAN </v>
      </c>
      <c r="C378" s="9" t="str">
        <f>IFERROR(__xludf.DUMMYFUNCTION("""COMPUTED_VALUE"""),"JUDE ROEAN")</f>
        <v>JUDE ROEAN</v>
      </c>
      <c r="D378" s="9" t="str">
        <f>IFERROR(__xludf.DUMMYFUNCTION("""COMPUTED_VALUE"""),"G.")</f>
        <v>G.</v>
      </c>
      <c r="E378" s="9" t="str">
        <f>IFERROR(__xludf.DUMMYFUNCTION("""COMPUTED_VALUE"""),"ROGELIO M. DE GUZMAN")</f>
        <v>ROGELIO M. DE GUZMAN</v>
      </c>
      <c r="F378" s="133"/>
      <c r="G378" s="13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60">
        <f t="shared" si="1"/>
        <v>373</v>
      </c>
      <c r="B379" s="9" t="str">
        <f>IFERROR(__xludf.DUMMYFUNCTION("""COMPUTED_VALUE"""),"DE GUZMAN ")</f>
        <v>DE GUZMAN </v>
      </c>
      <c r="C379" s="9" t="str">
        <f>IFERROR(__xludf.DUMMYFUNCTION("""COMPUTED_VALUE"""),"CRIZELLE KATE")</f>
        <v>CRIZELLE KATE</v>
      </c>
      <c r="D379" s="9" t="str">
        <f>IFERROR(__xludf.DUMMYFUNCTION("""COMPUTED_VALUE"""),"G.")</f>
        <v>G.</v>
      </c>
      <c r="E379" s="9" t="str">
        <f>IFERROR(__xludf.DUMMYFUNCTION("""COMPUTED_VALUE"""),"ROGELIO M. DE GUZMAN")</f>
        <v>ROGELIO M. DE GUZMAN</v>
      </c>
      <c r="F379" s="133"/>
      <c r="G379" s="13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60">
        <f t="shared" si="1"/>
        <v>374</v>
      </c>
      <c r="B380" s="9" t="str">
        <f>IFERROR(__xludf.DUMMYFUNCTION("""COMPUTED_VALUE"""),"DE GUZMAN ")</f>
        <v>DE GUZMAN </v>
      </c>
      <c r="C380" s="9" t="str">
        <f>IFERROR(__xludf.DUMMYFUNCTION("""COMPUTED_VALUE"""),"LEISLY JHIENNE")</f>
        <v>LEISLY JHIENNE</v>
      </c>
      <c r="D380" s="9" t="str">
        <f>IFERROR(__xludf.DUMMYFUNCTION("""COMPUTED_VALUE"""),"G.")</f>
        <v>G.</v>
      </c>
      <c r="E380" s="9" t="str">
        <f>IFERROR(__xludf.DUMMYFUNCTION("""COMPUTED_VALUE"""),"ROGELIO M. DE GUZMAN")</f>
        <v>ROGELIO M. DE GUZMAN</v>
      </c>
      <c r="F380" s="133"/>
      <c r="G380" s="13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60">
        <f t="shared" si="1"/>
        <v>375</v>
      </c>
      <c r="B381" s="9" t="str">
        <f>IFERROR(__xludf.DUMMYFUNCTION("""COMPUTED_VALUE"""),"DE GUZMAN ")</f>
        <v>DE GUZMAN </v>
      </c>
      <c r="C381" s="9" t="str">
        <f>IFERROR(__xludf.DUMMYFUNCTION("""COMPUTED_VALUE"""),"ROCHELLYN RHEIGNNE")</f>
        <v>ROCHELLYN RHEIGNNE</v>
      </c>
      <c r="D381" s="9" t="str">
        <f>IFERROR(__xludf.DUMMYFUNCTION("""COMPUTED_VALUE"""),"G.")</f>
        <v>G.</v>
      </c>
      <c r="E381" s="9" t="str">
        <f>IFERROR(__xludf.DUMMYFUNCTION("""COMPUTED_VALUE"""),"ROGELIO M. DE GUZMAN")</f>
        <v>ROGELIO M. DE GUZMAN</v>
      </c>
      <c r="F381" s="133"/>
      <c r="G381" s="13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60">
        <f t="shared" si="1"/>
        <v>376</v>
      </c>
      <c r="B382" s="9" t="str">
        <f>IFERROR(__xludf.DUMMYFUNCTION("""COMPUTED_VALUE"""),"LANDRITO")</f>
        <v>LANDRITO</v>
      </c>
      <c r="C382" s="9" t="str">
        <f>IFERROR(__xludf.DUMMYFUNCTION("""COMPUTED_VALUE"""),"MARY ROSE")</f>
        <v>MARY ROSE</v>
      </c>
      <c r="D382" s="9"/>
      <c r="E382" s="9" t="str">
        <f>IFERROR(__xludf.DUMMYFUNCTION("""COMPUTED_VALUE"""),"AUGUSTO D. ARCILLA")</f>
        <v>AUGUSTO D. ARCILLA</v>
      </c>
      <c r="F382" s="133"/>
      <c r="G382" s="13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60">
        <f t="shared" si="1"/>
        <v>377</v>
      </c>
      <c r="B383" s="9" t="str">
        <f>IFERROR(__xludf.DUMMYFUNCTION("""COMPUTED_VALUE"""),"ABUEL")</f>
        <v>ABUEL</v>
      </c>
      <c r="C383" s="9" t="str">
        <f>IFERROR(__xludf.DUMMYFUNCTION("""COMPUTED_VALUE"""),"JHAZTINE ")</f>
        <v>JHAZTINE </v>
      </c>
      <c r="D383" s="9" t="str">
        <f>IFERROR(__xludf.DUMMYFUNCTION("""COMPUTED_VALUE"""),"ALBEZA")</f>
        <v>ALBEZA</v>
      </c>
      <c r="E383" s="9" t="str">
        <f>IFERROR(__xludf.DUMMYFUNCTION("""COMPUTED_VALUE"""),"MARICEL ALBEZA ABUEL ")</f>
        <v>MARICEL ALBEZA ABUEL </v>
      </c>
      <c r="F383" s="133"/>
      <c r="G383" s="13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60">
        <f t="shared" si="1"/>
        <v>378</v>
      </c>
      <c r="B384" s="9" t="str">
        <f>IFERROR(__xludf.DUMMYFUNCTION("""COMPUTED_VALUE"""),"ABUEL")</f>
        <v>ABUEL</v>
      </c>
      <c r="C384" s="9" t="str">
        <f>IFERROR(__xludf.DUMMYFUNCTION("""COMPUTED_VALUE"""),"ECEL MAE")</f>
        <v>ECEL MAE</v>
      </c>
      <c r="D384" s="9" t="str">
        <f>IFERROR(__xludf.DUMMYFUNCTION("""COMPUTED_VALUE"""),"ALBEZA")</f>
        <v>ALBEZA</v>
      </c>
      <c r="E384" s="9" t="str">
        <f>IFERROR(__xludf.DUMMYFUNCTION("""COMPUTED_VALUE"""),"MARICEL ALBEZA ABUEL ")</f>
        <v>MARICEL ALBEZA ABUEL </v>
      </c>
      <c r="F384" s="133"/>
      <c r="G384" s="13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60">
        <f t="shared" si="1"/>
        <v>379</v>
      </c>
      <c r="B385" s="9" t="str">
        <f>IFERROR(__xludf.DUMMYFUNCTION("""COMPUTED_VALUE"""),"ABUEL")</f>
        <v>ABUEL</v>
      </c>
      <c r="C385" s="9" t="str">
        <f>IFERROR(__xludf.DUMMYFUNCTION("""COMPUTED_VALUE"""),"JOHN RACEL")</f>
        <v>JOHN RACEL</v>
      </c>
      <c r="D385" s="9" t="str">
        <f>IFERROR(__xludf.DUMMYFUNCTION("""COMPUTED_VALUE"""),"ALBEZA")</f>
        <v>ALBEZA</v>
      </c>
      <c r="E385" s="9" t="str">
        <f>IFERROR(__xludf.DUMMYFUNCTION("""COMPUTED_VALUE"""),"MARICEL ALBEZA ABUEL ")</f>
        <v>MARICEL ALBEZA ABUEL </v>
      </c>
      <c r="F385" s="133"/>
      <c r="G385" s="13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60">
        <f t="shared" si="1"/>
        <v>380</v>
      </c>
      <c r="B386" s="9" t="str">
        <f>IFERROR(__xludf.DUMMYFUNCTION("""COMPUTED_VALUE"""),"ABUEL")</f>
        <v>ABUEL</v>
      </c>
      <c r="C386" s="9" t="str">
        <f>IFERROR(__xludf.DUMMYFUNCTION("""COMPUTED_VALUE"""),"MARIEL")</f>
        <v>MARIEL</v>
      </c>
      <c r="D386" s="9" t="str">
        <f>IFERROR(__xludf.DUMMYFUNCTION("""COMPUTED_VALUE"""),"ALBEZA")</f>
        <v>ALBEZA</v>
      </c>
      <c r="E386" s="9" t="str">
        <f>IFERROR(__xludf.DUMMYFUNCTION("""COMPUTED_VALUE"""),"MARICEL ALBEZA ABUEL ")</f>
        <v>MARICEL ALBEZA ABUEL </v>
      </c>
      <c r="F386" s="133"/>
      <c r="G386" s="13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60">
        <f t="shared" si="1"/>
        <v>381</v>
      </c>
      <c r="B387" s="9" t="str">
        <f>IFERROR(__xludf.DUMMYFUNCTION("""COMPUTED_VALUE"""),"ALBEZA")</f>
        <v>ALBEZA</v>
      </c>
      <c r="C387" s="9" t="str">
        <f>IFERROR(__xludf.DUMMYFUNCTION("""COMPUTED_VALUE"""),"DOMINADOR JR. ")</f>
        <v>DOMINADOR JR. </v>
      </c>
      <c r="D387" s="9"/>
      <c r="E387" s="9" t="str">
        <f>IFERROR(__xludf.DUMMYFUNCTION("""COMPUTED_VALUE"""),"DOMINADOR ALBEZA ")</f>
        <v>DOMINADOR ALBEZA </v>
      </c>
      <c r="F387" s="133"/>
      <c r="G387" s="13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60">
        <f t="shared" si="1"/>
        <v>382</v>
      </c>
      <c r="B388" s="9" t="str">
        <f>IFERROR(__xludf.DUMMYFUNCTION("""COMPUTED_VALUE"""),"ALBEZA ")</f>
        <v>ALBEZA </v>
      </c>
      <c r="C388" s="9" t="str">
        <f>IFERROR(__xludf.DUMMYFUNCTION("""COMPUTED_VALUE"""),"MARILOU")</f>
        <v>MARILOU</v>
      </c>
      <c r="D388" s="9"/>
      <c r="E388" s="9" t="str">
        <f>IFERROR(__xludf.DUMMYFUNCTION("""COMPUTED_VALUE"""),"DOMINADOR ALBEZA ")</f>
        <v>DOMINADOR ALBEZA </v>
      </c>
      <c r="F388" s="133"/>
      <c r="G388" s="13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60">
        <f t="shared" si="1"/>
        <v>383</v>
      </c>
      <c r="B389" s="9" t="str">
        <f>IFERROR(__xludf.DUMMYFUNCTION("""COMPUTED_VALUE"""),"MERCADO")</f>
        <v>MERCADO</v>
      </c>
      <c r="C389" s="9" t="str">
        <f>IFERROR(__xludf.DUMMYFUNCTION("""COMPUTED_VALUE"""),"ZAIRUD")</f>
        <v>ZAIRUD</v>
      </c>
      <c r="D389" s="9"/>
      <c r="E389" s="9" t="str">
        <f>IFERROR(__xludf.DUMMYFUNCTION("""COMPUTED_VALUE"""),"PAUL ARDEN MERCADO")</f>
        <v>PAUL ARDEN MERCADO</v>
      </c>
      <c r="F389" s="133"/>
      <c r="G389" s="13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60">
        <f t="shared" si="1"/>
        <v>384</v>
      </c>
      <c r="B390" s="9" t="str">
        <f>IFERROR(__xludf.DUMMYFUNCTION("""COMPUTED_VALUE"""),"SELORIO")</f>
        <v>SELORIO</v>
      </c>
      <c r="C390" s="9" t="str">
        <f>IFERROR(__xludf.DUMMYFUNCTION("""COMPUTED_VALUE"""),"MARC ARLU")</f>
        <v>MARC ARLU</v>
      </c>
      <c r="D390" s="9"/>
      <c r="E390" s="9" t="str">
        <f>IFERROR(__xludf.DUMMYFUNCTION("""COMPUTED_VALUE"""),"ARVIE F. SELORIO")</f>
        <v>ARVIE F. SELORIO</v>
      </c>
      <c r="F390" s="133"/>
      <c r="G390" s="13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60">
        <f t="shared" si="1"/>
        <v>385</v>
      </c>
      <c r="B391" s="9" t="str">
        <f>IFERROR(__xludf.DUMMYFUNCTION("""COMPUTED_VALUE"""),"SELORIO")</f>
        <v>SELORIO</v>
      </c>
      <c r="C391" s="9" t="str">
        <f>IFERROR(__xludf.DUMMYFUNCTION("""COMPUTED_VALUE"""),"MAVIE SOFIA")</f>
        <v>MAVIE SOFIA</v>
      </c>
      <c r="D391" s="9"/>
      <c r="E391" s="9" t="str">
        <f>IFERROR(__xludf.DUMMYFUNCTION("""COMPUTED_VALUE"""),"ARVIE F. SELORIO")</f>
        <v>ARVIE F. SELORIO</v>
      </c>
      <c r="F391" s="133"/>
      <c r="G391" s="13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60">
        <f t="shared" si="1"/>
        <v>386</v>
      </c>
      <c r="B392" s="9" t="str">
        <f>IFERROR(__xludf.DUMMYFUNCTION("""COMPUTED_VALUE"""),"SELORIO")</f>
        <v>SELORIO</v>
      </c>
      <c r="C392" s="9" t="str">
        <f>IFERROR(__xludf.DUMMYFUNCTION("""COMPUTED_VALUE"""),"MARC STEPHEN")</f>
        <v>MARC STEPHEN</v>
      </c>
      <c r="D392" s="9"/>
      <c r="E392" s="9" t="str">
        <f>IFERROR(__xludf.DUMMYFUNCTION("""COMPUTED_VALUE"""),"ARVIE F. SELORIO")</f>
        <v>ARVIE F. SELORIO</v>
      </c>
      <c r="F392" s="133"/>
      <c r="G392" s="13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60">
        <f t="shared" si="1"/>
        <v>387</v>
      </c>
      <c r="B393" s="9" t="str">
        <f>IFERROR(__xludf.DUMMYFUNCTION("""COMPUTED_VALUE"""),"SELORIO")</f>
        <v>SELORIO</v>
      </c>
      <c r="C393" s="9" t="str">
        <f>IFERROR(__xludf.DUMMYFUNCTION("""COMPUTED_VALUE"""),"MARIBETH")</f>
        <v>MARIBETH</v>
      </c>
      <c r="D393" s="9" t="str">
        <f>IFERROR(__xludf.DUMMYFUNCTION("""COMPUTED_VALUE"""),"MARCO")</f>
        <v>MARCO</v>
      </c>
      <c r="E393" s="9" t="str">
        <f>IFERROR(__xludf.DUMMYFUNCTION("""COMPUTED_VALUE"""),"LUTGARDO C. MARCO")</f>
        <v>LUTGARDO C. MARCO</v>
      </c>
      <c r="F393" s="133"/>
      <c r="G393" s="13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60">
        <f t="shared" si="1"/>
        <v>388</v>
      </c>
      <c r="B394" s="9" t="str">
        <f>IFERROR(__xludf.DUMMYFUNCTION("""COMPUTED_VALUE"""),"MARCO")</f>
        <v>MARCO</v>
      </c>
      <c r="C394" s="9" t="str">
        <f>IFERROR(__xludf.DUMMYFUNCTION("""COMPUTED_VALUE"""),"MARILUTH")</f>
        <v>MARILUTH</v>
      </c>
      <c r="D394" s="9" t="str">
        <f>IFERROR(__xludf.DUMMYFUNCTION("""COMPUTED_VALUE"""),"MERCADO")</f>
        <v>MERCADO</v>
      </c>
      <c r="E394" s="9" t="str">
        <f>IFERROR(__xludf.DUMMYFUNCTION("""COMPUTED_VALUE"""),"LUTGARDO C. MARCO")</f>
        <v>LUTGARDO C. MARCO</v>
      </c>
      <c r="F394" s="133"/>
      <c r="G394" s="13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60">
        <f t="shared" si="1"/>
        <v>389</v>
      </c>
      <c r="B395" s="9" t="str">
        <f>IFERROR(__xludf.DUMMYFUNCTION("""COMPUTED_VALUE"""),"MARCO")</f>
        <v>MARCO</v>
      </c>
      <c r="C395" s="9" t="str">
        <f>IFERROR(__xludf.DUMMYFUNCTION("""COMPUTED_VALUE"""),"MARVIN JULIUS")</f>
        <v>MARVIN JULIUS</v>
      </c>
      <c r="D395" s="9" t="str">
        <f>IFERROR(__xludf.DUMMYFUNCTION("""COMPUTED_VALUE"""),"MERCADO")</f>
        <v>MERCADO</v>
      </c>
      <c r="E395" s="9" t="str">
        <f>IFERROR(__xludf.DUMMYFUNCTION("""COMPUTED_VALUE"""),"LUTGARDO C. MARCO")</f>
        <v>LUTGARDO C. MARCO</v>
      </c>
      <c r="F395" s="133"/>
      <c r="G395" s="13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60">
        <f t="shared" si="1"/>
        <v>390</v>
      </c>
      <c r="B396" s="9" t="str">
        <f>IFERROR(__xludf.DUMMYFUNCTION("""COMPUTED_VALUE"""),"MERCADO")</f>
        <v>MERCADO</v>
      </c>
      <c r="C396" s="9" t="str">
        <f>IFERROR(__xludf.DUMMYFUNCTION("""COMPUTED_VALUE"""),"CLYDE DYME")</f>
        <v>CLYDE DYME</v>
      </c>
      <c r="D396" s="9" t="str">
        <f>IFERROR(__xludf.DUMMYFUNCTION("""COMPUTED_VALUE"""),"O.")</f>
        <v>O.</v>
      </c>
      <c r="E396" s="9" t="str">
        <f>IFERROR(__xludf.DUMMYFUNCTION("""COMPUTED_VALUE"""),"RICHARD DEAN O. MERCADO")</f>
        <v>RICHARD DEAN O. MERCADO</v>
      </c>
      <c r="F396" s="133"/>
      <c r="G396" s="13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60">
        <f t="shared" si="1"/>
        <v>391</v>
      </c>
      <c r="B397" s="9" t="str">
        <f>IFERROR(__xludf.DUMMYFUNCTION("""COMPUTED_VALUE"""),"MERCADO")</f>
        <v>MERCADO</v>
      </c>
      <c r="C397" s="9" t="str">
        <f>IFERROR(__xludf.DUMMYFUNCTION("""COMPUTED_VALUE"""),"SCARLETPED")</f>
        <v>SCARLETPED</v>
      </c>
      <c r="D397" s="9" t="str">
        <f>IFERROR(__xludf.DUMMYFUNCTION("""COMPUTED_VALUE"""),"O.")</f>
        <v>O.</v>
      </c>
      <c r="E397" s="9" t="str">
        <f>IFERROR(__xludf.DUMMYFUNCTION("""COMPUTED_VALUE"""),"RICHARD DEAN O. MERCADO")</f>
        <v>RICHARD DEAN O. MERCADO</v>
      </c>
      <c r="F397" s="133"/>
      <c r="G397" s="13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60">
        <f t="shared" si="1"/>
        <v>392</v>
      </c>
      <c r="B398" s="9" t="str">
        <f>IFERROR(__xludf.DUMMYFUNCTION("""COMPUTED_VALUE"""),"MERCADO")</f>
        <v>MERCADO</v>
      </c>
      <c r="C398" s="9" t="str">
        <f>IFERROR(__xludf.DUMMYFUNCTION("""COMPUTED_VALUE"""),"ANDREA  GAIL ")</f>
        <v>ANDREA  GAIL </v>
      </c>
      <c r="D398" s="9" t="str">
        <f>IFERROR(__xludf.DUMMYFUNCTION("""COMPUTED_VALUE"""),"D.")</f>
        <v>D.</v>
      </c>
      <c r="E398" s="9" t="str">
        <f>IFERROR(__xludf.DUMMYFUNCTION("""COMPUTED_VALUE"""),"DANILO A. MERCADO")</f>
        <v>DANILO A. MERCADO</v>
      </c>
      <c r="F398" s="133"/>
      <c r="G398" s="13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60">
        <f t="shared" si="1"/>
        <v>393</v>
      </c>
      <c r="B399" s="9" t="str">
        <f>IFERROR(__xludf.DUMMYFUNCTION("""COMPUTED_VALUE"""),"MERCADO")</f>
        <v>MERCADO</v>
      </c>
      <c r="C399" s="9" t="str">
        <f>IFERROR(__xludf.DUMMYFUNCTION("""COMPUTED_VALUE"""),"MAUREEN ")</f>
        <v>MAUREEN </v>
      </c>
      <c r="D399" s="9" t="str">
        <f>IFERROR(__xludf.DUMMYFUNCTION("""COMPUTED_VALUE"""),"D. ")</f>
        <v>D. </v>
      </c>
      <c r="E399" s="9" t="str">
        <f>IFERROR(__xludf.DUMMYFUNCTION("""COMPUTED_VALUE"""),"DANILO A. MERCADO")</f>
        <v>DANILO A. MERCADO</v>
      </c>
      <c r="F399" s="133"/>
      <c r="G399" s="13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60">
        <f t="shared" si="1"/>
        <v>394</v>
      </c>
      <c r="B400" s="9" t="str">
        <f>IFERROR(__xludf.DUMMYFUNCTION("""COMPUTED_VALUE"""),"GONZALES")</f>
        <v>GONZALES</v>
      </c>
      <c r="C400" s="9" t="str">
        <f>IFERROR(__xludf.DUMMYFUNCTION("""COMPUTED_VALUE"""),"CHANDREA FAITH ")</f>
        <v>CHANDREA FAITH </v>
      </c>
      <c r="D400" s="9" t="str">
        <f>IFERROR(__xludf.DUMMYFUNCTION("""COMPUTED_VALUE"""),"M.")</f>
        <v>M.</v>
      </c>
      <c r="E400" s="9" t="str">
        <f>IFERROR(__xludf.DUMMYFUNCTION("""COMPUTED_VALUE"""),"JOHN LAWRENCE GONZALES")</f>
        <v>JOHN LAWRENCE GONZALES</v>
      </c>
      <c r="F400" s="133"/>
      <c r="G400" s="13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60">
        <f t="shared" si="1"/>
        <v>395</v>
      </c>
      <c r="B401" s="9" t="str">
        <f>IFERROR(__xludf.DUMMYFUNCTION("""COMPUTED_VALUE"""),"MERCADO")</f>
        <v>MERCADO</v>
      </c>
      <c r="C401" s="9" t="str">
        <f>IFERROR(__xludf.DUMMYFUNCTION("""COMPUTED_VALUE"""),"ZANE LHIAN")</f>
        <v>ZANE LHIAN</v>
      </c>
      <c r="D401" s="9" t="str">
        <f>IFERROR(__xludf.DUMMYFUNCTION("""COMPUTED_VALUE"""),"S.")</f>
        <v>S.</v>
      </c>
      <c r="E401" s="9" t="str">
        <f>IFERROR(__xludf.DUMMYFUNCTION("""COMPUTED_VALUE"""),"LEANDRO D. MERCADO")</f>
        <v>LEANDRO D. MERCADO</v>
      </c>
      <c r="F401" s="133"/>
      <c r="G401" s="13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60">
        <f t="shared" si="1"/>
        <v>396</v>
      </c>
      <c r="B402" s="9" t="str">
        <f>IFERROR(__xludf.DUMMYFUNCTION("""COMPUTED_VALUE"""),"MERCADO")</f>
        <v>MERCADO</v>
      </c>
      <c r="C402" s="9" t="str">
        <f>IFERROR(__xludf.DUMMYFUNCTION("""COMPUTED_VALUE"""),"ELLERIE ")</f>
        <v>ELLERIE </v>
      </c>
      <c r="D402" s="9" t="str">
        <f>IFERROR(__xludf.DUMMYFUNCTION("""COMPUTED_VALUE"""),"S.")</f>
        <v>S.</v>
      </c>
      <c r="E402" s="9" t="str">
        <f>IFERROR(__xludf.DUMMYFUNCTION("""COMPUTED_VALUE"""),"LEANDRO D. MERCADO")</f>
        <v>LEANDRO D. MERCADO</v>
      </c>
      <c r="F402" s="133"/>
      <c r="G402" s="13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60">
        <f t="shared" si="1"/>
        <v>397</v>
      </c>
      <c r="B403" s="9" t="str">
        <f>IFERROR(__xludf.DUMMYFUNCTION("""COMPUTED_VALUE"""),"MERCADO")</f>
        <v>MERCADO</v>
      </c>
      <c r="C403" s="9" t="str">
        <f>IFERROR(__xludf.DUMMYFUNCTION("""COMPUTED_VALUE"""),"ZOE ELLAINE ")</f>
        <v>ZOE ELLAINE </v>
      </c>
      <c r="D403" s="9" t="str">
        <f>IFERROR(__xludf.DUMMYFUNCTION("""COMPUTED_VALUE"""),"S.")</f>
        <v>S.</v>
      </c>
      <c r="E403" s="9" t="str">
        <f>IFERROR(__xludf.DUMMYFUNCTION("""COMPUTED_VALUE"""),"LEANDRO D. MERCADO")</f>
        <v>LEANDRO D. MERCADO</v>
      </c>
      <c r="F403" s="133"/>
      <c r="G403" s="13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60">
        <f t="shared" si="1"/>
        <v>398</v>
      </c>
      <c r="B404" s="9" t="str">
        <f>IFERROR(__xludf.DUMMYFUNCTION("""COMPUTED_VALUE"""),"MARTINEZ")</f>
        <v>MARTINEZ</v>
      </c>
      <c r="C404" s="9" t="str">
        <f>IFERROR(__xludf.DUMMYFUNCTION("""COMPUTED_VALUE"""),"WARREN")</f>
        <v>WARREN</v>
      </c>
      <c r="D404" s="9"/>
      <c r="E404" s="9" t="str">
        <f>IFERROR(__xludf.DUMMYFUNCTION("""COMPUTED_VALUE"""),"JULIETA MARTINEZ ")</f>
        <v>JULIETA MARTINEZ </v>
      </c>
      <c r="F404" s="133"/>
      <c r="G404" s="13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60">
        <f t="shared" si="1"/>
        <v>399</v>
      </c>
      <c r="B405" s="9" t="str">
        <f>IFERROR(__xludf.DUMMYFUNCTION("""COMPUTED_VALUE"""),"OLAES")</f>
        <v>OLAES</v>
      </c>
      <c r="C405" s="9" t="str">
        <f>IFERROR(__xludf.DUMMYFUNCTION("""COMPUTED_VALUE"""),"ASHLEY CHANTLE")</f>
        <v>ASHLEY CHANTLE</v>
      </c>
      <c r="D405" s="9" t="str">
        <f>IFERROR(__xludf.DUMMYFUNCTION("""COMPUTED_VALUE"""),"C.")</f>
        <v>C.</v>
      </c>
      <c r="E405" s="9" t="str">
        <f>IFERROR(__xludf.DUMMYFUNCTION("""COMPUTED_VALUE"""),"SIENALYN OLAES")</f>
        <v>SIENALYN OLAES</v>
      </c>
      <c r="F405" s="133"/>
      <c r="G405" s="13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60">
        <f t="shared" si="1"/>
        <v>400</v>
      </c>
      <c r="B406" s="9" t="str">
        <f>IFERROR(__xludf.DUMMYFUNCTION("""COMPUTED_VALUE"""),"OLAES")</f>
        <v>OLAES</v>
      </c>
      <c r="C406" s="9" t="str">
        <f>IFERROR(__xludf.DUMMYFUNCTION("""COMPUTED_VALUE"""),"JASTIN DALE")</f>
        <v>JASTIN DALE</v>
      </c>
      <c r="D406" s="9" t="str">
        <f>IFERROR(__xludf.DUMMYFUNCTION("""COMPUTED_VALUE"""),"C.")</f>
        <v>C.</v>
      </c>
      <c r="E406" s="9" t="str">
        <f>IFERROR(__xludf.DUMMYFUNCTION("""COMPUTED_VALUE"""),"SIENALYN OLAES")</f>
        <v>SIENALYN OLAES</v>
      </c>
      <c r="F406" s="133"/>
      <c r="G406" s="13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60">
        <f t="shared" si="1"/>
        <v>401</v>
      </c>
      <c r="B407" s="9" t="str">
        <f>IFERROR(__xludf.DUMMYFUNCTION("""COMPUTED_VALUE"""),"OLAES")</f>
        <v>OLAES</v>
      </c>
      <c r="C407" s="9" t="str">
        <f>IFERROR(__xludf.DUMMYFUNCTION("""COMPUTED_VALUE"""),"ROLLEN DENISE")</f>
        <v>ROLLEN DENISE</v>
      </c>
      <c r="D407" s="9"/>
      <c r="E407" s="9" t="str">
        <f>IFERROR(__xludf.DUMMYFUNCTION("""COMPUTED_VALUE"""),"ROLANDO OALES ")</f>
        <v>ROLANDO OALES </v>
      </c>
      <c r="F407" s="133"/>
      <c r="G407" s="13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60">
        <f t="shared" si="1"/>
        <v>402</v>
      </c>
      <c r="B408" s="9" t="str">
        <f>IFERROR(__xludf.DUMMYFUNCTION("""COMPUTED_VALUE"""),"NAVARRETE")</f>
        <v>NAVARRETE</v>
      </c>
      <c r="C408" s="9" t="str">
        <f>IFERROR(__xludf.DUMMYFUNCTION("""COMPUTED_VALUE"""),"YAREN ARKIN ")</f>
        <v>YAREN ARKIN </v>
      </c>
      <c r="D408" s="9" t="str">
        <f>IFERROR(__xludf.DUMMYFUNCTION("""COMPUTED_VALUE"""),"O.")</f>
        <v>O.</v>
      </c>
      <c r="E408" s="9" t="str">
        <f>IFERROR(__xludf.DUMMYFUNCTION("""COMPUTED_VALUE"""),"VANESSA NAVARRETE")</f>
        <v>VANESSA NAVARRETE</v>
      </c>
      <c r="F408" s="133"/>
      <c r="G408" s="13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60">
        <f t="shared" si="1"/>
        <v>403</v>
      </c>
      <c r="B409" s="9" t="str">
        <f>IFERROR(__xludf.DUMMYFUNCTION("""COMPUTED_VALUE"""),"NAVARRETE")</f>
        <v>NAVARRETE</v>
      </c>
      <c r="C409" s="9" t="str">
        <f>IFERROR(__xludf.DUMMYFUNCTION("""COMPUTED_VALUE"""),"VANGEL AZREL ")</f>
        <v>VANGEL AZREL </v>
      </c>
      <c r="D409" s="9" t="str">
        <f>IFERROR(__xludf.DUMMYFUNCTION("""COMPUTED_VALUE"""),"O.")</f>
        <v>O.</v>
      </c>
      <c r="E409" s="9" t="str">
        <f>IFERROR(__xludf.DUMMYFUNCTION("""COMPUTED_VALUE"""),"VANESSA NAVARRETE")</f>
        <v>VANESSA NAVARRETE</v>
      </c>
      <c r="F409" s="133"/>
      <c r="G409" s="13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60">
        <f t="shared" si="1"/>
        <v>404</v>
      </c>
      <c r="B410" s="9" t="str">
        <f>IFERROR(__xludf.DUMMYFUNCTION("""COMPUTED_VALUE"""),"HONTIVEROS")</f>
        <v>HONTIVEROS</v>
      </c>
      <c r="C410" s="9" t="str">
        <f>IFERROR(__xludf.DUMMYFUNCTION("""COMPUTED_VALUE"""),"WILSON")</f>
        <v>WILSON</v>
      </c>
      <c r="D410" s="9"/>
      <c r="E410" s="9" t="str">
        <f>IFERROR(__xludf.DUMMYFUNCTION("""COMPUTED_VALUE"""),"WILFREDO HONTIVEROS")</f>
        <v>WILFREDO HONTIVEROS</v>
      </c>
      <c r="F410" s="133"/>
      <c r="G410" s="13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60">
        <f t="shared" si="1"/>
        <v>405</v>
      </c>
      <c r="B411" s="9" t="str">
        <f>IFERROR(__xludf.DUMMYFUNCTION("""COMPUTED_VALUE"""),"PACIA")</f>
        <v>PACIA</v>
      </c>
      <c r="C411" s="9" t="str">
        <f>IFERROR(__xludf.DUMMYFUNCTION("""COMPUTED_VALUE"""),"ASHLEY ")</f>
        <v>ASHLEY </v>
      </c>
      <c r="D411" s="9"/>
      <c r="E411" s="9" t="str">
        <f>IFERROR(__xludf.DUMMYFUNCTION("""COMPUTED_VALUE"""),"RHODORA PACIA")</f>
        <v>RHODORA PACIA</v>
      </c>
      <c r="F411" s="133"/>
      <c r="G411" s="13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60">
        <f t="shared" si="1"/>
        <v>406</v>
      </c>
      <c r="B412" s="9" t="str">
        <f>IFERROR(__xludf.DUMMYFUNCTION("""COMPUTED_VALUE"""),"PACIA")</f>
        <v>PACIA</v>
      </c>
      <c r="C412" s="9" t="str">
        <f>IFERROR(__xludf.DUMMYFUNCTION("""COMPUTED_VALUE"""),"SHAN FORTUNE")</f>
        <v>SHAN FORTUNE</v>
      </c>
      <c r="D412" s="9"/>
      <c r="E412" s="9" t="str">
        <f>IFERROR(__xludf.DUMMYFUNCTION("""COMPUTED_VALUE"""),"RHODORA PACIA")</f>
        <v>RHODORA PACIA</v>
      </c>
      <c r="F412" s="133"/>
      <c r="G412" s="13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60">
        <f t="shared" si="1"/>
        <v>407</v>
      </c>
      <c r="B413" s="9" t="str">
        <f>IFERROR(__xludf.DUMMYFUNCTION("""COMPUTED_VALUE"""),"CASTILIO")</f>
        <v>CASTILIO</v>
      </c>
      <c r="C413" s="9" t="str">
        <f>IFERROR(__xludf.DUMMYFUNCTION("""COMPUTED_VALUE"""),"ETHAN JOSEPH")</f>
        <v>ETHAN JOSEPH</v>
      </c>
      <c r="D413" s="9"/>
      <c r="E413" s="9" t="str">
        <f>IFERROR(__xludf.DUMMYFUNCTION("""COMPUTED_VALUE"""),"RHODORA PACIA")</f>
        <v>RHODORA PACIA</v>
      </c>
      <c r="F413" s="133"/>
      <c r="G413" s="13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60">
        <f t="shared" si="1"/>
        <v>408</v>
      </c>
      <c r="B414" s="9" t="str">
        <f>IFERROR(__xludf.DUMMYFUNCTION("""COMPUTED_VALUE"""),"CASTILIO")</f>
        <v>CASTILIO</v>
      </c>
      <c r="C414" s="9" t="str">
        <f>IFERROR(__xludf.DUMMYFUNCTION("""COMPUTED_VALUE"""),"ELIJAH JILL CASTILLO")</f>
        <v>ELIJAH JILL CASTILLO</v>
      </c>
      <c r="D414" s="9"/>
      <c r="E414" s="9" t="str">
        <f>IFERROR(__xludf.DUMMYFUNCTION("""COMPUTED_VALUE"""),"RHODORA PACIA")</f>
        <v>RHODORA PACIA</v>
      </c>
      <c r="F414" s="133"/>
      <c r="G414" s="13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60">
        <f t="shared" si="1"/>
        <v>409</v>
      </c>
      <c r="B415" s="9" t="str">
        <f>IFERROR(__xludf.DUMMYFUNCTION("""COMPUTED_VALUE"""),"BAÑADERA")</f>
        <v>BAÑADERA</v>
      </c>
      <c r="C415" s="9" t="str">
        <f>IFERROR(__xludf.DUMMYFUNCTION("""COMPUTED_VALUE"""),"ANDRE")</f>
        <v>ANDRE</v>
      </c>
      <c r="D415" s="9"/>
      <c r="E415" s="9" t="str">
        <f>IFERROR(__xludf.DUMMYFUNCTION("""COMPUTED_VALUE"""),"MARY GRACE BAÑADERA")</f>
        <v>MARY GRACE BAÑADERA</v>
      </c>
      <c r="F415" s="133"/>
      <c r="G415" s="13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60">
        <f t="shared" si="1"/>
        <v>410</v>
      </c>
      <c r="B416" s="9" t="str">
        <f>IFERROR(__xludf.DUMMYFUNCTION("""COMPUTED_VALUE"""),"BAÑADERA")</f>
        <v>BAÑADERA</v>
      </c>
      <c r="C416" s="9" t="str">
        <f>IFERROR(__xludf.DUMMYFUNCTION("""COMPUTED_VALUE"""),"ADRIENNE")</f>
        <v>ADRIENNE</v>
      </c>
      <c r="D416" s="9"/>
      <c r="E416" s="9" t="str">
        <f>IFERROR(__xludf.DUMMYFUNCTION("""COMPUTED_VALUE"""),"MARY GRACE BAÑADERA")</f>
        <v>MARY GRACE BAÑADERA</v>
      </c>
      <c r="F416" s="133"/>
      <c r="G416" s="13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60">
        <f t="shared" si="1"/>
        <v>411</v>
      </c>
      <c r="B417" s="9" t="str">
        <f>IFERROR(__xludf.DUMMYFUNCTION("""COMPUTED_VALUE"""),"TIDALGO")</f>
        <v>TIDALGO</v>
      </c>
      <c r="C417" s="9" t="str">
        <f>IFERROR(__xludf.DUMMYFUNCTION("""COMPUTED_VALUE"""),"ASHANTI")</f>
        <v>ASHANTI</v>
      </c>
      <c r="D417" s="9"/>
      <c r="E417" s="9" t="str">
        <f>IFERROR(__xludf.DUMMYFUNCTION("""COMPUTED_VALUE"""),"JOHN VERR MANGULABNAN")</f>
        <v>JOHN VERR MANGULABNAN</v>
      </c>
      <c r="F417" s="133"/>
      <c r="G417" s="13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60">
        <f t="shared" si="1"/>
        <v>412</v>
      </c>
      <c r="B418" s="9" t="str">
        <f>IFERROR(__xludf.DUMMYFUNCTION("""COMPUTED_VALUE"""),"GABUYA")</f>
        <v>GABUYA</v>
      </c>
      <c r="C418" s="9" t="str">
        <f>IFERROR(__xludf.DUMMYFUNCTION("""COMPUTED_VALUE"""),"JULIET")</f>
        <v>JULIET</v>
      </c>
      <c r="D418" s="9"/>
      <c r="E418" s="9" t="str">
        <f>IFERROR(__xludf.DUMMYFUNCTION("""COMPUTED_VALUE"""),"RODOLFO RABANG")</f>
        <v>RODOLFO RABANG</v>
      </c>
      <c r="F418" s="133"/>
      <c r="G418" s="13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60">
        <f t="shared" si="1"/>
        <v>413</v>
      </c>
      <c r="B419" s="9" t="str">
        <f>IFERROR(__xludf.DUMMYFUNCTION("""COMPUTED_VALUE"""),"RABANG")</f>
        <v>RABANG</v>
      </c>
      <c r="C419" s="9" t="str">
        <f>IFERROR(__xludf.DUMMYFUNCTION("""COMPUTED_VALUE"""),"JESSICA")</f>
        <v>JESSICA</v>
      </c>
      <c r="D419" s="9"/>
      <c r="E419" s="9" t="str">
        <f>IFERROR(__xludf.DUMMYFUNCTION("""COMPUTED_VALUE"""),"RODOLFO RABANG")</f>
        <v>RODOLFO RABANG</v>
      </c>
      <c r="F419" s="133"/>
      <c r="G419" s="13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60">
        <f t="shared" si="1"/>
        <v>414</v>
      </c>
      <c r="B420" s="9" t="str">
        <f>IFERROR(__xludf.DUMMYFUNCTION("""COMPUTED_VALUE"""),"RABANG")</f>
        <v>RABANG</v>
      </c>
      <c r="C420" s="9" t="str">
        <f>IFERROR(__xludf.DUMMYFUNCTION("""COMPUTED_VALUE"""),"JERICK")</f>
        <v>JERICK</v>
      </c>
      <c r="D420" s="9"/>
      <c r="E420" s="9" t="str">
        <f>IFERROR(__xludf.DUMMYFUNCTION("""COMPUTED_VALUE"""),"RODOLFO RABANG")</f>
        <v>RODOLFO RABANG</v>
      </c>
      <c r="F420" s="133"/>
      <c r="G420" s="13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60">
        <f t="shared" si="1"/>
        <v>415</v>
      </c>
      <c r="B421" s="9" t="str">
        <f>IFERROR(__xludf.DUMMYFUNCTION("""COMPUTED_VALUE"""),"PEREZ")</f>
        <v>PEREZ</v>
      </c>
      <c r="C421" s="9" t="str">
        <f>IFERROR(__xludf.DUMMYFUNCTION("""COMPUTED_VALUE"""),"BERNARD")</f>
        <v>BERNARD</v>
      </c>
      <c r="D421" s="9"/>
      <c r="E421" s="9" t="str">
        <f>IFERROR(__xludf.DUMMYFUNCTION("""COMPUTED_VALUE"""),"CORAZON PEREZ")</f>
        <v>CORAZON PEREZ</v>
      </c>
      <c r="F421" s="133"/>
      <c r="G421" s="13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60">
        <f t="shared" si="1"/>
        <v>416</v>
      </c>
      <c r="B422" s="9" t="str">
        <f>IFERROR(__xludf.DUMMYFUNCTION("""COMPUTED_VALUE"""),"PEREZ")</f>
        <v>PEREZ</v>
      </c>
      <c r="C422" s="9" t="str">
        <f>IFERROR(__xludf.DUMMYFUNCTION("""COMPUTED_VALUE"""),"HECTOR")</f>
        <v>HECTOR</v>
      </c>
      <c r="D422" s="9"/>
      <c r="E422" s="9" t="str">
        <f>IFERROR(__xludf.DUMMYFUNCTION("""COMPUTED_VALUE"""),"CORAZON PEREZ")</f>
        <v>CORAZON PEREZ</v>
      </c>
      <c r="F422" s="133"/>
      <c r="G422" s="13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60">
        <f t="shared" si="1"/>
        <v>417</v>
      </c>
      <c r="B423" s="9" t="str">
        <f>IFERROR(__xludf.DUMMYFUNCTION("""COMPUTED_VALUE"""),"DITCHE")</f>
        <v>DITCHE</v>
      </c>
      <c r="C423" s="9" t="str">
        <f>IFERROR(__xludf.DUMMYFUNCTION("""COMPUTED_VALUE"""),"ETHAN ")</f>
        <v>ETHAN </v>
      </c>
      <c r="D423" s="9"/>
      <c r="E423" s="9" t="str">
        <f>IFERROR(__xludf.DUMMYFUNCTION("""COMPUTED_VALUE"""),"ANELIE ANN GATON")</f>
        <v>ANELIE ANN GATON</v>
      </c>
      <c r="F423" s="133"/>
      <c r="G423" s="13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60">
        <f t="shared" si="1"/>
        <v>418</v>
      </c>
      <c r="B424" s="9" t="str">
        <f>IFERROR(__xludf.DUMMYFUNCTION("""COMPUTED_VALUE"""),"DITCHE")</f>
        <v>DITCHE</v>
      </c>
      <c r="C424" s="9" t="str">
        <f>IFERROR(__xludf.DUMMYFUNCTION("""COMPUTED_VALUE"""),"LOUSE")</f>
        <v>LOUSE</v>
      </c>
      <c r="D424" s="9"/>
      <c r="E424" s="9" t="str">
        <f>IFERROR(__xludf.DUMMYFUNCTION("""COMPUTED_VALUE"""),"ANELIE ANN GATON")</f>
        <v>ANELIE ANN GATON</v>
      </c>
      <c r="F424" s="133"/>
      <c r="G424" s="13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60">
        <f t="shared" si="1"/>
        <v>419</v>
      </c>
      <c r="B425" s="9" t="str">
        <f>IFERROR(__xludf.DUMMYFUNCTION("""COMPUTED_VALUE"""),"ORTIZ")</f>
        <v>ORTIZ</v>
      </c>
      <c r="C425" s="9" t="str">
        <f>IFERROR(__xludf.DUMMYFUNCTION("""COMPUTED_VALUE"""),"ALEXANDRA")</f>
        <v>ALEXANDRA</v>
      </c>
      <c r="D425" s="9"/>
      <c r="E425" s="9" t="str">
        <f>IFERROR(__xludf.DUMMYFUNCTION("""COMPUTED_VALUE"""),"NESTOR ORTIZ")</f>
        <v>NESTOR ORTIZ</v>
      </c>
      <c r="F425" s="133"/>
      <c r="G425" s="13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60">
        <f t="shared" si="1"/>
        <v>420</v>
      </c>
      <c r="B426" s="9" t="str">
        <f>IFERROR(__xludf.DUMMYFUNCTION("""COMPUTED_VALUE"""),"ORTIZ")</f>
        <v>ORTIZ</v>
      </c>
      <c r="C426" s="9" t="str">
        <f>IFERROR(__xludf.DUMMYFUNCTION("""COMPUTED_VALUE"""),"ARKHEIN")</f>
        <v>ARKHEIN</v>
      </c>
      <c r="D426" s="9"/>
      <c r="E426" s="9" t="str">
        <f>IFERROR(__xludf.DUMMYFUNCTION("""COMPUTED_VALUE"""),"NESTOR ORTIZ")</f>
        <v>NESTOR ORTIZ</v>
      </c>
      <c r="F426" s="133"/>
      <c r="G426" s="13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60">
        <f t="shared" si="1"/>
        <v>421</v>
      </c>
      <c r="B427" s="9" t="str">
        <f>IFERROR(__xludf.DUMMYFUNCTION("""COMPUTED_VALUE"""),"ORTIZ")</f>
        <v>ORTIZ</v>
      </c>
      <c r="C427" s="9" t="str">
        <f>IFERROR(__xludf.DUMMYFUNCTION("""COMPUTED_VALUE"""),"AGATHA")</f>
        <v>AGATHA</v>
      </c>
      <c r="D427" s="9"/>
      <c r="E427" s="9" t="str">
        <f>IFERROR(__xludf.DUMMYFUNCTION("""COMPUTED_VALUE"""),"NESTOR ORTIZ")</f>
        <v>NESTOR ORTIZ</v>
      </c>
      <c r="F427" s="133"/>
      <c r="G427" s="13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60">
        <f t="shared" si="1"/>
        <v>422</v>
      </c>
      <c r="B428" s="9" t="str">
        <f>IFERROR(__xludf.DUMMYFUNCTION("""COMPUTED_VALUE"""),"ORTIZ")</f>
        <v>ORTIZ</v>
      </c>
      <c r="C428" s="9" t="str">
        <f>IFERROR(__xludf.DUMMYFUNCTION("""COMPUTED_VALUE"""),"ANTHONY")</f>
        <v>ANTHONY</v>
      </c>
      <c r="D428" s="9"/>
      <c r="E428" s="9" t="str">
        <f>IFERROR(__xludf.DUMMYFUNCTION("""COMPUTED_VALUE"""),"NESTOR ORTIZ")</f>
        <v>NESTOR ORTIZ</v>
      </c>
      <c r="F428" s="133"/>
      <c r="G428" s="13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60">
        <f t="shared" si="1"/>
        <v>423</v>
      </c>
      <c r="B429" s="9" t="str">
        <f>IFERROR(__xludf.DUMMYFUNCTION("""COMPUTED_VALUE"""),"ORTIZ")</f>
        <v>ORTIZ</v>
      </c>
      <c r="C429" s="9" t="str">
        <f>IFERROR(__xludf.DUMMYFUNCTION("""COMPUTED_VALUE"""),"AXEL")</f>
        <v>AXEL</v>
      </c>
      <c r="D429" s="9"/>
      <c r="E429" s="9" t="str">
        <f>IFERROR(__xludf.DUMMYFUNCTION("""COMPUTED_VALUE"""),"NESTOR ORTIZ")</f>
        <v>NESTOR ORTIZ</v>
      </c>
      <c r="F429" s="133"/>
      <c r="G429" s="13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60">
        <f t="shared" si="1"/>
        <v>424</v>
      </c>
      <c r="B430" s="9" t="str">
        <f>IFERROR(__xludf.DUMMYFUNCTION("""COMPUTED_VALUE"""),"ORTIZ")</f>
        <v>ORTIZ</v>
      </c>
      <c r="C430" s="9" t="str">
        <f>IFERROR(__xludf.DUMMYFUNCTION("""COMPUTED_VALUE"""),"NESTOR")</f>
        <v>NESTOR</v>
      </c>
      <c r="D430" s="9"/>
      <c r="E430" s="9" t="str">
        <f>IFERROR(__xludf.DUMMYFUNCTION("""COMPUTED_VALUE"""),"DIANNE DAIMA")</f>
        <v>DIANNE DAIMA</v>
      </c>
      <c r="F430" s="133"/>
      <c r="G430" s="13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60">
        <f t="shared" si="1"/>
        <v>425</v>
      </c>
      <c r="B431" s="9" t="str">
        <f>IFERROR(__xludf.DUMMYFUNCTION("""COMPUTED_VALUE"""),"OBISPO")</f>
        <v>OBISPO</v>
      </c>
      <c r="C431" s="9" t="str">
        <f>IFERROR(__xludf.DUMMYFUNCTION("""COMPUTED_VALUE"""),"JHEMREI AINNE")</f>
        <v>JHEMREI AINNE</v>
      </c>
      <c r="D431" s="9"/>
      <c r="E431" s="9" t="str">
        <f>IFERROR(__xludf.DUMMYFUNCTION("""COMPUTED_VALUE"""),"DIANNE DAIMA")</f>
        <v>DIANNE DAIMA</v>
      </c>
      <c r="F431" s="133"/>
      <c r="G431" s="13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60">
        <f t="shared" si="1"/>
        <v>426</v>
      </c>
      <c r="B432" s="9" t="str">
        <f>IFERROR(__xludf.DUMMYFUNCTION("""COMPUTED_VALUE"""),"OBISPO")</f>
        <v>OBISPO</v>
      </c>
      <c r="C432" s="9" t="str">
        <f>IFERROR(__xludf.DUMMYFUNCTION("""COMPUTED_VALUE"""),"JHESNIAANE")</f>
        <v>JHESNIAANE</v>
      </c>
      <c r="D432" s="9"/>
      <c r="E432" s="9" t="str">
        <f>IFERROR(__xludf.DUMMYFUNCTION("""COMPUTED_VALUE"""),"DIANNE DAIMA")</f>
        <v>DIANNE DAIMA</v>
      </c>
      <c r="F432" s="133"/>
      <c r="G432" s="13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60">
        <f t="shared" si="1"/>
        <v>427</v>
      </c>
      <c r="B433" s="9" t="str">
        <f>IFERROR(__xludf.DUMMYFUNCTION("""COMPUTED_VALUE"""),"OBIS[[O")</f>
        <v>OBIS[[O</v>
      </c>
      <c r="C433" s="9" t="str">
        <f>IFERROR(__xludf.DUMMYFUNCTION("""COMPUTED_VALUE"""),"JHERB ZAIPRINCE")</f>
        <v>JHERB ZAIPRINCE</v>
      </c>
      <c r="D433" s="9"/>
      <c r="E433" s="9" t="str">
        <f>IFERROR(__xludf.DUMMYFUNCTION("""COMPUTED_VALUE"""),"DIANNE DAIMA")</f>
        <v>DIANNE DAIMA</v>
      </c>
      <c r="F433" s="133"/>
      <c r="G433" s="13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60">
        <f t="shared" si="1"/>
        <v>428</v>
      </c>
      <c r="B434" s="9" t="str">
        <f>IFERROR(__xludf.DUMMYFUNCTION("""COMPUTED_VALUE"""),"OBISPO")</f>
        <v>OBISPO</v>
      </c>
      <c r="C434" s="9" t="str">
        <f>IFERROR(__xludf.DUMMYFUNCTION("""COMPUTED_VALUE"""),"JHAZNEA CATHRIEN")</f>
        <v>JHAZNEA CATHRIEN</v>
      </c>
      <c r="D434" s="9"/>
      <c r="E434" s="9" t="str">
        <f>IFERROR(__xludf.DUMMYFUNCTION("""COMPUTED_VALUE"""),"DIANNE DAIMA")</f>
        <v>DIANNE DAIMA</v>
      </c>
      <c r="F434" s="133"/>
      <c r="G434" s="13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60">
        <f t="shared" si="1"/>
        <v>429</v>
      </c>
      <c r="B435" s="9" t="str">
        <f>IFERROR(__xludf.DUMMYFUNCTION("""COMPUTED_VALUE"""),"OLAES ")</f>
        <v>OLAES </v>
      </c>
      <c r="C435" s="9" t="str">
        <f>IFERROR(__xludf.DUMMYFUNCTION("""COMPUTED_VALUE"""),"EMMA")</f>
        <v>EMMA</v>
      </c>
      <c r="D435" s="9"/>
      <c r="E435" s="9" t="str">
        <f>IFERROR(__xludf.DUMMYFUNCTION("""COMPUTED_VALUE"""),"LUDIVINA OLAES")</f>
        <v>LUDIVINA OLAES</v>
      </c>
      <c r="F435" s="133"/>
      <c r="G435" s="13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60">
        <f t="shared" si="1"/>
        <v>430</v>
      </c>
      <c r="B436" s="9" t="str">
        <f>IFERROR(__xludf.DUMMYFUNCTION("""COMPUTED_VALUE"""),"CAJEPE")</f>
        <v>CAJEPE</v>
      </c>
      <c r="C436" s="9" t="str">
        <f>IFERROR(__xludf.DUMMYFUNCTION("""COMPUTED_VALUE"""),"ELAIZA")</f>
        <v>ELAIZA</v>
      </c>
      <c r="D436" s="9"/>
      <c r="E436" s="9" t="str">
        <f>IFERROR(__xludf.DUMMYFUNCTION("""COMPUTED_VALUE"""),"ERLINDA CAJEPE")</f>
        <v>ERLINDA CAJEPE</v>
      </c>
      <c r="F436" s="133"/>
      <c r="G436" s="13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60">
        <f t="shared" si="1"/>
        <v>431</v>
      </c>
      <c r="B437" s="9" t="str">
        <f>IFERROR(__xludf.DUMMYFUNCTION("""COMPUTED_VALUE"""),"CAJEPE")</f>
        <v>CAJEPE</v>
      </c>
      <c r="C437" s="9" t="str">
        <f>IFERROR(__xludf.DUMMYFUNCTION("""COMPUTED_VALUE"""),"JAYVEE")</f>
        <v>JAYVEE</v>
      </c>
      <c r="D437" s="9"/>
      <c r="E437" s="9" t="str">
        <f>IFERROR(__xludf.DUMMYFUNCTION("""COMPUTED_VALUE"""),"ERLINDA CAJEPE")</f>
        <v>ERLINDA CAJEPE</v>
      </c>
      <c r="F437" s="133"/>
      <c r="G437" s="13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60">
        <f t="shared" si="1"/>
        <v>432</v>
      </c>
      <c r="B438" s="9" t="str">
        <f>IFERROR(__xludf.DUMMYFUNCTION("""COMPUTED_VALUE"""),"AVENIDO")</f>
        <v>AVENIDO</v>
      </c>
      <c r="C438" s="9" t="str">
        <f>IFERROR(__xludf.DUMMYFUNCTION("""COMPUTED_VALUE"""),"GERILYN")</f>
        <v>GERILYN</v>
      </c>
      <c r="D438" s="9"/>
      <c r="E438" s="9" t="str">
        <f>IFERROR(__xludf.DUMMYFUNCTION("""COMPUTED_VALUE"""),"LOUELE D. GABUYA")</f>
        <v>LOUELE D. GABUYA</v>
      </c>
      <c r="F438" s="133"/>
      <c r="G438" s="13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60">
        <f t="shared" si="1"/>
        <v>433</v>
      </c>
      <c r="B439" s="9" t="str">
        <f>IFERROR(__xludf.DUMMYFUNCTION("""COMPUTED_VALUE"""),"GABUYA")</f>
        <v>GABUYA</v>
      </c>
      <c r="C439" s="9" t="str">
        <f>IFERROR(__xludf.DUMMYFUNCTION("""COMPUTED_VALUE"""),"ELJAY")</f>
        <v>ELJAY</v>
      </c>
      <c r="D439" s="9"/>
      <c r="E439" s="9" t="str">
        <f>IFERROR(__xludf.DUMMYFUNCTION("""COMPUTED_VALUE"""),"LOUELE D. GABUYA")</f>
        <v>LOUELE D. GABUYA</v>
      </c>
      <c r="F439" s="133"/>
      <c r="G439" s="13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60">
        <f t="shared" si="1"/>
        <v>434</v>
      </c>
      <c r="B440" s="9" t="str">
        <f>IFERROR(__xludf.DUMMYFUNCTION("""COMPUTED_VALUE"""),"GABUYA")</f>
        <v>GABUYA</v>
      </c>
      <c r="C440" s="9" t="str">
        <f>IFERROR(__xludf.DUMMYFUNCTION("""COMPUTED_VALUE"""),"ELIANA")</f>
        <v>ELIANA</v>
      </c>
      <c r="D440" s="9"/>
      <c r="E440" s="9" t="str">
        <f>IFERROR(__xludf.DUMMYFUNCTION("""COMPUTED_VALUE"""),"LOUELE D. GABUYA")</f>
        <v>LOUELE D. GABUYA</v>
      </c>
      <c r="F440" s="133"/>
      <c r="G440" s="13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60">
        <f t="shared" si="1"/>
        <v>435</v>
      </c>
      <c r="B441" s="9" t="str">
        <f>IFERROR(__xludf.DUMMYFUNCTION("""COMPUTED_VALUE"""),"GABUYA")</f>
        <v>GABUYA</v>
      </c>
      <c r="C441" s="9" t="str">
        <f>IFERROR(__xludf.DUMMYFUNCTION("""COMPUTED_VALUE"""),"JADE")</f>
        <v>JADE</v>
      </c>
      <c r="D441" s="9"/>
      <c r="E441" s="9" t="str">
        <f>IFERROR(__xludf.DUMMYFUNCTION("""COMPUTED_VALUE"""),"LARRY O. MALIBIRAN ")</f>
        <v>LARRY O. MALIBIRAN </v>
      </c>
      <c r="F441" s="133"/>
      <c r="G441" s="13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60">
        <f t="shared" si="1"/>
        <v>436</v>
      </c>
      <c r="B442" s="9" t="str">
        <f>IFERROR(__xludf.DUMMYFUNCTION("""COMPUTED_VALUE"""),"CAMILING")</f>
        <v>CAMILING</v>
      </c>
      <c r="C442" s="9" t="str">
        <f>IFERROR(__xludf.DUMMYFUNCTION("""COMPUTED_VALUE"""),"JHESTER KAIZEN")</f>
        <v>JHESTER KAIZEN</v>
      </c>
      <c r="D442" s="9"/>
      <c r="E442" s="9" t="str">
        <f>IFERROR(__xludf.DUMMYFUNCTION("""COMPUTED_VALUE"""),"LARRY O. MALIBIRAN ")</f>
        <v>LARRY O. MALIBIRAN </v>
      </c>
      <c r="F442" s="133"/>
      <c r="G442" s="13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60">
        <f t="shared" si="1"/>
        <v>437</v>
      </c>
      <c r="B443" s="9" t="str">
        <f>IFERROR(__xludf.DUMMYFUNCTION("""COMPUTED_VALUE"""),"MALIBIRAN")</f>
        <v>MALIBIRAN</v>
      </c>
      <c r="C443" s="9" t="str">
        <f>IFERROR(__xludf.DUMMYFUNCTION("""COMPUTED_VALUE"""),"ADHRIEL")</f>
        <v>ADHRIEL</v>
      </c>
      <c r="D443" s="9"/>
      <c r="E443" s="9" t="str">
        <f>IFERROR(__xludf.DUMMYFUNCTION("""COMPUTED_VALUE"""),"LARRY O. MALIBIRAN ")</f>
        <v>LARRY O. MALIBIRAN </v>
      </c>
      <c r="F443" s="133"/>
      <c r="G443" s="13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60">
        <f t="shared" si="1"/>
        <v>438</v>
      </c>
      <c r="B444" s="9" t="str">
        <f>IFERROR(__xludf.DUMMYFUNCTION("""COMPUTED_VALUE"""),"LOZANDE")</f>
        <v>LOZANDE</v>
      </c>
      <c r="C444" s="9" t="str">
        <f>IFERROR(__xludf.DUMMYFUNCTION("""COMPUTED_VALUE"""),"AROLLO")</f>
        <v>AROLLO</v>
      </c>
      <c r="D444" s="9"/>
      <c r="E444" s="9" t="str">
        <f>IFERROR(__xludf.DUMMYFUNCTION("""COMPUTED_VALUE"""),"ARNIE LOZANDE ")</f>
        <v>ARNIE LOZANDE </v>
      </c>
      <c r="F444" s="133"/>
      <c r="G444" s="13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60">
        <f t="shared" si="1"/>
        <v>439</v>
      </c>
      <c r="B445" s="9" t="str">
        <f>IFERROR(__xludf.DUMMYFUNCTION("""COMPUTED_VALUE"""),"GENABR")</f>
        <v>GENABR</v>
      </c>
      <c r="C445" s="9" t="str">
        <f>IFERROR(__xludf.DUMMYFUNCTION("""COMPUTED_VALUE"""),"DAEYVE WRANDELLE")</f>
        <v>DAEYVE WRANDELLE</v>
      </c>
      <c r="D445" s="9"/>
      <c r="E445" s="9" t="str">
        <f>IFERROR(__xludf.DUMMYFUNCTION("""COMPUTED_VALUE"""),"ERWIN EVANGELISTA")</f>
        <v>ERWIN EVANGELISTA</v>
      </c>
      <c r="F445" s="133"/>
      <c r="G445" s="13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60">
        <f t="shared" si="1"/>
        <v>440</v>
      </c>
      <c r="B446" s="9" t="str">
        <f>IFERROR(__xludf.DUMMYFUNCTION("""COMPUTED_VALUE"""),"CORREA")</f>
        <v>CORREA</v>
      </c>
      <c r="C446" s="9" t="str">
        <f>IFERROR(__xludf.DUMMYFUNCTION("""COMPUTED_VALUE"""),"DARYN ")</f>
        <v>DARYN </v>
      </c>
      <c r="D446" s="9"/>
      <c r="E446" s="9" t="str">
        <f>IFERROR(__xludf.DUMMYFUNCTION("""COMPUTED_VALUE"""),"ERWIN EVANGELISTA")</f>
        <v>ERWIN EVANGELISTA</v>
      </c>
      <c r="F446" s="133"/>
      <c r="G446" s="13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60">
        <f t="shared" si="1"/>
        <v>441</v>
      </c>
      <c r="B447" s="9" t="str">
        <f>IFERROR(__xludf.DUMMYFUNCTION("""COMPUTED_VALUE"""),"CORREA")</f>
        <v>CORREA</v>
      </c>
      <c r="C447" s="9" t="str">
        <f>IFERROR(__xludf.DUMMYFUNCTION("""COMPUTED_VALUE"""),"JERDEN")</f>
        <v>JERDEN</v>
      </c>
      <c r="D447" s="9"/>
      <c r="E447" s="9" t="str">
        <f>IFERROR(__xludf.DUMMYFUNCTION("""COMPUTED_VALUE"""),"ERWIN EVANGELISTA")</f>
        <v>ERWIN EVANGELISTA</v>
      </c>
      <c r="F447" s="133"/>
      <c r="G447" s="13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60">
        <f t="shared" si="1"/>
        <v>442</v>
      </c>
      <c r="B448" s="9" t="str">
        <f>IFERROR(__xludf.DUMMYFUNCTION("""COMPUTED_VALUE"""),"CORREA")</f>
        <v>CORREA</v>
      </c>
      <c r="C448" s="9" t="str">
        <f>IFERROR(__xludf.DUMMYFUNCTION("""COMPUTED_VALUE"""),"JULIA MERITTE ")</f>
        <v>JULIA MERITTE </v>
      </c>
      <c r="D448" s="9"/>
      <c r="E448" s="9" t="str">
        <f>IFERROR(__xludf.DUMMYFUNCTION("""COMPUTED_VALUE"""),"ERWIN EVANGELISTA")</f>
        <v>ERWIN EVANGELISTA</v>
      </c>
      <c r="F448" s="133"/>
      <c r="G448" s="13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60">
        <f t="shared" si="1"/>
        <v>443</v>
      </c>
      <c r="B449" s="9" t="str">
        <f>IFERROR(__xludf.DUMMYFUNCTION("""COMPUTED_VALUE"""),"JOYA ")</f>
        <v>JOYA </v>
      </c>
      <c r="C449" s="9" t="str">
        <f>IFERROR(__xludf.DUMMYFUNCTION("""COMPUTED_VALUE"""),"KELVIN")</f>
        <v>KELVIN</v>
      </c>
      <c r="D449" s="9"/>
      <c r="E449" s="9" t="str">
        <f>IFERROR(__xludf.DUMMYFUNCTION("""COMPUTED_VALUE"""),"RENE T. JOYA ")</f>
        <v>RENE T. JOYA </v>
      </c>
      <c r="F449" s="133"/>
      <c r="G449" s="13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60">
        <f t="shared" si="1"/>
        <v>444</v>
      </c>
      <c r="B450" s="9" t="str">
        <f>IFERROR(__xludf.DUMMYFUNCTION("""COMPUTED_VALUE"""),"CARIAS")</f>
        <v>CARIAS</v>
      </c>
      <c r="C450" s="9" t="str">
        <f>IFERROR(__xludf.DUMMYFUNCTION("""COMPUTED_VALUE"""),"ATHENA QUINN ")</f>
        <v>ATHENA QUINN </v>
      </c>
      <c r="D450" s="9" t="str">
        <f>IFERROR(__xludf.DUMMYFUNCTION("""COMPUTED_VALUE"""),"J.")</f>
        <v>J.</v>
      </c>
      <c r="E450" s="9" t="str">
        <f>IFERROR(__xludf.DUMMYFUNCTION("""COMPUTED_VALUE"""),"ABEL CARIAS ")</f>
        <v>ABEL CARIAS </v>
      </c>
      <c r="F450" s="133"/>
      <c r="G450" s="13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60">
        <f t="shared" si="1"/>
        <v>445</v>
      </c>
      <c r="B451" s="9" t="str">
        <f>IFERROR(__xludf.DUMMYFUNCTION("""COMPUTED_VALUE"""),"ZULUETA")</f>
        <v>ZULUETA</v>
      </c>
      <c r="C451" s="9" t="str">
        <f>IFERROR(__xludf.DUMMYFUNCTION("""COMPUTED_VALUE"""),"MARICAR")</f>
        <v>MARICAR</v>
      </c>
      <c r="D451" s="9"/>
      <c r="E451" s="9" t="str">
        <f>IFERROR(__xludf.DUMMYFUNCTION("""COMPUTED_VALUE"""),"ROBERTO ZULLUETA")</f>
        <v>ROBERTO ZULLUETA</v>
      </c>
      <c r="F451" s="133"/>
      <c r="G451" s="13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60">
        <f t="shared" si="1"/>
        <v>446</v>
      </c>
      <c r="B452" s="9" t="str">
        <f>IFERROR(__xludf.DUMMYFUNCTION("""COMPUTED_VALUE"""),"ZULUETA")</f>
        <v>ZULUETA</v>
      </c>
      <c r="C452" s="9" t="str">
        <f>IFERROR(__xludf.DUMMYFUNCTION("""COMPUTED_VALUE"""),"SHA-SHA")</f>
        <v>SHA-SHA</v>
      </c>
      <c r="D452" s="9"/>
      <c r="E452" s="9" t="str">
        <f>IFERROR(__xludf.DUMMYFUNCTION("""COMPUTED_VALUE"""),"ROBERTO ZULLUETA")</f>
        <v>ROBERTO ZULLUETA</v>
      </c>
      <c r="F452" s="133"/>
      <c r="G452" s="13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60">
        <f t="shared" si="1"/>
        <v>447</v>
      </c>
      <c r="B453" s="9" t="str">
        <f>IFERROR(__xludf.DUMMYFUNCTION("""COMPUTED_VALUE"""),"ARCILLA")</f>
        <v>ARCILLA</v>
      </c>
      <c r="C453" s="9" t="str">
        <f>IFERROR(__xludf.DUMMYFUNCTION("""COMPUTED_VALUE"""),"FRANZ DHARYLE ")</f>
        <v>FRANZ DHARYLE </v>
      </c>
      <c r="D453" s="9"/>
      <c r="E453" s="9" t="str">
        <f>IFERROR(__xludf.DUMMYFUNCTION("""COMPUTED_VALUE"""),"ALBERT ARCILLA")</f>
        <v>ALBERT ARCILLA</v>
      </c>
      <c r="F453" s="133"/>
      <c r="G453" s="13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60">
        <f t="shared" si="1"/>
        <v>448</v>
      </c>
      <c r="B454" s="9" t="str">
        <f>IFERROR(__xludf.DUMMYFUNCTION("""COMPUTED_VALUE"""),"ANCHETA")</f>
        <v>ANCHETA</v>
      </c>
      <c r="C454" s="9" t="str">
        <f>IFERROR(__xludf.DUMMYFUNCTION("""COMPUTED_VALUE"""),"CHIA")</f>
        <v>CHIA</v>
      </c>
      <c r="D454" s="9"/>
      <c r="E454" s="9" t="str">
        <f>IFERROR(__xludf.DUMMYFUNCTION("""COMPUTED_VALUE"""),"ALBERT ARCILLA")</f>
        <v>ALBERT ARCILLA</v>
      </c>
      <c r="F454" s="133"/>
      <c r="G454" s="13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60">
        <f t="shared" si="1"/>
        <v>449</v>
      </c>
      <c r="B455" s="9" t="str">
        <f>IFERROR(__xludf.DUMMYFUNCTION("""COMPUTED_VALUE"""),"ARCILLA")</f>
        <v>ARCILLA</v>
      </c>
      <c r="C455" s="9" t="str">
        <f>IFERROR(__xludf.DUMMYFUNCTION("""COMPUTED_VALUE"""),"SAMANTHA CASSEY")</f>
        <v>SAMANTHA CASSEY</v>
      </c>
      <c r="D455" s="9"/>
      <c r="E455" s="9" t="str">
        <f>IFERROR(__xludf.DUMMYFUNCTION("""COMPUTED_VALUE"""),"ALBERT ARCILLA")</f>
        <v>ALBERT ARCILLA</v>
      </c>
      <c r="F455" s="133"/>
      <c r="G455" s="13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60">
        <f t="shared" si="1"/>
        <v>450</v>
      </c>
      <c r="B456" s="9" t="str">
        <f>IFERROR(__xludf.DUMMYFUNCTION("""COMPUTED_VALUE"""),"ARCILLA")</f>
        <v>ARCILLA</v>
      </c>
      <c r="C456" s="9" t="str">
        <f>IFERROR(__xludf.DUMMYFUNCTION("""COMPUTED_VALUE"""),"ARKHIEN")</f>
        <v>ARKHIEN</v>
      </c>
      <c r="D456" s="9"/>
      <c r="E456" s="9" t="str">
        <f>IFERROR(__xludf.DUMMYFUNCTION("""COMPUTED_VALUE"""),"ALBERT ARCILLA")</f>
        <v>ALBERT ARCILLA</v>
      </c>
      <c r="F456" s="133"/>
      <c r="G456" s="13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60">
        <f t="shared" si="1"/>
        <v>451</v>
      </c>
      <c r="B457" s="9" t="str">
        <f>IFERROR(__xludf.DUMMYFUNCTION("""COMPUTED_VALUE"""),"ARCILLA")</f>
        <v>ARCILLA</v>
      </c>
      <c r="C457" s="9" t="str">
        <f>IFERROR(__xludf.DUMMYFUNCTION("""COMPUTED_VALUE"""),"AERAHLL JACRE ")</f>
        <v>AERAHLL JACRE </v>
      </c>
      <c r="D457" s="9"/>
      <c r="E457" s="9" t="str">
        <f>IFERROR(__xludf.DUMMYFUNCTION("""COMPUTED_VALUE"""),"ALBERT ARCILLA")</f>
        <v>ALBERT ARCILLA</v>
      </c>
      <c r="F457" s="133"/>
      <c r="G457" s="13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60">
        <f t="shared" si="1"/>
        <v>452</v>
      </c>
      <c r="B458" s="9" t="str">
        <f>IFERROR(__xludf.DUMMYFUNCTION("""COMPUTED_VALUE"""),"ANCHETA")</f>
        <v>ANCHETA</v>
      </c>
      <c r="C458" s="9" t="str">
        <f>IFERROR(__xludf.DUMMYFUNCTION("""COMPUTED_VALUE"""),"ARJH ARIEN")</f>
        <v>ARJH ARIEN</v>
      </c>
      <c r="D458" s="9"/>
      <c r="E458" s="9" t="str">
        <f>IFERROR(__xludf.DUMMYFUNCTION("""COMPUTED_VALUE"""),"ARNIE ANCHETA")</f>
        <v>ARNIE ANCHETA</v>
      </c>
      <c r="F458" s="133"/>
      <c r="G458" s="13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60">
        <f t="shared" si="1"/>
        <v>453</v>
      </c>
      <c r="B459" s="9" t="str">
        <f>IFERROR(__xludf.DUMMYFUNCTION("""COMPUTED_VALUE"""),"ANCHETA")</f>
        <v>ANCHETA</v>
      </c>
      <c r="C459" s="9" t="str">
        <f>IFERROR(__xludf.DUMMYFUNCTION("""COMPUTED_VALUE"""),"ARJHIE LOUIS")</f>
        <v>ARJHIE LOUIS</v>
      </c>
      <c r="D459" s="9"/>
      <c r="E459" s="9" t="str">
        <f>IFERROR(__xludf.DUMMYFUNCTION("""COMPUTED_VALUE"""),"ARNIE LOZANDE ")</f>
        <v>ARNIE LOZANDE </v>
      </c>
      <c r="F459" s="133"/>
      <c r="G459" s="13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60">
        <f t="shared" si="1"/>
        <v>454</v>
      </c>
      <c r="B460" s="9" t="str">
        <f>IFERROR(__xludf.DUMMYFUNCTION("""COMPUTED_VALUE"""),"ANCHETA")</f>
        <v>ANCHETA</v>
      </c>
      <c r="C460" s="9" t="str">
        <f>IFERROR(__xludf.DUMMYFUNCTION("""COMPUTED_VALUE"""),"ARJHALYN MAE")</f>
        <v>ARJHALYN MAE</v>
      </c>
      <c r="D460" s="9"/>
      <c r="E460" s="9" t="str">
        <f>IFERROR(__xludf.DUMMYFUNCTION("""COMPUTED_VALUE"""),"ARNIE ANCHETA")</f>
        <v>ARNIE ANCHETA</v>
      </c>
      <c r="F460" s="133"/>
      <c r="G460" s="13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60">
        <f t="shared" si="1"/>
        <v>455</v>
      </c>
      <c r="B461" s="9" t="str">
        <f>IFERROR(__xludf.DUMMYFUNCTION("""COMPUTED_VALUE"""),"VERGARA")</f>
        <v>VERGARA</v>
      </c>
      <c r="C461" s="9" t="str">
        <f>IFERROR(__xludf.DUMMYFUNCTION("""COMPUTED_VALUE"""),"PRINCESS SHARENE")</f>
        <v>PRINCESS SHARENE</v>
      </c>
      <c r="D461" s="9"/>
      <c r="E461" s="9" t="str">
        <f>IFERROR(__xludf.DUMMYFUNCTION("""COMPUTED_VALUE"""),"ARNIE ANCHETA")</f>
        <v>ARNIE ANCHETA</v>
      </c>
      <c r="F461" s="133"/>
      <c r="G461" s="13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60">
        <f t="shared" si="1"/>
        <v>456</v>
      </c>
      <c r="B462" s="9" t="str">
        <f>IFERROR(__xludf.DUMMYFUNCTION("""COMPUTED_VALUE"""),"ANCHETA")</f>
        <v>ANCHETA</v>
      </c>
      <c r="C462" s="9" t="str">
        <f>IFERROR(__xludf.DUMMYFUNCTION("""COMPUTED_VALUE"""),"ANTHONY CARL")</f>
        <v>ANTHONY CARL</v>
      </c>
      <c r="D462" s="9"/>
      <c r="E462" s="9" t="str">
        <f>IFERROR(__xludf.DUMMYFUNCTION("""COMPUTED_VALUE"""),"CRIZELDA ANCHETA")</f>
        <v>CRIZELDA ANCHETA</v>
      </c>
      <c r="F462" s="133"/>
      <c r="G462" s="13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60">
        <f t="shared" si="1"/>
        <v>457</v>
      </c>
      <c r="B463" s="9" t="str">
        <f>IFERROR(__xludf.DUMMYFUNCTION("""COMPUTED_VALUE"""),"ANCHETA")</f>
        <v>ANCHETA</v>
      </c>
      <c r="C463" s="9" t="str">
        <f>IFERROR(__xludf.DUMMYFUNCTION("""COMPUTED_VALUE"""),"AICELLE CHLOE")</f>
        <v>AICELLE CHLOE</v>
      </c>
      <c r="D463" s="9"/>
      <c r="E463" s="9" t="str">
        <f>IFERROR(__xludf.DUMMYFUNCTION("""COMPUTED_VALUE"""),"CRIZELDA ANCHETA")</f>
        <v>CRIZELDA ANCHETA</v>
      </c>
      <c r="F463" s="133"/>
      <c r="G463" s="13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60">
        <f t="shared" si="1"/>
        <v>458</v>
      </c>
      <c r="B464" s="9" t="str">
        <f>IFERROR(__xludf.DUMMYFUNCTION("""COMPUTED_VALUE"""),"AYALA")</f>
        <v>AYALA</v>
      </c>
      <c r="C464" s="9" t="str">
        <f>IFERROR(__xludf.DUMMYFUNCTION("""COMPUTED_VALUE"""),"JALARE MEZAEL")</f>
        <v>JALARE MEZAEL</v>
      </c>
      <c r="D464" s="9" t="str">
        <f>IFERROR(__xludf.DUMMYFUNCTION("""COMPUTED_VALUE"""),"C.")</f>
        <v>C.</v>
      </c>
      <c r="E464" s="9" t="str">
        <f>IFERROR(__xludf.DUMMYFUNCTION("""COMPUTED_VALUE"""),"JOEFRE S. AYALA")</f>
        <v>JOEFRE S. AYALA</v>
      </c>
      <c r="F464" s="133"/>
      <c r="G464" s="13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60">
        <f t="shared" si="1"/>
        <v>459</v>
      </c>
      <c r="B465" s="9" t="str">
        <f>IFERROR(__xludf.DUMMYFUNCTION("""COMPUTED_VALUE"""),"AYALA")</f>
        <v>AYALA</v>
      </c>
      <c r="C465" s="9" t="str">
        <f>IFERROR(__xludf.DUMMYFUNCTION("""COMPUTED_VALUE"""),"GEZIL ")</f>
        <v>GEZIL </v>
      </c>
      <c r="D465" s="9" t="str">
        <f>IFERROR(__xludf.DUMMYFUNCTION("""COMPUTED_VALUE"""),"C.")</f>
        <v>C.</v>
      </c>
      <c r="E465" s="9" t="str">
        <f>IFERROR(__xludf.DUMMYFUNCTION("""COMPUTED_VALUE"""),"JOEFRE S. AYALA")</f>
        <v>JOEFRE S. AYALA</v>
      </c>
      <c r="F465" s="133"/>
      <c r="G465" s="13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60">
        <f t="shared" si="1"/>
        <v>460</v>
      </c>
      <c r="B466" s="9" t="str">
        <f>IFERROR(__xludf.DUMMYFUNCTION("""COMPUTED_VALUE"""),"AYALA")</f>
        <v>AYALA</v>
      </c>
      <c r="C466" s="9" t="str">
        <f>IFERROR(__xludf.DUMMYFUNCTION("""COMPUTED_VALUE"""),"AYLA GRACE ")</f>
        <v>AYLA GRACE </v>
      </c>
      <c r="D466" s="9" t="str">
        <f>IFERROR(__xludf.DUMMYFUNCTION("""COMPUTED_VALUE"""),"C.")</f>
        <v>C.</v>
      </c>
      <c r="E466" s="9" t="str">
        <f>IFERROR(__xludf.DUMMYFUNCTION("""COMPUTED_VALUE"""),"JOEFRE S. AYALA")</f>
        <v>JOEFRE S. AYALA</v>
      </c>
      <c r="F466" s="133"/>
      <c r="G466" s="13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60">
        <f t="shared" si="1"/>
        <v>461</v>
      </c>
      <c r="B467" s="9" t="str">
        <f>IFERROR(__xludf.DUMMYFUNCTION("""COMPUTED_VALUE"""),"GREFALDA")</f>
        <v>GREFALDA</v>
      </c>
      <c r="C467" s="9" t="str">
        <f>IFERROR(__xludf.DUMMYFUNCTION("""COMPUTED_VALUE"""),"ROMERO ROMMEL")</f>
        <v>ROMERO ROMMEL</v>
      </c>
      <c r="D467" s="9"/>
      <c r="E467" s="9" t="str">
        <f>IFERROR(__xludf.DUMMYFUNCTION("""COMPUTED_VALUE"""),"ROMERO ROMMEL GREFALDA")</f>
        <v>ROMERO ROMMEL GREFALDA</v>
      </c>
      <c r="F467" s="133"/>
      <c r="G467" s="13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60">
        <f t="shared" si="1"/>
        <v>462</v>
      </c>
      <c r="B468" s="9" t="str">
        <f>IFERROR(__xludf.DUMMYFUNCTION("""COMPUTED_VALUE"""),"GUTIERREZ")</f>
        <v>GUTIERREZ</v>
      </c>
      <c r="C468" s="9" t="str">
        <f>IFERROR(__xludf.DUMMYFUNCTION("""COMPUTED_VALUE"""),"ARMAN")</f>
        <v>ARMAN</v>
      </c>
      <c r="D468" s="9" t="str">
        <f>IFERROR(__xludf.DUMMYFUNCTION("""COMPUTED_VALUE"""),"N.")</f>
        <v>N.</v>
      </c>
      <c r="E468" s="9" t="str">
        <f>IFERROR(__xludf.DUMMYFUNCTION("""COMPUTED_VALUE"""),"DOMINADOR GUTIERREZ")</f>
        <v>DOMINADOR GUTIERREZ</v>
      </c>
      <c r="F468" s="133"/>
      <c r="G468" s="13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60">
        <f t="shared" si="1"/>
        <v>463</v>
      </c>
      <c r="B469" s="9" t="str">
        <f>IFERROR(__xludf.DUMMYFUNCTION("""COMPUTED_VALUE"""),"GUTIERREZ")</f>
        <v>GUTIERREZ</v>
      </c>
      <c r="C469" s="9" t="str">
        <f>IFERROR(__xludf.DUMMYFUNCTION("""COMPUTED_VALUE"""),"RONALD")</f>
        <v>RONALD</v>
      </c>
      <c r="D469" s="9" t="str">
        <f>IFERROR(__xludf.DUMMYFUNCTION("""COMPUTED_VALUE"""),"N.")</f>
        <v>N.</v>
      </c>
      <c r="E469" s="9" t="str">
        <f>IFERROR(__xludf.DUMMYFUNCTION("""COMPUTED_VALUE"""),"DOMINADOR GUTIERREZ")</f>
        <v>DOMINADOR GUTIERREZ</v>
      </c>
      <c r="F469" s="133"/>
      <c r="G469" s="13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60">
        <f t="shared" si="1"/>
        <v>464</v>
      </c>
      <c r="B470" s="9" t="str">
        <f>IFERROR(__xludf.DUMMYFUNCTION("""COMPUTED_VALUE"""),"GUTIERREZ")</f>
        <v>GUTIERREZ</v>
      </c>
      <c r="C470" s="9" t="str">
        <f>IFERROR(__xludf.DUMMYFUNCTION("""COMPUTED_VALUE"""),"MARIE DAWN ")</f>
        <v>MARIE DAWN </v>
      </c>
      <c r="D470" s="9" t="str">
        <f>IFERROR(__xludf.DUMMYFUNCTION("""COMPUTED_VALUE"""),"N.")</f>
        <v>N.</v>
      </c>
      <c r="E470" s="9" t="str">
        <f>IFERROR(__xludf.DUMMYFUNCTION("""COMPUTED_VALUE"""),"DOMINADOR GUTIERREZ")</f>
        <v>DOMINADOR GUTIERREZ</v>
      </c>
      <c r="F470" s="133"/>
      <c r="G470" s="13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60">
        <f t="shared" si="1"/>
        <v>465</v>
      </c>
      <c r="B471" s="9" t="str">
        <f>IFERROR(__xludf.DUMMYFUNCTION("""COMPUTED_VALUE"""),"NIEGAS")</f>
        <v>NIEGAS</v>
      </c>
      <c r="C471" s="9" t="str">
        <f>IFERROR(__xludf.DUMMYFUNCTION("""COMPUTED_VALUE"""),"JOANNE MARIE")</f>
        <v>JOANNE MARIE</v>
      </c>
      <c r="D471" s="9"/>
      <c r="E471" s="9" t="str">
        <f>IFERROR(__xludf.DUMMYFUNCTION("""COMPUTED_VALUE"""),"SUSAN NIEGAS ")</f>
        <v>SUSAN NIEGAS </v>
      </c>
      <c r="F471" s="133"/>
      <c r="G471" s="13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60">
        <f t="shared" si="1"/>
        <v>466</v>
      </c>
      <c r="B472" s="9" t="str">
        <f>IFERROR(__xludf.DUMMYFUNCTION("""COMPUTED_VALUE"""),"REBANA")</f>
        <v>REBANA</v>
      </c>
      <c r="C472" s="9" t="str">
        <f>IFERROR(__xludf.DUMMYFUNCTION("""COMPUTED_VALUE"""),"WILFREDO")</f>
        <v>WILFREDO</v>
      </c>
      <c r="D472" s="9"/>
      <c r="E472" s="9" t="str">
        <f>IFERROR(__xludf.DUMMYFUNCTION("""COMPUTED_VALUE"""),"MARILOU REBANA")</f>
        <v>MARILOU REBANA</v>
      </c>
      <c r="F472" s="133"/>
      <c r="G472" s="13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60">
        <f t="shared" si="1"/>
        <v>467</v>
      </c>
      <c r="B473" s="9" t="str">
        <f>IFERROR(__xludf.DUMMYFUNCTION("""COMPUTED_VALUE"""),"CRUZ")</f>
        <v>CRUZ</v>
      </c>
      <c r="C473" s="9" t="str">
        <f>IFERROR(__xludf.DUMMYFUNCTION("""COMPUTED_VALUE"""),"ELJOHN")</f>
        <v>ELJOHN</v>
      </c>
      <c r="D473" s="9" t="str">
        <f>IFERROR(__xludf.DUMMYFUNCTION("""COMPUTED_VALUE"""),"Y.")</f>
        <v>Y.</v>
      </c>
      <c r="E473" s="9" t="str">
        <f>IFERROR(__xludf.DUMMYFUNCTION("""COMPUTED_VALUE"""),"FROILAN CRUZ ")</f>
        <v>FROILAN CRUZ </v>
      </c>
      <c r="F473" s="133"/>
      <c r="G473" s="13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60">
        <f t="shared" si="1"/>
        <v>468</v>
      </c>
      <c r="B474" s="9" t="str">
        <f>IFERROR(__xludf.DUMMYFUNCTION("""COMPUTED_VALUE"""),"GAMBAN")</f>
        <v>GAMBAN</v>
      </c>
      <c r="C474" s="9" t="str">
        <f>IFERROR(__xludf.DUMMYFUNCTION("""COMPUTED_VALUE"""),"MAR FRANCIS")</f>
        <v>MAR FRANCIS</v>
      </c>
      <c r="D474" s="9" t="str">
        <f>IFERROR(__xludf.DUMMYFUNCTION("""COMPUTED_VALUE"""),"M.")</f>
        <v>M.</v>
      </c>
      <c r="E474" s="9" t="str">
        <f>IFERROR(__xludf.DUMMYFUNCTION("""COMPUTED_VALUE"""),"EFREN B. GAMBAN")</f>
        <v>EFREN B. GAMBAN</v>
      </c>
      <c r="F474" s="133"/>
      <c r="G474" s="13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60">
        <f t="shared" si="1"/>
        <v>469</v>
      </c>
      <c r="B475" s="9" t="str">
        <f>IFERROR(__xludf.DUMMYFUNCTION("""COMPUTED_VALUE"""),"GAMBAN")</f>
        <v>GAMBAN</v>
      </c>
      <c r="C475" s="9" t="str">
        <f>IFERROR(__xludf.DUMMYFUNCTION("""COMPUTED_VALUE"""),"GLOREN")</f>
        <v>GLOREN</v>
      </c>
      <c r="D475" s="9" t="str">
        <f>IFERROR(__xludf.DUMMYFUNCTION("""COMPUTED_VALUE"""),"M.")</f>
        <v>M.</v>
      </c>
      <c r="E475" s="9" t="str">
        <f>IFERROR(__xludf.DUMMYFUNCTION("""COMPUTED_VALUE"""),"EFREN B. GAMBAN")</f>
        <v>EFREN B. GAMBAN</v>
      </c>
      <c r="F475" s="133"/>
      <c r="G475" s="13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60">
        <f t="shared" si="1"/>
        <v>470</v>
      </c>
      <c r="B476" s="9" t="str">
        <f>IFERROR(__xludf.DUMMYFUNCTION("""COMPUTED_VALUE"""),"GAMBAN")</f>
        <v>GAMBAN</v>
      </c>
      <c r="C476" s="9" t="str">
        <f>IFERROR(__xludf.DUMMYFUNCTION("""COMPUTED_VALUE"""),"MARCK LORENCE")</f>
        <v>MARCK LORENCE</v>
      </c>
      <c r="D476" s="9" t="str">
        <f>IFERROR(__xludf.DUMMYFUNCTION("""COMPUTED_VALUE"""),"M.")</f>
        <v>M.</v>
      </c>
      <c r="E476" s="9" t="str">
        <f>IFERROR(__xludf.DUMMYFUNCTION("""COMPUTED_VALUE"""),"EFREN B. GAMBAN")</f>
        <v>EFREN B. GAMBAN</v>
      </c>
      <c r="F476" s="133"/>
      <c r="G476" s="13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60">
        <f t="shared" si="1"/>
        <v>471</v>
      </c>
      <c r="B477" s="9" t="str">
        <f>IFERROR(__xludf.DUMMYFUNCTION("""COMPUTED_VALUE"""),"CALLOS")</f>
        <v>CALLOS</v>
      </c>
      <c r="C477" s="9" t="str">
        <f>IFERROR(__xludf.DUMMYFUNCTION("""COMPUTED_VALUE"""),"NICOLE FAITH")</f>
        <v>NICOLE FAITH</v>
      </c>
      <c r="D477" s="9" t="str">
        <f>IFERROR(__xludf.DUMMYFUNCTION("""COMPUTED_VALUE"""),"S.")</f>
        <v>S.</v>
      </c>
      <c r="E477" s="9" t="str">
        <f>IFERROR(__xludf.DUMMYFUNCTION("""COMPUTED_VALUE"""),"DENNIS B. CALLOS ")</f>
        <v>DENNIS B. CALLOS </v>
      </c>
      <c r="F477" s="133"/>
      <c r="G477" s="13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60">
        <f t="shared" si="1"/>
        <v>472</v>
      </c>
      <c r="B478" s="9" t="str">
        <f>IFERROR(__xludf.DUMMYFUNCTION("""COMPUTED_VALUE"""),"CONSTANTE")</f>
        <v>CONSTANTE</v>
      </c>
      <c r="C478" s="9" t="str">
        <f>IFERROR(__xludf.DUMMYFUNCTION("""COMPUTED_VALUE"""),"CLAEISSE")</f>
        <v>CLAEISSE</v>
      </c>
      <c r="D478" s="9" t="str">
        <f>IFERROR(__xludf.DUMMYFUNCTION("""COMPUTED_VALUE"""),"C.")</f>
        <v>C.</v>
      </c>
      <c r="E478" s="9" t="str">
        <f>IFERROR(__xludf.DUMMYFUNCTION("""COMPUTED_VALUE"""),"MARIA CLARA CONSTANTE")</f>
        <v>MARIA CLARA CONSTANTE</v>
      </c>
      <c r="F478" s="133"/>
      <c r="G478" s="13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60">
        <f t="shared" si="1"/>
        <v>473</v>
      </c>
      <c r="B479" s="9" t="str">
        <f>IFERROR(__xludf.DUMMYFUNCTION("""COMPUTED_VALUE"""),"CONSTANTE")</f>
        <v>CONSTANTE</v>
      </c>
      <c r="C479" s="9" t="str">
        <f>IFERROR(__xludf.DUMMYFUNCTION("""COMPUTED_VALUE"""),"MIKE CLARENCE")</f>
        <v>MIKE CLARENCE</v>
      </c>
      <c r="D479" s="9" t="str">
        <f>IFERROR(__xludf.DUMMYFUNCTION("""COMPUTED_VALUE"""),"C.")</f>
        <v>C.</v>
      </c>
      <c r="E479" s="9" t="str">
        <f>IFERROR(__xludf.DUMMYFUNCTION("""COMPUTED_VALUE"""),"MARIA CLARA CONSTANTE")</f>
        <v>MARIA CLARA CONSTANTE</v>
      </c>
      <c r="F479" s="133"/>
      <c r="G479" s="13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60">
        <f t="shared" si="1"/>
        <v>474</v>
      </c>
      <c r="B480" s="9" t="str">
        <f>IFERROR(__xludf.DUMMYFUNCTION("""COMPUTED_VALUE"""),"TIONGCO")</f>
        <v>TIONGCO</v>
      </c>
      <c r="C480" s="9" t="str">
        <f>IFERROR(__xludf.DUMMYFUNCTION("""COMPUTED_VALUE"""),"JOHN DEXTER")</f>
        <v>JOHN DEXTER</v>
      </c>
      <c r="D480" s="9"/>
      <c r="E480" s="9" t="str">
        <f>IFERROR(__xludf.DUMMYFUNCTION("""COMPUTED_VALUE"""),"NIEL JARED TIONGCO")</f>
        <v>NIEL JARED TIONGCO</v>
      </c>
      <c r="F480" s="133"/>
      <c r="G480" s="13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60">
        <f t="shared" si="1"/>
        <v>475</v>
      </c>
      <c r="B481" s="9" t="str">
        <f>IFERROR(__xludf.DUMMYFUNCTION("""COMPUTED_VALUE"""),"TIONGCO")</f>
        <v>TIONGCO</v>
      </c>
      <c r="C481" s="9" t="str">
        <f>IFERROR(__xludf.DUMMYFUNCTION("""COMPUTED_VALUE"""),"NICHOLAI")</f>
        <v>NICHOLAI</v>
      </c>
      <c r="D481" s="9"/>
      <c r="E481" s="9" t="str">
        <f>IFERROR(__xludf.DUMMYFUNCTION("""COMPUTED_VALUE"""),"NIEL JARED TIONGCO")</f>
        <v>NIEL JARED TIONGCO</v>
      </c>
      <c r="F481" s="133"/>
      <c r="G481" s="13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60">
        <f t="shared" si="1"/>
        <v>476</v>
      </c>
      <c r="B482" s="9" t="str">
        <f>IFERROR(__xludf.DUMMYFUNCTION("""COMPUTED_VALUE"""),"TIONGCO")</f>
        <v>TIONGCO</v>
      </c>
      <c r="C482" s="9" t="str">
        <f>IFERROR(__xludf.DUMMYFUNCTION("""COMPUTED_VALUE"""),"NEIL MATHEW")</f>
        <v>NEIL MATHEW</v>
      </c>
      <c r="D482" s="9"/>
      <c r="E482" s="9" t="str">
        <f>IFERROR(__xludf.DUMMYFUNCTION("""COMPUTED_VALUE"""),"NIEL JARED TIONGCO")</f>
        <v>NIEL JARED TIONGCO</v>
      </c>
      <c r="F482" s="133"/>
      <c r="G482" s="13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60">
        <f t="shared" si="1"/>
        <v>477</v>
      </c>
      <c r="B483" s="9" t="str">
        <f>IFERROR(__xludf.DUMMYFUNCTION("""COMPUTED_VALUE"""),"LUCEÑO")</f>
        <v>LUCEÑO</v>
      </c>
      <c r="C483" s="9" t="str">
        <f>IFERROR(__xludf.DUMMYFUNCTION("""COMPUTED_VALUE"""),"JERICHO")</f>
        <v>JERICHO</v>
      </c>
      <c r="D483" s="9"/>
      <c r="E483" s="9" t="str">
        <f>IFERROR(__xludf.DUMMYFUNCTION("""COMPUTED_VALUE"""),"HERNAN SAPNU")</f>
        <v>HERNAN SAPNU</v>
      </c>
      <c r="F483" s="133"/>
      <c r="G483" s="13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60">
        <f t="shared" si="1"/>
        <v>478</v>
      </c>
      <c r="B484" s="9" t="str">
        <f>IFERROR(__xludf.DUMMYFUNCTION("""COMPUTED_VALUE"""),"CORNELIO")</f>
        <v>CORNELIO</v>
      </c>
      <c r="C484" s="9" t="str">
        <f>IFERROR(__xludf.DUMMYFUNCTION("""COMPUTED_VALUE"""),"CHERIE ANN")</f>
        <v>CHERIE ANN</v>
      </c>
      <c r="D484" s="9"/>
      <c r="E484" s="9" t="str">
        <f>IFERROR(__xludf.DUMMYFUNCTION("""COMPUTED_VALUE"""),"HERNAN SAPNU")</f>
        <v>HERNAN SAPNU</v>
      </c>
      <c r="F484" s="133"/>
      <c r="G484" s="13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60">
        <f t="shared" si="1"/>
        <v>479</v>
      </c>
      <c r="B485" s="9" t="str">
        <f>IFERROR(__xludf.DUMMYFUNCTION("""COMPUTED_VALUE"""),"CORNELIO")</f>
        <v>CORNELIO</v>
      </c>
      <c r="C485" s="9" t="str">
        <f>IFERROR(__xludf.DUMMYFUNCTION("""COMPUTED_VALUE"""),"HILARIE")</f>
        <v>HILARIE</v>
      </c>
      <c r="D485" s="9"/>
      <c r="E485" s="9" t="str">
        <f>IFERROR(__xludf.DUMMYFUNCTION("""COMPUTED_VALUE"""),"HERNAN SAPNU")</f>
        <v>HERNAN SAPNU</v>
      </c>
      <c r="F485" s="133"/>
      <c r="G485" s="13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60">
        <f t="shared" si="1"/>
        <v>480</v>
      </c>
      <c r="B486" s="9" t="str">
        <f>IFERROR(__xludf.DUMMYFUNCTION("""COMPUTED_VALUE"""),"SAPNU JR.")</f>
        <v>SAPNU JR.</v>
      </c>
      <c r="C486" s="9" t="str">
        <f>IFERROR(__xludf.DUMMYFUNCTION("""COMPUTED_VALUE"""),"HERNAN")</f>
        <v>HERNAN</v>
      </c>
      <c r="D486" s="9"/>
      <c r="E486" s="9" t="str">
        <f>IFERROR(__xludf.DUMMYFUNCTION("""COMPUTED_VALUE"""),"HERNAN SAPNU")</f>
        <v>HERNAN SAPNU</v>
      </c>
      <c r="F486" s="133"/>
      <c r="G486" s="13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60">
        <f t="shared" si="1"/>
        <v>481</v>
      </c>
      <c r="B487" s="9" t="str">
        <f>IFERROR(__xludf.DUMMYFUNCTION("""COMPUTED_VALUE"""),"CORNELIO")</f>
        <v>CORNELIO</v>
      </c>
      <c r="C487" s="9" t="str">
        <f>IFERROR(__xludf.DUMMYFUNCTION("""COMPUTED_VALUE"""),"ELYN")</f>
        <v>ELYN</v>
      </c>
      <c r="D487" s="9"/>
      <c r="E487" s="9" t="str">
        <f>IFERROR(__xludf.DUMMYFUNCTION("""COMPUTED_VALUE"""),"RICO MERICO")</f>
        <v>RICO MERICO</v>
      </c>
      <c r="F487" s="133"/>
      <c r="G487" s="13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60">
        <f t="shared" si="1"/>
        <v>482</v>
      </c>
      <c r="B488" s="9" t="str">
        <f>IFERROR(__xludf.DUMMYFUNCTION("""COMPUTED_VALUE"""),"CORNELIO")</f>
        <v>CORNELIO</v>
      </c>
      <c r="C488" s="9" t="str">
        <f>IFERROR(__xludf.DUMMYFUNCTION("""COMPUTED_VALUE"""),"MACLEN")</f>
        <v>MACLEN</v>
      </c>
      <c r="D488" s="9"/>
      <c r="E488" s="9" t="str">
        <f>IFERROR(__xludf.DUMMYFUNCTION("""COMPUTED_VALUE"""),"RICO MERICO")</f>
        <v>RICO MERICO</v>
      </c>
      <c r="F488" s="133"/>
      <c r="G488" s="13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60">
        <f t="shared" si="1"/>
        <v>483</v>
      </c>
      <c r="B489" s="9" t="str">
        <f>IFERROR(__xludf.DUMMYFUNCTION("""COMPUTED_VALUE"""),"EJANDRA")</f>
        <v>EJANDRA</v>
      </c>
      <c r="C489" s="9" t="str">
        <f>IFERROR(__xludf.DUMMYFUNCTION("""COMPUTED_VALUE"""),"RACE ANDREI")</f>
        <v>RACE ANDREI</v>
      </c>
      <c r="D489" s="9"/>
      <c r="E489" s="9" t="str">
        <f>IFERROR(__xludf.DUMMYFUNCTION("""COMPUTED_VALUE"""),"AARON CARL EJANDRA")</f>
        <v>AARON CARL EJANDRA</v>
      </c>
      <c r="F489" s="133"/>
      <c r="G489" s="13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60">
        <f t="shared" si="1"/>
        <v>484</v>
      </c>
      <c r="B490" s="9" t="str">
        <f>IFERROR(__xludf.DUMMYFUNCTION("""COMPUTED_VALUE"""),"EJANDRA")</f>
        <v>EJANDRA</v>
      </c>
      <c r="C490" s="9" t="str">
        <f>IFERROR(__xludf.DUMMYFUNCTION("""COMPUTED_VALUE"""),"RAJE OSHTON")</f>
        <v>RAJE OSHTON</v>
      </c>
      <c r="D490" s="9"/>
      <c r="E490" s="9" t="str">
        <f>IFERROR(__xludf.DUMMYFUNCTION("""COMPUTED_VALUE"""),"AARON CARL EJANDRA")</f>
        <v>AARON CARL EJANDRA</v>
      </c>
      <c r="F490" s="133"/>
      <c r="G490" s="13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60">
        <f t="shared" si="1"/>
        <v>485</v>
      </c>
      <c r="B491" s="9" t="str">
        <f>IFERROR(__xludf.DUMMYFUNCTION("""COMPUTED_VALUE"""),"EJANDRA")</f>
        <v>EJANDRA</v>
      </c>
      <c r="C491" s="9" t="str">
        <f>IFERROR(__xludf.DUMMYFUNCTION("""COMPUTED_VALUE"""),"REIN MAXINE")</f>
        <v>REIN MAXINE</v>
      </c>
      <c r="D491" s="9"/>
      <c r="E491" s="9" t="str">
        <f>IFERROR(__xludf.DUMMYFUNCTION("""COMPUTED_VALUE"""),"AARON CARL EJANDRA")</f>
        <v>AARON CARL EJANDRA</v>
      </c>
      <c r="F491" s="133"/>
      <c r="G491" s="13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60">
        <f t="shared" si="1"/>
        <v>486</v>
      </c>
      <c r="B492" s="9" t="str">
        <f>IFERROR(__xludf.DUMMYFUNCTION("""COMPUTED_VALUE"""),"EJANDRA")</f>
        <v>EJANDRA</v>
      </c>
      <c r="C492" s="9" t="str">
        <f>IFERROR(__xludf.DUMMYFUNCTION("""COMPUTED_VALUE"""),"RONALD WINKY")</f>
        <v>RONALD WINKY</v>
      </c>
      <c r="D492" s="9"/>
      <c r="E492" s="9" t="str">
        <f>IFERROR(__xludf.DUMMYFUNCTION("""COMPUTED_VALUE"""),"RUSSEL EJANDRA")</f>
        <v>RUSSEL EJANDRA</v>
      </c>
      <c r="F492" s="133"/>
      <c r="G492" s="13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60">
        <f t="shared" si="1"/>
        <v>487</v>
      </c>
      <c r="B493" s="9" t="str">
        <f>IFERROR(__xludf.DUMMYFUNCTION("""COMPUTED_VALUE"""),"EJANDRA")</f>
        <v>EJANDRA</v>
      </c>
      <c r="C493" s="9" t="str">
        <f>IFERROR(__xludf.DUMMYFUNCTION("""COMPUTED_VALUE"""),"ASHATI MAE")</f>
        <v>ASHATI MAE</v>
      </c>
      <c r="D493" s="9"/>
      <c r="E493" s="9" t="str">
        <f>IFERROR(__xludf.DUMMYFUNCTION("""COMPUTED_VALUE"""),"ROBERT G. EJANDRA")</f>
        <v>ROBERT G. EJANDRA</v>
      </c>
      <c r="F493" s="133"/>
      <c r="G493" s="13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60">
        <f t="shared" si="1"/>
        <v>488</v>
      </c>
      <c r="B494" s="9" t="str">
        <f>IFERROR(__xludf.DUMMYFUNCTION("""COMPUTED_VALUE"""),"EJANDRA")</f>
        <v>EJANDRA</v>
      </c>
      <c r="C494" s="9" t="str">
        <f>IFERROR(__xludf.DUMMYFUNCTION("""COMPUTED_VALUE"""),"SOPHIA MAE")</f>
        <v>SOPHIA MAE</v>
      </c>
      <c r="D494" s="9"/>
      <c r="E494" s="9" t="str">
        <f>IFERROR(__xludf.DUMMYFUNCTION("""COMPUTED_VALUE"""),"ROBERT G. EJANDRA")</f>
        <v>ROBERT G. EJANDRA</v>
      </c>
      <c r="F494" s="133"/>
      <c r="G494" s="13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60">
        <f t="shared" si="1"/>
        <v>489</v>
      </c>
      <c r="B495" s="9" t="str">
        <f>IFERROR(__xludf.DUMMYFUNCTION("""COMPUTED_VALUE"""),"EJANDRA")</f>
        <v>EJANDRA</v>
      </c>
      <c r="C495" s="9" t="str">
        <f>IFERROR(__xludf.DUMMYFUNCTION("""COMPUTED_VALUE"""),"VLADYMIR")</f>
        <v>VLADYMIR</v>
      </c>
      <c r="D495" s="9"/>
      <c r="E495" s="9" t="str">
        <f>IFERROR(__xludf.DUMMYFUNCTION("""COMPUTED_VALUE"""),"ROBERT G. EJANDRA")</f>
        <v>ROBERT G. EJANDRA</v>
      </c>
      <c r="F495" s="133"/>
      <c r="G495" s="13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60">
        <f t="shared" si="1"/>
        <v>490</v>
      </c>
      <c r="B496" s="9" t="str">
        <f>IFERROR(__xludf.DUMMYFUNCTION("""COMPUTED_VALUE"""),"EJANDRA")</f>
        <v>EJANDRA</v>
      </c>
      <c r="C496" s="9" t="str">
        <f>IFERROR(__xludf.DUMMYFUNCTION("""COMPUTED_VALUE"""),"TYRON")</f>
        <v>TYRON</v>
      </c>
      <c r="D496" s="9"/>
      <c r="E496" s="9" t="str">
        <f>IFERROR(__xludf.DUMMYFUNCTION("""COMPUTED_VALUE"""),"ROBERT G. EJANDRA")</f>
        <v>ROBERT G. EJANDRA</v>
      </c>
      <c r="F496" s="133"/>
      <c r="G496" s="13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60">
        <f t="shared" si="1"/>
        <v>491</v>
      </c>
      <c r="B497" s="9" t="str">
        <f>IFERROR(__xludf.DUMMYFUNCTION("""COMPUTED_VALUE"""),"EJANDRA")</f>
        <v>EJANDRA</v>
      </c>
      <c r="C497" s="9" t="str">
        <f>IFERROR(__xludf.DUMMYFUNCTION("""COMPUTED_VALUE"""),"NEPHI")</f>
        <v>NEPHI</v>
      </c>
      <c r="D497" s="9"/>
      <c r="E497" s="9" t="str">
        <f>IFERROR(__xludf.DUMMYFUNCTION("""COMPUTED_VALUE"""),"ROBERT G. EJANDRA")</f>
        <v>ROBERT G. EJANDRA</v>
      </c>
      <c r="F497" s="133"/>
      <c r="G497" s="13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60">
        <f t="shared" si="1"/>
        <v>492</v>
      </c>
      <c r="B498" s="9" t="str">
        <f>IFERROR(__xludf.DUMMYFUNCTION("""COMPUTED_VALUE"""),"EJANDRA")</f>
        <v>EJANDRA</v>
      </c>
      <c r="C498" s="9" t="str">
        <f>IFERROR(__xludf.DUMMYFUNCTION("""COMPUTED_VALUE"""),"KATE ANTONETH")</f>
        <v>KATE ANTONETH</v>
      </c>
      <c r="D498" s="9"/>
      <c r="E498" s="9" t="str">
        <f>IFERROR(__xludf.DUMMYFUNCTION("""COMPUTED_VALUE"""),"ROBERT G. EJANDRA")</f>
        <v>ROBERT G. EJANDRA</v>
      </c>
      <c r="F498" s="133"/>
      <c r="G498" s="13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60">
        <f t="shared" si="1"/>
        <v>493</v>
      </c>
      <c r="B499" s="9" t="str">
        <f>IFERROR(__xludf.DUMMYFUNCTION("""COMPUTED_VALUE"""),"EJANDRA")</f>
        <v>EJANDRA</v>
      </c>
      <c r="C499" s="9" t="str">
        <f>IFERROR(__xludf.DUMMYFUNCTION("""COMPUTED_VALUE"""),"LUCAS IVAN")</f>
        <v>LUCAS IVAN</v>
      </c>
      <c r="D499" s="9"/>
      <c r="E499" s="9" t="str">
        <f>IFERROR(__xludf.DUMMYFUNCTION("""COMPUTED_VALUE"""),"ALFRED IVAN EJANDRA")</f>
        <v>ALFRED IVAN EJANDRA</v>
      </c>
      <c r="F499" s="133"/>
      <c r="G499" s="13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60">
        <f t="shared" si="1"/>
        <v>494</v>
      </c>
      <c r="B500" s="9" t="str">
        <f>IFERROR(__xludf.DUMMYFUNCTION("""COMPUTED_VALUE"""),"EJANDRA")</f>
        <v>EJANDRA</v>
      </c>
      <c r="C500" s="9" t="str">
        <f>IFERROR(__xludf.DUMMYFUNCTION("""COMPUTED_VALUE"""),"AYESHA MAE")</f>
        <v>AYESHA MAE</v>
      </c>
      <c r="D500" s="9"/>
      <c r="E500" s="9" t="str">
        <f>IFERROR(__xludf.DUMMYFUNCTION("""COMPUTED_VALUE"""),"KURT JUSTINE EJANDRA")</f>
        <v>KURT JUSTINE EJANDRA</v>
      </c>
      <c r="F500" s="133"/>
      <c r="G500" s="13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60">
        <f t="shared" si="1"/>
        <v>495</v>
      </c>
      <c r="B501" s="9" t="str">
        <f>IFERROR(__xludf.DUMMYFUNCTION("""COMPUTED_VALUE"""),"EJANDRA")</f>
        <v>EJANDRA</v>
      </c>
      <c r="C501" s="9" t="str">
        <f>IFERROR(__xludf.DUMMYFUNCTION("""COMPUTED_VALUE"""),"ALLYSON ASTRID")</f>
        <v>ALLYSON ASTRID</v>
      </c>
      <c r="D501" s="9"/>
      <c r="E501" s="9" t="str">
        <f>IFERROR(__xludf.DUMMYFUNCTION("""COMPUTED_VALUE"""),"VINCENT POTAL")</f>
        <v>VINCENT POTAL</v>
      </c>
      <c r="F501" s="133"/>
      <c r="G501" s="13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60">
        <f t="shared" si="1"/>
        <v>496</v>
      </c>
      <c r="B502" s="9" t="str">
        <f>IFERROR(__xludf.DUMMYFUNCTION("""COMPUTED_VALUE"""),"EJANDRA")</f>
        <v>EJANDRA</v>
      </c>
      <c r="C502" s="9" t="str">
        <f>IFERROR(__xludf.DUMMYFUNCTION("""COMPUTED_VALUE"""),"KING ISMAEL")</f>
        <v>KING ISMAEL</v>
      </c>
      <c r="D502" s="9"/>
      <c r="E502" s="9" t="str">
        <f>IFERROR(__xludf.DUMMYFUNCTION("""COMPUTED_VALUE"""),"VINCENT POTAL")</f>
        <v>VINCENT POTAL</v>
      </c>
      <c r="F502" s="133"/>
      <c r="G502" s="13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60">
        <f t="shared" si="1"/>
        <v>497</v>
      </c>
      <c r="B503" s="9" t="str">
        <f>IFERROR(__xludf.DUMMYFUNCTION("""COMPUTED_VALUE"""),"GALAURAN")</f>
        <v>GALAURAN</v>
      </c>
      <c r="C503" s="9" t="str">
        <f>IFERROR(__xludf.DUMMYFUNCTION("""COMPUTED_VALUE"""),"LOVELY ROSE")</f>
        <v>LOVELY ROSE</v>
      </c>
      <c r="D503" s="9"/>
      <c r="E503" s="9" t="str">
        <f>IFERROR(__xludf.DUMMYFUNCTION("""COMPUTED_VALUE"""),"RODRIGO GALAURAN")</f>
        <v>RODRIGO GALAURAN</v>
      </c>
      <c r="F503" s="133"/>
      <c r="G503" s="13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60">
        <f t="shared" si="1"/>
        <v>498</v>
      </c>
      <c r="B504" s="9" t="str">
        <f>IFERROR(__xludf.DUMMYFUNCTION("""COMPUTED_VALUE"""),"GALAURAN JR.")</f>
        <v>GALAURAN JR.</v>
      </c>
      <c r="C504" s="9" t="str">
        <f>IFERROR(__xludf.DUMMYFUNCTION("""COMPUTED_VALUE"""),"RODRIGO")</f>
        <v>RODRIGO</v>
      </c>
      <c r="D504" s="9"/>
      <c r="E504" s="9" t="str">
        <f>IFERROR(__xludf.DUMMYFUNCTION("""COMPUTED_VALUE"""),"RODRIGO GALAURAN")</f>
        <v>RODRIGO GALAURAN</v>
      </c>
      <c r="F504" s="133"/>
      <c r="G504" s="13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60">
        <f t="shared" si="1"/>
        <v>499</v>
      </c>
      <c r="B505" s="9" t="str">
        <f>IFERROR(__xludf.DUMMYFUNCTION("""COMPUTED_VALUE"""),"GALAURAN")</f>
        <v>GALAURAN</v>
      </c>
      <c r="C505" s="9" t="str">
        <f>IFERROR(__xludf.DUMMYFUNCTION("""COMPUTED_VALUE"""),"RHIANNA")</f>
        <v>RHIANNA</v>
      </c>
      <c r="D505" s="9"/>
      <c r="E505" s="9" t="str">
        <f>IFERROR(__xludf.DUMMYFUNCTION("""COMPUTED_VALUE"""),"RODRIGO GALAURAN")</f>
        <v>RODRIGO GALAURAN</v>
      </c>
      <c r="F505" s="133"/>
      <c r="G505" s="13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60">
        <f t="shared" si="1"/>
        <v>500</v>
      </c>
      <c r="B506" s="9" t="str">
        <f>IFERROR(__xludf.DUMMYFUNCTION("""COMPUTED_VALUE"""),"HERNIA")</f>
        <v>HERNIA</v>
      </c>
      <c r="C506" s="9" t="str">
        <f>IFERROR(__xludf.DUMMYFUNCTION("""COMPUTED_VALUE"""),"CHRYS ARYLL")</f>
        <v>CHRYS ARYLL</v>
      </c>
      <c r="D506" s="9" t="str">
        <f>IFERROR(__xludf.DUMMYFUNCTION("""COMPUTED_VALUE"""),"G")</f>
        <v>G</v>
      </c>
      <c r="E506" s="9" t="str">
        <f>IFERROR(__xludf.DUMMYFUNCTION("""COMPUTED_VALUE"""),"JOMEL CHRYSTIANNE HERNIA")</f>
        <v>JOMEL CHRYSTIANNE HERNIA</v>
      </c>
      <c r="F506" s="133"/>
      <c r="G506" s="13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60">
        <f t="shared" si="1"/>
        <v>501</v>
      </c>
      <c r="B507" s="9" t="str">
        <f>IFERROR(__xludf.DUMMYFUNCTION("""COMPUTED_VALUE"""),"HERNIA")</f>
        <v>HERNIA</v>
      </c>
      <c r="C507" s="9" t="str">
        <f>IFERROR(__xludf.DUMMYFUNCTION("""COMPUTED_VALUE"""),"CIO JAZRIEL")</f>
        <v>CIO JAZRIEL</v>
      </c>
      <c r="D507" s="9" t="str">
        <f>IFERROR(__xludf.DUMMYFUNCTION("""COMPUTED_VALUE"""),"G")</f>
        <v>G</v>
      </c>
      <c r="E507" s="9" t="str">
        <f>IFERROR(__xludf.DUMMYFUNCTION("""COMPUTED_VALUE"""),"JOMEL CHRYSTIANNE HERNIA")</f>
        <v>JOMEL CHRYSTIANNE HERNIA</v>
      </c>
      <c r="F507" s="133"/>
      <c r="G507" s="13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60">
        <f t="shared" si="1"/>
        <v>502</v>
      </c>
      <c r="B508" s="9" t="str">
        <f>IFERROR(__xludf.DUMMYFUNCTION("""COMPUTED_VALUE"""),"GOROSAS")</f>
        <v>GOROSAS</v>
      </c>
      <c r="C508" s="9" t="str">
        <f>IFERROR(__xludf.DUMMYFUNCTION("""COMPUTED_VALUE"""),"MHIKA MAE")</f>
        <v>MHIKA MAE</v>
      </c>
      <c r="D508" s="9" t="str">
        <f>IFERROR(__xludf.DUMMYFUNCTION("""COMPUTED_VALUE"""),"S")</f>
        <v>S</v>
      </c>
      <c r="E508" s="9" t="str">
        <f>IFERROR(__xludf.DUMMYFUNCTION("""COMPUTED_VALUE"""),"EDLARD T. GOROSAS")</f>
        <v>EDLARD T. GOROSAS</v>
      </c>
      <c r="F508" s="133"/>
      <c r="G508" s="13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60">
        <f t="shared" si="1"/>
        <v>503</v>
      </c>
      <c r="B509" s="9" t="str">
        <f>IFERROR(__xludf.DUMMYFUNCTION("""COMPUTED_VALUE"""),"GOROSAS")</f>
        <v>GOROSAS</v>
      </c>
      <c r="C509" s="9" t="str">
        <f>IFERROR(__xludf.DUMMYFUNCTION("""COMPUTED_VALUE"""),"IRISH")</f>
        <v>IRISH</v>
      </c>
      <c r="D509" s="9" t="str">
        <f>IFERROR(__xludf.DUMMYFUNCTION("""COMPUTED_VALUE"""),"S")</f>
        <v>S</v>
      </c>
      <c r="E509" s="9" t="str">
        <f>IFERROR(__xludf.DUMMYFUNCTION("""COMPUTED_VALUE"""),"EDLARD T. GOROSAS")</f>
        <v>EDLARD T. GOROSAS</v>
      </c>
      <c r="F509" s="133"/>
      <c r="G509" s="13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60">
        <f t="shared" si="1"/>
        <v>504</v>
      </c>
      <c r="B510" s="9" t="str">
        <f>IFERROR(__xludf.DUMMYFUNCTION("""COMPUTED_VALUE"""),"GOROSAS")</f>
        <v>GOROSAS</v>
      </c>
      <c r="C510" s="9" t="str">
        <f>IFERROR(__xludf.DUMMYFUNCTION("""COMPUTED_VALUE"""),"EDRAK")</f>
        <v>EDRAK</v>
      </c>
      <c r="D510" s="9" t="str">
        <f>IFERROR(__xludf.DUMMYFUNCTION("""COMPUTED_VALUE"""),"S")</f>
        <v>S</v>
      </c>
      <c r="E510" s="9" t="str">
        <f>IFERROR(__xludf.DUMMYFUNCTION("""COMPUTED_VALUE"""),"EDLARD T. GOROSAS")</f>
        <v>EDLARD T. GOROSAS</v>
      </c>
      <c r="F510" s="133"/>
      <c r="G510" s="13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60">
        <f t="shared" si="1"/>
        <v>505</v>
      </c>
      <c r="B511" s="9" t="str">
        <f>IFERROR(__xludf.DUMMYFUNCTION("""COMPUTED_VALUE"""),"AVILES")</f>
        <v>AVILES</v>
      </c>
      <c r="C511" s="9" t="str">
        <f>IFERROR(__xludf.DUMMYFUNCTION("""COMPUTED_VALUE"""),"ROAN CHRISTI")</f>
        <v>ROAN CHRISTI</v>
      </c>
      <c r="D511" s="9" t="str">
        <f>IFERROR(__xludf.DUMMYFUNCTION("""COMPUTED_VALUE"""),"S")</f>
        <v>S</v>
      </c>
      <c r="E511" s="9" t="str">
        <f>IFERROR(__xludf.DUMMYFUNCTION("""COMPUTED_VALUE"""),"ROBERT AVILES")</f>
        <v>ROBERT AVILES</v>
      </c>
      <c r="F511" s="133"/>
      <c r="G511" s="13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60">
        <f t="shared" si="1"/>
        <v>506</v>
      </c>
      <c r="B512" s="9" t="str">
        <f>IFERROR(__xludf.DUMMYFUNCTION("""COMPUTED_VALUE"""),"AVILES")</f>
        <v>AVILES</v>
      </c>
      <c r="C512" s="9" t="str">
        <f>IFERROR(__xludf.DUMMYFUNCTION("""COMPUTED_VALUE"""),"YASHA")</f>
        <v>YASHA</v>
      </c>
      <c r="D512" s="9" t="str">
        <f>IFERROR(__xludf.DUMMYFUNCTION("""COMPUTED_VALUE"""),"S")</f>
        <v>S</v>
      </c>
      <c r="E512" s="9" t="str">
        <f>IFERROR(__xludf.DUMMYFUNCTION("""COMPUTED_VALUE"""),"ROBERT AVILES")</f>
        <v>ROBERT AVILES</v>
      </c>
      <c r="F512" s="133"/>
      <c r="G512" s="13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60">
        <f t="shared" si="1"/>
        <v>507</v>
      </c>
      <c r="B513" s="9" t="str">
        <f>IFERROR(__xludf.DUMMYFUNCTION("""COMPUTED_VALUE"""),"AVILES")</f>
        <v>AVILES</v>
      </c>
      <c r="C513" s="9" t="str">
        <f>IFERROR(__xludf.DUMMYFUNCTION("""COMPUTED_VALUE"""),"KIAN ZANE")</f>
        <v>KIAN ZANE</v>
      </c>
      <c r="D513" s="9"/>
      <c r="E513" s="9" t="str">
        <f>IFERROR(__xludf.DUMMYFUNCTION("""COMPUTED_VALUE"""),"JOHN PATRICK LLAMES")</f>
        <v>JOHN PATRICK LLAMES</v>
      </c>
      <c r="F513" s="133"/>
      <c r="G513" s="13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60">
        <f t="shared" si="1"/>
        <v>508</v>
      </c>
      <c r="B514" s="9" t="str">
        <f>IFERROR(__xludf.DUMMYFUNCTION("""COMPUTED_VALUE"""),"URZABIA")</f>
        <v>URZABIA</v>
      </c>
      <c r="C514" s="9" t="str">
        <f>IFERROR(__xludf.DUMMYFUNCTION("""COMPUTED_VALUE"""),"SHAWN ERICH")</f>
        <v>SHAWN ERICH</v>
      </c>
      <c r="D514" s="9"/>
      <c r="E514" s="9" t="str">
        <f>IFERROR(__xludf.DUMMYFUNCTION("""COMPUTED_VALUE"""),"ERIC URZABIA")</f>
        <v>ERIC URZABIA</v>
      </c>
      <c r="F514" s="133"/>
      <c r="G514" s="13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60">
        <f t="shared" si="1"/>
        <v>509</v>
      </c>
      <c r="B515" s="9" t="str">
        <f>IFERROR(__xludf.DUMMYFUNCTION("""COMPUTED_VALUE"""),"URZABIA")</f>
        <v>URZABIA</v>
      </c>
      <c r="C515" s="9" t="str">
        <f>IFERROR(__xludf.DUMMYFUNCTION("""COMPUTED_VALUE"""),"SHAINA ERICKA")</f>
        <v>SHAINA ERICKA</v>
      </c>
      <c r="D515" s="9"/>
      <c r="E515" s="9" t="str">
        <f>IFERROR(__xludf.DUMMYFUNCTION("""COMPUTED_VALUE"""),"ERIC URZABIA")</f>
        <v>ERIC URZABIA</v>
      </c>
      <c r="F515" s="133"/>
      <c r="G515" s="13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60">
        <f t="shared" si="1"/>
        <v>510</v>
      </c>
      <c r="B516" s="9" t="str">
        <f>IFERROR(__xludf.DUMMYFUNCTION("""COMPUTED_VALUE"""),"URZABIA")</f>
        <v>URZABIA</v>
      </c>
      <c r="C516" s="9" t="str">
        <f>IFERROR(__xludf.DUMMYFUNCTION("""COMPUTED_VALUE"""),"SOPHIA ERINEA")</f>
        <v>SOPHIA ERINEA</v>
      </c>
      <c r="D516" s="9"/>
      <c r="E516" s="9" t="str">
        <f>IFERROR(__xludf.DUMMYFUNCTION("""COMPUTED_VALUE"""),"ERIC URZABIA")</f>
        <v>ERIC URZABIA</v>
      </c>
      <c r="F516" s="133"/>
      <c r="G516" s="13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60">
        <f t="shared" si="1"/>
        <v>511</v>
      </c>
      <c r="B517" s="9" t="str">
        <f>IFERROR(__xludf.DUMMYFUNCTION("""COMPUTED_VALUE"""),"URZABIA")</f>
        <v>URZABIA</v>
      </c>
      <c r="C517" s="9" t="str">
        <f>IFERROR(__xludf.DUMMYFUNCTION("""COMPUTED_VALUE"""),"JAYCEEL")</f>
        <v>JAYCEEL</v>
      </c>
      <c r="D517" s="9"/>
      <c r="E517" s="9" t="str">
        <f>IFERROR(__xludf.DUMMYFUNCTION("""COMPUTED_VALUE"""),"ERIC URZABIA")</f>
        <v>ERIC URZABIA</v>
      </c>
      <c r="F517" s="133"/>
      <c r="G517" s="13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60">
        <f t="shared" si="1"/>
        <v>512</v>
      </c>
      <c r="B518" s="9" t="str">
        <f>IFERROR(__xludf.DUMMYFUNCTION("""COMPUTED_VALUE"""),"CABALLA")</f>
        <v>CABALLA</v>
      </c>
      <c r="C518" s="9" t="str">
        <f>IFERROR(__xludf.DUMMYFUNCTION("""COMPUTED_VALUE"""),"MARIA ROSETTE")</f>
        <v>MARIA ROSETTE</v>
      </c>
      <c r="D518" s="9"/>
      <c r="E518" s="9" t="str">
        <f>IFERROR(__xludf.DUMMYFUNCTION("""COMPUTED_VALUE"""),"RENATOO P. CABALLA")</f>
        <v>RENATOO P. CABALLA</v>
      </c>
      <c r="F518" s="133"/>
      <c r="G518" s="13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60">
        <f t="shared" si="1"/>
        <v>513</v>
      </c>
      <c r="B519" s="9" t="str">
        <f>IFERROR(__xludf.DUMMYFUNCTION("""COMPUTED_VALUE"""),"CABALLA")</f>
        <v>CABALLA</v>
      </c>
      <c r="C519" s="9" t="str">
        <f>IFERROR(__xludf.DUMMYFUNCTION("""COMPUTED_VALUE"""),"ALLANIS CLAYJA")</f>
        <v>ALLANIS CLAYJA</v>
      </c>
      <c r="D519" s="9" t="str">
        <f>IFERROR(__xludf.DUMMYFUNCTION("""COMPUTED_VALUE"""),"A")</f>
        <v>A</v>
      </c>
      <c r="E519" s="9" t="str">
        <f>IFERROR(__xludf.DUMMYFUNCTION("""COMPUTED_VALUE"""),"RAMONCITO S CABALLA")</f>
        <v>RAMONCITO S CABALLA</v>
      </c>
      <c r="F519" s="133"/>
      <c r="G519" s="13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60">
        <f t="shared" si="1"/>
        <v>514</v>
      </c>
      <c r="B520" s="9" t="str">
        <f>IFERROR(__xludf.DUMMYFUNCTION("""COMPUTED_VALUE"""),"CABALLA")</f>
        <v>CABALLA</v>
      </c>
      <c r="C520" s="9" t="str">
        <f>IFERROR(__xludf.DUMMYFUNCTION("""COMPUTED_VALUE"""),"ARIAH LEXA")</f>
        <v>ARIAH LEXA</v>
      </c>
      <c r="D520" s="9" t="str">
        <f>IFERROR(__xludf.DUMMYFUNCTION("""COMPUTED_VALUE"""),"A")</f>
        <v>A</v>
      </c>
      <c r="E520" s="9" t="str">
        <f>IFERROR(__xludf.DUMMYFUNCTION("""COMPUTED_VALUE"""),"RAMONCITO S CABALLA")</f>
        <v>RAMONCITO S CABALLA</v>
      </c>
      <c r="F520" s="133"/>
      <c r="G520" s="13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60">
        <f t="shared" si="1"/>
        <v>515</v>
      </c>
      <c r="B521" s="9" t="str">
        <f>IFERROR(__xludf.DUMMYFUNCTION("""COMPUTED_VALUE"""),"CABALLA")</f>
        <v>CABALLA</v>
      </c>
      <c r="C521" s="9" t="str">
        <f>IFERROR(__xludf.DUMMYFUNCTION("""COMPUTED_VALUE"""),"AXIEL")</f>
        <v>AXIEL</v>
      </c>
      <c r="D521" s="9" t="str">
        <f>IFERROR(__xludf.DUMMYFUNCTION("""COMPUTED_VALUE"""),"A")</f>
        <v>A</v>
      </c>
      <c r="E521" s="9" t="str">
        <f>IFERROR(__xludf.DUMMYFUNCTION("""COMPUTED_VALUE"""),"RAMONCITO S CABALLA")</f>
        <v>RAMONCITO S CABALLA</v>
      </c>
      <c r="F521" s="133"/>
      <c r="G521" s="13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60">
        <f t="shared" si="1"/>
        <v>516</v>
      </c>
      <c r="B522" s="9" t="str">
        <f>IFERROR(__xludf.DUMMYFUNCTION("""COMPUTED_VALUE"""),"KUMAR")</f>
        <v>KUMAR</v>
      </c>
      <c r="C522" s="9" t="str">
        <f>IFERROR(__xludf.DUMMYFUNCTION("""COMPUTED_VALUE"""),"BIRAJ")</f>
        <v>BIRAJ</v>
      </c>
      <c r="D522" s="9" t="str">
        <f>IFERROR(__xludf.DUMMYFUNCTION("""COMPUTED_VALUE"""),"C")</f>
        <v>C</v>
      </c>
      <c r="E522" s="9" t="str">
        <f>IFERROR(__xludf.DUMMYFUNCTION("""COMPUTED_VALUE"""),"BALIJINDER KUMAR")</f>
        <v>BALIJINDER KUMAR</v>
      </c>
      <c r="F522" s="133"/>
      <c r="G522" s="13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60">
        <f t="shared" si="1"/>
        <v>517</v>
      </c>
      <c r="B523" s="9" t="str">
        <f>IFERROR(__xludf.DUMMYFUNCTION("""COMPUTED_VALUE"""),"KUMAR")</f>
        <v>KUMAR</v>
      </c>
      <c r="C523" s="9" t="str">
        <f>IFERROR(__xludf.DUMMYFUNCTION("""COMPUTED_VALUE"""),"LAKSH")</f>
        <v>LAKSH</v>
      </c>
      <c r="D523" s="9" t="str">
        <f>IFERROR(__xludf.DUMMYFUNCTION("""COMPUTED_VALUE"""),"C")</f>
        <v>C</v>
      </c>
      <c r="E523" s="9" t="str">
        <f>IFERROR(__xludf.DUMMYFUNCTION("""COMPUTED_VALUE"""),"BALIJINDER KUMAR")</f>
        <v>BALIJINDER KUMAR</v>
      </c>
      <c r="F523" s="133"/>
      <c r="G523" s="13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60">
        <f t="shared" si="1"/>
        <v>518</v>
      </c>
      <c r="B524" s="9" t="str">
        <f>IFERROR(__xludf.DUMMYFUNCTION("""COMPUTED_VALUE"""),"CABALLA")</f>
        <v>CABALLA</v>
      </c>
      <c r="C524" s="9" t="str">
        <f>IFERROR(__xludf.DUMMYFUNCTION("""COMPUTED_VALUE"""),"RED")</f>
        <v>RED</v>
      </c>
      <c r="D524" s="9"/>
      <c r="E524" s="9" t="str">
        <f>IFERROR(__xludf.DUMMYFUNCTION("""COMPUTED_VALUE"""),"REDENTOR CABALLA")</f>
        <v>REDENTOR CABALLA</v>
      </c>
      <c r="F524" s="133"/>
      <c r="G524" s="13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60">
        <f t="shared" si="1"/>
        <v>519</v>
      </c>
      <c r="B525" s="9" t="str">
        <f>IFERROR(__xludf.DUMMYFUNCTION("""COMPUTED_VALUE"""),"CABALLA")</f>
        <v>CABALLA</v>
      </c>
      <c r="C525" s="9" t="str">
        <f>IFERROR(__xludf.DUMMYFUNCTION("""COMPUTED_VALUE"""),"DEN")</f>
        <v>DEN</v>
      </c>
      <c r="D525" s="9"/>
      <c r="E525" s="9" t="str">
        <f>IFERROR(__xludf.DUMMYFUNCTION("""COMPUTED_VALUE"""),"REDENTOR CABALLA")</f>
        <v>REDENTOR CABALLA</v>
      </c>
      <c r="F525" s="133"/>
      <c r="G525" s="13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60">
        <f t="shared" si="1"/>
        <v>520</v>
      </c>
      <c r="B526" s="9" t="str">
        <f>IFERROR(__xludf.DUMMYFUNCTION("""COMPUTED_VALUE"""),"CABALLA")</f>
        <v>CABALLA</v>
      </c>
      <c r="C526" s="9" t="str">
        <f>IFERROR(__xludf.DUMMYFUNCTION("""COMPUTED_VALUE"""),"JONATHAN")</f>
        <v>JONATHAN</v>
      </c>
      <c r="D526" s="9"/>
      <c r="E526" s="9" t="str">
        <f>IFERROR(__xludf.DUMMYFUNCTION("""COMPUTED_VALUE"""),"REYNALDO CABALLA")</f>
        <v>REYNALDO CABALLA</v>
      </c>
      <c r="F526" s="133"/>
      <c r="G526" s="13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60">
        <f t="shared" si="1"/>
        <v>521</v>
      </c>
      <c r="B527" s="9" t="str">
        <f>IFERROR(__xludf.DUMMYFUNCTION("""COMPUTED_VALUE"""),"CABALLA JR")</f>
        <v>CABALLA JR</v>
      </c>
      <c r="C527" s="9" t="str">
        <f>IFERROR(__xludf.DUMMYFUNCTION("""COMPUTED_VALUE"""),"REYNALDO")</f>
        <v>REYNALDO</v>
      </c>
      <c r="D527" s="9"/>
      <c r="E527" s="9" t="str">
        <f>IFERROR(__xludf.DUMMYFUNCTION("""COMPUTED_VALUE"""),"REYNALDO CABALLA")</f>
        <v>REYNALDO CABALLA</v>
      </c>
      <c r="F527" s="133"/>
      <c r="G527" s="13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60">
        <f t="shared" si="1"/>
        <v>522</v>
      </c>
      <c r="B528" s="9" t="str">
        <f>IFERROR(__xludf.DUMMYFUNCTION("""COMPUTED_VALUE"""),"CABALLA")</f>
        <v>CABALLA</v>
      </c>
      <c r="C528" s="9" t="str">
        <f>IFERROR(__xludf.DUMMYFUNCTION("""COMPUTED_VALUE"""),"ROSEMARIE")</f>
        <v>ROSEMARIE</v>
      </c>
      <c r="D528" s="9"/>
      <c r="E528" s="9" t="str">
        <f>IFERROR(__xludf.DUMMYFUNCTION("""COMPUTED_VALUE"""),"REYNALDO CABALLA")</f>
        <v>REYNALDO CABALLA</v>
      </c>
      <c r="F528" s="133"/>
      <c r="G528" s="13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60">
        <f t="shared" si="1"/>
        <v>523</v>
      </c>
      <c r="B529" s="9" t="str">
        <f>IFERROR(__xludf.DUMMYFUNCTION("""COMPUTED_VALUE"""),"LEGASPI")</f>
        <v>LEGASPI</v>
      </c>
      <c r="C529" s="9" t="str">
        <f>IFERROR(__xludf.DUMMYFUNCTION("""COMPUTED_VALUE"""),"JEIRA MAE")</f>
        <v>JEIRA MAE</v>
      </c>
      <c r="D529" s="9"/>
      <c r="E529" s="9" t="str">
        <f>IFERROR(__xludf.DUMMYFUNCTION("""COMPUTED_VALUE"""),"JENNIFER OLIVA")</f>
        <v>JENNIFER OLIVA</v>
      </c>
      <c r="F529" s="133"/>
      <c r="G529" s="13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60">
        <f t="shared" si="1"/>
        <v>524</v>
      </c>
      <c r="B530" s="9" t="str">
        <f>IFERROR(__xludf.DUMMYFUNCTION("""COMPUTED_VALUE"""),"LEGASPI")</f>
        <v>LEGASPI</v>
      </c>
      <c r="C530" s="9" t="str">
        <f>IFERROR(__xludf.DUMMYFUNCTION("""COMPUTED_VALUE"""),"JENNICA")</f>
        <v>JENNICA</v>
      </c>
      <c r="D530" s="9"/>
      <c r="E530" s="9" t="str">
        <f>IFERROR(__xludf.DUMMYFUNCTION("""COMPUTED_VALUE"""),"JENNIFER OLIVA")</f>
        <v>JENNIFER OLIVA</v>
      </c>
      <c r="F530" s="133"/>
      <c r="G530" s="13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60">
        <f t="shared" si="1"/>
        <v>525</v>
      </c>
      <c r="B531" s="9" t="str">
        <f>IFERROR(__xludf.DUMMYFUNCTION("""COMPUTED_VALUE"""),"BUTIAL")</f>
        <v>BUTIAL</v>
      </c>
      <c r="C531" s="9" t="str">
        <f>IFERROR(__xludf.DUMMYFUNCTION("""COMPUTED_VALUE"""),"AIDEN JAYCE")</f>
        <v>AIDEN JAYCE</v>
      </c>
      <c r="D531" s="9"/>
      <c r="E531" s="9" t="str">
        <f>IFERROR(__xludf.DUMMYFUNCTION("""COMPUTED_VALUE"""),"MARK JAYSON BUTIAL")</f>
        <v>MARK JAYSON BUTIAL</v>
      </c>
      <c r="F531" s="133"/>
      <c r="G531" s="13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60">
        <f t="shared" si="1"/>
        <v>526</v>
      </c>
      <c r="B532" s="9" t="str">
        <f>IFERROR(__xludf.DUMMYFUNCTION("""COMPUTED_VALUE"""),"DEL ROSARIO")</f>
        <v>DEL ROSARIO</v>
      </c>
      <c r="C532" s="9" t="str">
        <f>IFERROR(__xludf.DUMMYFUNCTION("""COMPUTED_VALUE"""),"ALTHEA MAE")</f>
        <v>ALTHEA MAE</v>
      </c>
      <c r="D532" s="9" t="str">
        <f>IFERROR(__xludf.DUMMYFUNCTION("""COMPUTED_VALUE"""),"L")</f>
        <v>L</v>
      </c>
      <c r="E532" s="9" t="str">
        <f>IFERROR(__xludf.DUMMYFUNCTION("""COMPUTED_VALUE"""),"LEONCIO MADOGINOG III")</f>
        <v>LEONCIO MADOGINOG III</v>
      </c>
      <c r="F532" s="133"/>
      <c r="G532" s="13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60">
        <f t="shared" si="1"/>
        <v>527</v>
      </c>
      <c r="B533" s="9" t="str">
        <f>IFERROR(__xludf.DUMMYFUNCTION("""COMPUTED_VALUE"""),"DEL ROSARIO")</f>
        <v>DEL ROSARIO</v>
      </c>
      <c r="C533" s="9" t="str">
        <f>IFERROR(__xludf.DUMMYFUNCTION("""COMPUTED_VALUE"""),"RHIANNA MAE")</f>
        <v>RHIANNA MAE</v>
      </c>
      <c r="D533" s="9" t="str">
        <f>IFERROR(__xludf.DUMMYFUNCTION("""COMPUTED_VALUE"""),"L")</f>
        <v>L</v>
      </c>
      <c r="E533" s="9" t="str">
        <f>IFERROR(__xludf.DUMMYFUNCTION("""COMPUTED_VALUE"""),"LEONCIO MADOGINOG III")</f>
        <v>LEONCIO MADOGINOG III</v>
      </c>
      <c r="F533" s="133"/>
      <c r="G533" s="13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60">
        <f t="shared" si="1"/>
        <v>528</v>
      </c>
      <c r="B534" s="9" t="str">
        <f>IFERROR(__xludf.DUMMYFUNCTION("""COMPUTED_VALUE"""),"MADOGINOG")</f>
        <v>MADOGINOG</v>
      </c>
      <c r="C534" s="9" t="str">
        <f>IFERROR(__xludf.DUMMYFUNCTION("""COMPUTED_VALUE"""),"XHYLLENE")</f>
        <v>XHYLLENE</v>
      </c>
      <c r="D534" s="9" t="str">
        <f>IFERROR(__xludf.DUMMYFUNCTION("""COMPUTED_VALUE"""),"L")</f>
        <v>L</v>
      </c>
      <c r="E534" s="9" t="str">
        <f>IFERROR(__xludf.DUMMYFUNCTION("""COMPUTED_VALUE"""),"LEONCIO MADOGINOG III")</f>
        <v>LEONCIO MADOGINOG III</v>
      </c>
      <c r="F534" s="133"/>
      <c r="G534" s="13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60">
        <f t="shared" si="1"/>
        <v>529</v>
      </c>
      <c r="B535" s="9" t="str">
        <f>IFERROR(__xludf.DUMMYFUNCTION("""COMPUTED_VALUE"""),"MADOGINOG")</f>
        <v>MADOGINOG</v>
      </c>
      <c r="C535" s="9" t="str">
        <f>IFERROR(__xludf.DUMMYFUNCTION("""COMPUTED_VALUE"""),"YZABELLAEYHONE")</f>
        <v>YZABELLAEYHONE</v>
      </c>
      <c r="D535" s="9" t="str">
        <f>IFERROR(__xludf.DUMMYFUNCTION("""COMPUTED_VALUE"""),"L")</f>
        <v>L</v>
      </c>
      <c r="E535" s="9" t="str">
        <f>IFERROR(__xludf.DUMMYFUNCTION("""COMPUTED_VALUE"""),"LEONCIO MADOGINOG III")</f>
        <v>LEONCIO MADOGINOG III</v>
      </c>
      <c r="F535" s="133"/>
      <c r="G535" s="13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60">
        <f t="shared" si="1"/>
        <v>530</v>
      </c>
      <c r="B536" s="9" t="str">
        <f>IFERROR(__xludf.DUMMYFUNCTION("""COMPUTED_VALUE"""),"MADOGINOG")</f>
        <v>MADOGINOG</v>
      </c>
      <c r="C536" s="9" t="str">
        <f>IFERROR(__xludf.DUMMYFUNCTION("""COMPUTED_VALUE"""),"MAVIE RHYNE")</f>
        <v>MAVIE RHYNE</v>
      </c>
      <c r="D536" s="9" t="str">
        <f>IFERROR(__xludf.DUMMYFUNCTION("""COMPUTED_VALUE"""),"L")</f>
        <v>L</v>
      </c>
      <c r="E536" s="9" t="str">
        <f>IFERROR(__xludf.DUMMYFUNCTION("""COMPUTED_VALUE"""),"LEONCIO MADOGINOG III")</f>
        <v>LEONCIO MADOGINOG III</v>
      </c>
      <c r="F536" s="133"/>
      <c r="G536" s="13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60">
        <f t="shared" si="1"/>
        <v>531</v>
      </c>
      <c r="B537" s="9" t="str">
        <f>IFERROR(__xludf.DUMMYFUNCTION("""COMPUTED_VALUE"""),"DIOQQINO")</f>
        <v>DIOQQINO</v>
      </c>
      <c r="C537" s="9" t="str">
        <f>IFERROR(__xludf.DUMMYFUNCTION("""COMPUTED_VALUE"""),"ANNIECKA")</f>
        <v>ANNIECKA</v>
      </c>
      <c r="D537" s="9" t="str">
        <f>IFERROR(__xludf.DUMMYFUNCTION("""COMPUTED_VALUE"""),"B")</f>
        <v>B</v>
      </c>
      <c r="E537" s="9" t="str">
        <f>IFERROR(__xludf.DUMMYFUNCTION("""COMPUTED_VALUE"""),"RAQUEL G. BONO")</f>
        <v>RAQUEL G. BONO</v>
      </c>
      <c r="F537" s="133"/>
      <c r="G537" s="13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60">
        <f t="shared" si="1"/>
        <v>532</v>
      </c>
      <c r="B538" s="9" t="str">
        <f>IFERROR(__xludf.DUMMYFUNCTION("""COMPUTED_VALUE"""),"DIOQQINO")</f>
        <v>DIOQQINO</v>
      </c>
      <c r="C538" s="9" t="str">
        <f>IFERROR(__xludf.DUMMYFUNCTION("""COMPUTED_VALUE"""),"ANNE MARGARETH")</f>
        <v>ANNE MARGARETH</v>
      </c>
      <c r="D538" s="9" t="str">
        <f>IFERROR(__xludf.DUMMYFUNCTION("""COMPUTED_VALUE"""),"B")</f>
        <v>B</v>
      </c>
      <c r="E538" s="9" t="str">
        <f>IFERROR(__xludf.DUMMYFUNCTION("""COMPUTED_VALUE"""),"RAQUEL G. BONO")</f>
        <v>RAQUEL G. BONO</v>
      </c>
      <c r="F538" s="133"/>
      <c r="G538" s="13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60">
        <f t="shared" si="1"/>
        <v>533</v>
      </c>
      <c r="B539" s="9" t="str">
        <f>IFERROR(__xludf.DUMMYFUNCTION("""COMPUTED_VALUE"""),"DIOQQINO")</f>
        <v>DIOQQINO</v>
      </c>
      <c r="C539" s="9" t="str">
        <f>IFERROR(__xludf.DUMMYFUNCTION("""COMPUTED_VALUE"""),"ARMEN")</f>
        <v>ARMEN</v>
      </c>
      <c r="D539" s="9" t="str">
        <f>IFERROR(__xludf.DUMMYFUNCTION("""COMPUTED_VALUE"""),"B")</f>
        <v>B</v>
      </c>
      <c r="E539" s="9" t="str">
        <f>IFERROR(__xludf.DUMMYFUNCTION("""COMPUTED_VALUE"""),"RAQUEL G. BONO")</f>
        <v>RAQUEL G. BONO</v>
      </c>
      <c r="F539" s="133"/>
      <c r="G539" s="13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60">
        <f t="shared" si="1"/>
        <v>534</v>
      </c>
      <c r="B540" s="9" t="str">
        <f>IFERROR(__xludf.DUMMYFUNCTION("""COMPUTED_VALUE"""),"DIOQQINO")</f>
        <v>DIOQQINO</v>
      </c>
      <c r="C540" s="9" t="str">
        <f>IFERROR(__xludf.DUMMYFUNCTION("""COMPUTED_VALUE"""),"HANNAH")</f>
        <v>HANNAH</v>
      </c>
      <c r="D540" s="9" t="str">
        <f>IFERROR(__xludf.DUMMYFUNCTION("""COMPUTED_VALUE"""),"B")</f>
        <v>B</v>
      </c>
      <c r="E540" s="9" t="str">
        <f>IFERROR(__xludf.DUMMYFUNCTION("""COMPUTED_VALUE"""),"RAQUEL G. BONO")</f>
        <v>RAQUEL G. BONO</v>
      </c>
      <c r="F540" s="133"/>
      <c r="G540" s="13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60">
        <f t="shared" si="1"/>
        <v>535</v>
      </c>
      <c r="B541" s="9" t="str">
        <f>IFERROR(__xludf.DUMMYFUNCTION("""COMPUTED_VALUE"""),"BONO")</f>
        <v>BONO</v>
      </c>
      <c r="C541" s="9" t="str">
        <f>IFERROR(__xludf.DUMMYFUNCTION("""COMPUTED_VALUE"""),"JAMES")</f>
        <v>JAMES</v>
      </c>
      <c r="D541" s="9"/>
      <c r="E541" s="9" t="str">
        <f>IFERROR(__xludf.DUMMYFUNCTION("""COMPUTED_VALUE"""),"RAQUEL G. BONO")</f>
        <v>RAQUEL G. BONO</v>
      </c>
      <c r="F541" s="133"/>
      <c r="G541" s="13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60">
        <f t="shared" si="1"/>
        <v>536</v>
      </c>
      <c r="B542" s="9" t="str">
        <f>IFERROR(__xludf.DUMMYFUNCTION("""COMPUTED_VALUE"""),"PUNZALAN")</f>
        <v>PUNZALAN</v>
      </c>
      <c r="C542" s="9" t="str">
        <f>IFERROR(__xludf.DUMMYFUNCTION("""COMPUTED_VALUE"""),"JOHN REAGAN")</f>
        <v>JOHN REAGAN</v>
      </c>
      <c r="D542" s="9" t="str">
        <f>IFERROR(__xludf.DUMMYFUNCTION("""COMPUTED_VALUE"""),"A")</f>
        <v>A</v>
      </c>
      <c r="E542" s="9" t="str">
        <f>IFERROR(__xludf.DUMMYFUNCTION("""COMPUTED_VALUE"""),"IBARRA D. PUNZALAN")</f>
        <v>IBARRA D. PUNZALAN</v>
      </c>
      <c r="F542" s="133"/>
      <c r="G542" s="13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60">
        <f t="shared" si="1"/>
        <v>537</v>
      </c>
      <c r="B543" s="9" t="str">
        <f>IFERROR(__xludf.DUMMYFUNCTION("""COMPUTED_VALUE"""),"PUNZALAN")</f>
        <v>PUNZALAN</v>
      </c>
      <c r="C543" s="9" t="str">
        <f>IFERROR(__xludf.DUMMYFUNCTION("""COMPUTED_VALUE"""),"JHOANAREA")</f>
        <v>JHOANAREA</v>
      </c>
      <c r="D543" s="9" t="str">
        <f>IFERROR(__xludf.DUMMYFUNCTION("""COMPUTED_VALUE"""),"A")</f>
        <v>A</v>
      </c>
      <c r="E543" s="9" t="str">
        <f>IFERROR(__xludf.DUMMYFUNCTION("""COMPUTED_VALUE"""),"IBARRA D. PUNZALAN")</f>
        <v>IBARRA D. PUNZALAN</v>
      </c>
      <c r="F543" s="133"/>
      <c r="G543" s="13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60">
        <f t="shared" si="1"/>
        <v>538</v>
      </c>
      <c r="B544" s="9" t="str">
        <f>IFERROR(__xludf.DUMMYFUNCTION("""COMPUTED_VALUE"""),"CABALLA")</f>
        <v>CABALLA</v>
      </c>
      <c r="C544" s="9" t="str">
        <f>IFERROR(__xludf.DUMMYFUNCTION("""COMPUTED_VALUE"""),"RISA")</f>
        <v>RISA</v>
      </c>
      <c r="D544" s="9"/>
      <c r="E544" s="9" t="str">
        <f>IFERROR(__xludf.DUMMYFUNCTION("""COMPUTED_VALUE"""),"REYNALDO CABALLA")</f>
        <v>REYNALDO CABALLA</v>
      </c>
      <c r="F544" s="133"/>
      <c r="G544" s="13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60">
        <f t="shared" si="1"/>
        <v>539</v>
      </c>
      <c r="B545" s="9" t="str">
        <f>IFERROR(__xludf.DUMMYFUNCTION("""COMPUTED_VALUE"""),"CABALLA")</f>
        <v>CABALLA</v>
      </c>
      <c r="C545" s="9" t="str">
        <f>IFERROR(__xludf.DUMMYFUNCTION("""COMPUTED_VALUE"""),"RAYMOND")</f>
        <v>RAYMOND</v>
      </c>
      <c r="D545" s="9"/>
      <c r="E545" s="9" t="str">
        <f>IFERROR(__xludf.DUMMYFUNCTION("""COMPUTED_VALUE"""),"REYNALDO CABALLA")</f>
        <v>REYNALDO CABALLA</v>
      </c>
      <c r="F545" s="133"/>
      <c r="G545" s="13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60">
        <f t="shared" si="1"/>
        <v>540</v>
      </c>
      <c r="B546" s="9" t="str">
        <f>IFERROR(__xludf.DUMMYFUNCTION("""COMPUTED_VALUE"""),"CABALLA")</f>
        <v>CABALLA</v>
      </c>
      <c r="C546" s="9" t="str">
        <f>IFERROR(__xludf.DUMMYFUNCTION("""COMPUTED_VALUE"""),"RJ")</f>
        <v>RJ</v>
      </c>
      <c r="D546" s="9"/>
      <c r="E546" s="9" t="str">
        <f>IFERROR(__xludf.DUMMYFUNCTION("""COMPUTED_VALUE"""),"REYNALDO CABALLA")</f>
        <v>REYNALDO CABALLA</v>
      </c>
      <c r="F546" s="133"/>
      <c r="G546" s="13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60">
        <f t="shared" si="1"/>
        <v>541</v>
      </c>
      <c r="B547" s="9" t="str">
        <f>IFERROR(__xludf.DUMMYFUNCTION("""COMPUTED_VALUE"""),"CABALLA")</f>
        <v>CABALLA</v>
      </c>
      <c r="C547" s="9" t="str">
        <f>IFERROR(__xludf.DUMMYFUNCTION("""COMPUTED_VALUE"""),"DIMPLE")</f>
        <v>DIMPLE</v>
      </c>
      <c r="D547" s="9"/>
      <c r="E547" s="9" t="str">
        <f>IFERROR(__xludf.DUMMYFUNCTION("""COMPUTED_VALUE"""),"REYNALDO CABALLA")</f>
        <v>REYNALDO CABALLA</v>
      </c>
      <c r="F547" s="133"/>
      <c r="G547" s="13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60">
        <f t="shared" si="1"/>
        <v>542</v>
      </c>
      <c r="B548" s="9" t="str">
        <f>IFERROR(__xludf.DUMMYFUNCTION("""COMPUTED_VALUE"""),"SORIANO")</f>
        <v>SORIANO</v>
      </c>
      <c r="C548" s="9" t="str">
        <f>IFERROR(__xludf.DUMMYFUNCTION("""COMPUTED_VALUE"""),"ACELAS KHAIZER")</f>
        <v>ACELAS KHAIZER</v>
      </c>
      <c r="D548" s="9"/>
      <c r="E548" s="9" t="str">
        <f>IFERROR(__xludf.DUMMYFUNCTION("""COMPUTED_VALUE"""),"JOHN KENNETH SORIANO")</f>
        <v>JOHN KENNETH SORIANO</v>
      </c>
      <c r="F548" s="133"/>
      <c r="G548" s="13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60">
        <f t="shared" si="1"/>
        <v>543</v>
      </c>
      <c r="B549" s="9" t="str">
        <f>IFERROR(__xludf.DUMMYFUNCTION("""COMPUTED_VALUE"""),"GARCIA ")</f>
        <v>GARCIA </v>
      </c>
      <c r="C549" s="9" t="str">
        <f>IFERROR(__xludf.DUMMYFUNCTION("""COMPUTED_VALUE"""),"CLARESSE MAE")</f>
        <v>CLARESSE MAE</v>
      </c>
      <c r="D549" s="9"/>
      <c r="E549" s="9" t="str">
        <f>IFERROR(__xludf.DUMMYFUNCTION("""COMPUTED_VALUE"""),"ANNA LIZA DE GUZMAN")</f>
        <v>ANNA LIZA DE GUZMAN</v>
      </c>
      <c r="F549" s="133"/>
      <c r="G549" s="13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60">
        <f t="shared" si="1"/>
        <v>544</v>
      </c>
      <c r="B550" s="9" t="str">
        <f>IFERROR(__xludf.DUMMYFUNCTION("""COMPUTED_VALUE"""),"GARCIA ")</f>
        <v>GARCIA </v>
      </c>
      <c r="C550" s="9" t="str">
        <f>IFERROR(__xludf.DUMMYFUNCTION("""COMPUTED_VALUE"""),"ANN GOBRILLE")</f>
        <v>ANN GOBRILLE</v>
      </c>
      <c r="D550" s="9"/>
      <c r="E550" s="9" t="str">
        <f>IFERROR(__xludf.DUMMYFUNCTION("""COMPUTED_VALUE"""),"ANNA LIZA DE GUZMAN")</f>
        <v>ANNA LIZA DE GUZMAN</v>
      </c>
      <c r="F550" s="133"/>
      <c r="G550" s="13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60">
        <f t="shared" si="1"/>
        <v>545</v>
      </c>
      <c r="B551" s="9" t="str">
        <f>IFERROR(__xludf.DUMMYFUNCTION("""COMPUTED_VALUE"""),"GARCIA ")</f>
        <v>GARCIA </v>
      </c>
      <c r="C551" s="9" t="str">
        <f>IFERROR(__xludf.DUMMYFUNCTION("""COMPUTED_VALUE"""),"RHAIZEL ZAILLE")</f>
        <v>RHAIZEL ZAILLE</v>
      </c>
      <c r="D551" s="9"/>
      <c r="E551" s="9" t="str">
        <f>IFERROR(__xludf.DUMMYFUNCTION("""COMPUTED_VALUE"""),"ANNA LIZA DE GUZMAN")</f>
        <v>ANNA LIZA DE GUZMAN</v>
      </c>
      <c r="F551" s="133"/>
      <c r="G551" s="13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60">
        <f t="shared" si="1"/>
        <v>546</v>
      </c>
      <c r="B552" s="9" t="str">
        <f>IFERROR(__xludf.DUMMYFUNCTION("""COMPUTED_VALUE"""),"GARCIA ")</f>
        <v>GARCIA </v>
      </c>
      <c r="C552" s="9" t="str">
        <f>IFERROR(__xludf.DUMMYFUNCTION("""COMPUTED_VALUE"""),"ANGIELYN")</f>
        <v>ANGIELYN</v>
      </c>
      <c r="D552" s="9"/>
      <c r="E552" s="9" t="str">
        <f>IFERROR(__xludf.DUMMYFUNCTION("""COMPUTED_VALUE"""),"ROGER GARCIA")</f>
        <v>ROGER GARCIA</v>
      </c>
      <c r="F552" s="133"/>
      <c r="G552" s="13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60">
        <f t="shared" si="1"/>
        <v>547</v>
      </c>
      <c r="B553" s="9" t="str">
        <f>IFERROR(__xludf.DUMMYFUNCTION("""COMPUTED_VALUE"""),"ROMA ")</f>
        <v>ROMA </v>
      </c>
      <c r="C553" s="9" t="str">
        <f>IFERROR(__xludf.DUMMYFUNCTION("""COMPUTED_VALUE"""),"ELLEN BELLE")</f>
        <v>ELLEN BELLE</v>
      </c>
      <c r="D553" s="9" t="str">
        <f>IFERROR(__xludf.DUMMYFUNCTION("""COMPUTED_VALUE"""),"A")</f>
        <v>A</v>
      </c>
      <c r="E553" s="9" t="str">
        <f>IFERROR(__xludf.DUMMYFUNCTION("""COMPUTED_VALUE"""),"VER N. ROMA JR")</f>
        <v>VER N. ROMA JR</v>
      </c>
      <c r="F553" s="133"/>
      <c r="G553" s="13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60">
        <f t="shared" si="1"/>
        <v>548</v>
      </c>
      <c r="B554" s="9" t="str">
        <f>IFERROR(__xludf.DUMMYFUNCTION("""COMPUTED_VALUE"""),"ROMA ")</f>
        <v>ROMA </v>
      </c>
      <c r="C554" s="9" t="str">
        <f>IFERROR(__xludf.DUMMYFUNCTION("""COMPUTED_VALUE"""),"EDMAR")</f>
        <v>EDMAR</v>
      </c>
      <c r="D554" s="9"/>
      <c r="E554" s="9" t="str">
        <f>IFERROR(__xludf.DUMMYFUNCTION("""COMPUTED_VALUE"""),"EDMOND N. ROMA")</f>
        <v>EDMOND N. ROMA</v>
      </c>
      <c r="F554" s="133"/>
      <c r="G554" s="13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60">
        <f t="shared" si="1"/>
        <v>549</v>
      </c>
      <c r="B555" s="9" t="str">
        <f>IFERROR(__xludf.DUMMYFUNCTION("""COMPUTED_VALUE"""),"CONDES")</f>
        <v>CONDES</v>
      </c>
      <c r="C555" s="9" t="str">
        <f>IFERROR(__xludf.DUMMYFUNCTION("""COMPUTED_VALUE"""),"KALE DARREN")</f>
        <v>KALE DARREN</v>
      </c>
      <c r="D555" s="9" t="str">
        <f>IFERROR(__xludf.DUMMYFUNCTION("""COMPUTED_VALUE"""),"N")</f>
        <v>N</v>
      </c>
      <c r="E555" s="9" t="str">
        <f>IFERROR(__xludf.DUMMYFUNCTION("""COMPUTED_VALUE"""),"DARWIN CONDES")</f>
        <v>DARWIN CONDES</v>
      </c>
      <c r="F555" s="133"/>
      <c r="G555" s="13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60">
        <f t="shared" si="1"/>
        <v>550</v>
      </c>
      <c r="B556" s="9" t="str">
        <f>IFERROR(__xludf.DUMMYFUNCTION("""COMPUTED_VALUE"""),"NAVARETTE")</f>
        <v>NAVARETTE</v>
      </c>
      <c r="C556" s="9" t="str">
        <f>IFERROR(__xludf.DUMMYFUNCTION("""COMPUTED_VALUE"""),"KHYLIE FRANZ")</f>
        <v>KHYLIE FRANZ</v>
      </c>
      <c r="D556" s="9"/>
      <c r="E556" s="9" t="str">
        <f>IFERROR(__xludf.DUMMYFUNCTION("""COMPUTED_VALUE"""),"DARWIN CONDES")</f>
        <v>DARWIN CONDES</v>
      </c>
      <c r="F556" s="133"/>
      <c r="G556" s="13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60">
        <f t="shared" si="1"/>
        <v>551</v>
      </c>
      <c r="B557" s="9" t="str">
        <f>IFERROR(__xludf.DUMMYFUNCTION("""COMPUTED_VALUE"""),"VILLAREAL")</f>
        <v>VILLAREAL</v>
      </c>
      <c r="C557" s="9" t="str">
        <f>IFERROR(__xludf.DUMMYFUNCTION("""COMPUTED_VALUE"""),"SCARLET SELENE")</f>
        <v>SCARLET SELENE</v>
      </c>
      <c r="D557" s="9" t="str">
        <f>IFERROR(__xludf.DUMMYFUNCTION("""COMPUTED_VALUE"""),"R")</f>
        <v>R</v>
      </c>
      <c r="E557" s="9" t="str">
        <f>IFERROR(__xludf.DUMMYFUNCTION("""COMPUTED_VALUE"""),"JAY ARTH VILLAREAL")</f>
        <v>JAY ARTH VILLAREAL</v>
      </c>
      <c r="F557" s="133"/>
      <c r="G557" s="13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60">
        <f t="shared" si="1"/>
        <v>552</v>
      </c>
      <c r="B558" s="9" t="str">
        <f>IFERROR(__xludf.DUMMYFUNCTION("""COMPUTED_VALUE"""),"NAVARETTE")</f>
        <v>NAVARETTE</v>
      </c>
      <c r="C558" s="9" t="str">
        <f>IFERROR(__xludf.DUMMYFUNCTION("""COMPUTED_VALUE"""),"SEDRIC")</f>
        <v>SEDRIC</v>
      </c>
      <c r="D558" s="9"/>
      <c r="E558" s="9" t="str">
        <f>IFERROR(__xludf.DUMMYFUNCTION("""COMPUTED_VALUE"""),"SEDER S. NAVARETTE")</f>
        <v>SEDER S. NAVARETTE</v>
      </c>
      <c r="F558" s="133"/>
      <c r="G558" s="13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60">
        <f t="shared" si="1"/>
        <v>553</v>
      </c>
      <c r="B559" s="9" t="str">
        <f>IFERROR(__xludf.DUMMYFUNCTION("""COMPUTED_VALUE"""),"NAVARETTE")</f>
        <v>NAVARETTE</v>
      </c>
      <c r="C559" s="9" t="str">
        <f>IFERROR(__xludf.DUMMYFUNCTION("""COMPUTED_VALUE"""),"SEICA")</f>
        <v>SEICA</v>
      </c>
      <c r="D559" s="9"/>
      <c r="E559" s="9" t="str">
        <f>IFERROR(__xludf.DUMMYFUNCTION("""COMPUTED_VALUE"""),"SEDER S. NAVARETTE")</f>
        <v>SEDER S. NAVARETTE</v>
      </c>
      <c r="F559" s="133"/>
      <c r="G559" s="13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60">
        <f t="shared" si="1"/>
        <v>554</v>
      </c>
      <c r="B560" s="9" t="str">
        <f>IFERROR(__xludf.DUMMYFUNCTION("""COMPUTED_VALUE"""),"NAVARETTE")</f>
        <v>NAVARETTE</v>
      </c>
      <c r="C560" s="9" t="str">
        <f>IFERROR(__xludf.DUMMYFUNCTION("""COMPUTED_VALUE"""),"FRITZ")</f>
        <v>FRITZ</v>
      </c>
      <c r="D560" s="9"/>
      <c r="E560" s="9" t="str">
        <f>IFERROR(__xludf.DUMMYFUNCTION("""COMPUTED_VALUE"""),"RYANU MELERIO NAVARETTE")</f>
        <v>RYANU MELERIO NAVARETTE</v>
      </c>
      <c r="F560" s="133"/>
      <c r="G560" s="13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60">
        <f t="shared" si="1"/>
        <v>555</v>
      </c>
      <c r="B561" s="9" t="str">
        <f>IFERROR(__xludf.DUMMYFUNCTION("""COMPUTED_VALUE"""),"CABALLA")</f>
        <v>CABALLA</v>
      </c>
      <c r="C561" s="9" t="str">
        <f>IFERROR(__xludf.DUMMYFUNCTION("""COMPUTED_VALUE"""),"JOMARIE")</f>
        <v>JOMARIE</v>
      </c>
      <c r="D561" s="9"/>
      <c r="E561" s="9" t="str">
        <f>IFERROR(__xludf.DUMMYFUNCTION("""COMPUTED_VALUE"""),"JOSELITO CABALLA ")</f>
        <v>JOSELITO CABALLA </v>
      </c>
      <c r="F561" s="133"/>
      <c r="G561" s="13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60">
        <f t="shared" si="1"/>
        <v>556</v>
      </c>
      <c r="B562" s="9" t="str">
        <f>IFERROR(__xludf.DUMMYFUNCTION("""COMPUTED_VALUE"""),"CABALLA")</f>
        <v>CABALLA</v>
      </c>
      <c r="C562" s="9" t="str">
        <f>IFERROR(__xludf.DUMMYFUNCTION("""COMPUTED_VALUE"""),"MARJORIE")</f>
        <v>MARJORIE</v>
      </c>
      <c r="D562" s="9"/>
      <c r="E562" s="9" t="str">
        <f>IFERROR(__xludf.DUMMYFUNCTION("""COMPUTED_VALUE"""),"JOSELITO CABALLA ")</f>
        <v>JOSELITO CABALLA </v>
      </c>
      <c r="F562" s="133"/>
      <c r="G562" s="13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60">
        <f t="shared" si="1"/>
        <v>557</v>
      </c>
      <c r="B563" s="9" t="str">
        <f>IFERROR(__xludf.DUMMYFUNCTION("""COMPUTED_VALUE"""),"MENOZA")</f>
        <v>MENOZA</v>
      </c>
      <c r="C563" s="9" t="str">
        <f>IFERROR(__xludf.DUMMYFUNCTION("""COMPUTED_VALUE"""),"HONEY JECK")</f>
        <v>HONEY JECK</v>
      </c>
      <c r="D563" s="9"/>
      <c r="E563" s="9" t="str">
        <f>IFERROR(__xludf.DUMMYFUNCTION("""COMPUTED_VALUE"""),"HONNIE MENOZA")</f>
        <v>HONNIE MENOZA</v>
      </c>
      <c r="F563" s="133"/>
      <c r="G563" s="13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60">
        <f t="shared" si="1"/>
        <v>558</v>
      </c>
      <c r="B564" s="9" t="str">
        <f>IFERROR(__xludf.DUMMYFUNCTION("""COMPUTED_VALUE"""),"MENOZA")</f>
        <v>MENOZA</v>
      </c>
      <c r="C564" s="9" t="str">
        <f>IFERROR(__xludf.DUMMYFUNCTION("""COMPUTED_VALUE"""),"JANE")</f>
        <v>JANE</v>
      </c>
      <c r="D564" s="9"/>
      <c r="E564" s="9" t="str">
        <f>IFERROR(__xludf.DUMMYFUNCTION("""COMPUTED_VALUE"""),"HONNIE MENOZA")</f>
        <v>HONNIE MENOZA</v>
      </c>
      <c r="F564" s="133"/>
      <c r="G564" s="13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60">
        <f t="shared" si="1"/>
        <v>559</v>
      </c>
      <c r="B565" s="9" t="str">
        <f>IFERROR(__xludf.DUMMYFUNCTION("""COMPUTED_VALUE"""),"MENOZA")</f>
        <v>MENOZA</v>
      </c>
      <c r="C565" s="9" t="str">
        <f>IFERROR(__xludf.DUMMYFUNCTION("""COMPUTED_VALUE"""),"HONEY ROSE")</f>
        <v>HONEY ROSE</v>
      </c>
      <c r="D565" s="9"/>
      <c r="E565" s="9" t="str">
        <f>IFERROR(__xludf.DUMMYFUNCTION("""COMPUTED_VALUE"""),"HONNIE MENOZA")</f>
        <v>HONNIE MENOZA</v>
      </c>
      <c r="F565" s="133"/>
      <c r="G565" s="13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60">
        <f t="shared" si="1"/>
        <v>560</v>
      </c>
      <c r="B566" s="9" t="str">
        <f>IFERROR(__xludf.DUMMYFUNCTION("""COMPUTED_VALUE"""),"MENOZA")</f>
        <v>MENOZA</v>
      </c>
      <c r="C566" s="9" t="str">
        <f>IFERROR(__xludf.DUMMYFUNCTION("""COMPUTED_VALUE"""),"JELO")</f>
        <v>JELO</v>
      </c>
      <c r="D566" s="9"/>
      <c r="E566" s="9" t="str">
        <f>IFERROR(__xludf.DUMMYFUNCTION("""COMPUTED_VALUE"""),"HONNIE MENOZA")</f>
        <v>HONNIE MENOZA</v>
      </c>
      <c r="F566" s="133"/>
      <c r="G566" s="13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60">
        <f t="shared" si="1"/>
        <v>561</v>
      </c>
      <c r="B567" s="9" t="str">
        <f>IFERROR(__xludf.DUMMYFUNCTION("""COMPUTED_VALUE"""),"MENOZA")</f>
        <v>MENOZA</v>
      </c>
      <c r="C567" s="9" t="str">
        <f>IFERROR(__xludf.DUMMYFUNCTION("""COMPUTED_VALUE"""),"ANGELO")</f>
        <v>ANGELO</v>
      </c>
      <c r="D567" s="9"/>
      <c r="E567" s="9" t="str">
        <f>IFERROR(__xludf.DUMMYFUNCTION("""COMPUTED_VALUE"""),"HONNIE MENOZA")</f>
        <v>HONNIE MENOZA</v>
      </c>
      <c r="F567" s="133"/>
      <c r="G567" s="13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60">
        <f t="shared" si="1"/>
        <v>562</v>
      </c>
      <c r="B568" s="9" t="str">
        <f>IFERROR(__xludf.DUMMYFUNCTION("""COMPUTED_VALUE"""),"ANDAYA")</f>
        <v>ANDAYA</v>
      </c>
      <c r="C568" s="9" t="str">
        <f>IFERROR(__xludf.DUMMYFUNCTION("""COMPUTED_VALUE"""),"MARY JEAN")</f>
        <v>MARY JEAN</v>
      </c>
      <c r="D568" s="9" t="str">
        <f>IFERROR(__xludf.DUMMYFUNCTION("""COMPUTED_VALUE"""),"L")</f>
        <v>L</v>
      </c>
      <c r="E568" s="9" t="str">
        <f>IFERROR(__xludf.DUMMYFUNCTION("""COMPUTED_VALUE"""),"NONA H. LOZAÑES")</f>
        <v>NONA H. LOZAÑES</v>
      </c>
      <c r="F568" s="133"/>
      <c r="G568" s="13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60">
        <f t="shared" si="1"/>
        <v>563</v>
      </c>
      <c r="B569" s="9" t="str">
        <f>IFERROR(__xludf.DUMMYFUNCTION("""COMPUTED_VALUE"""),"ANDAYA")</f>
        <v>ANDAYA</v>
      </c>
      <c r="C569" s="9" t="str">
        <f>IFERROR(__xludf.DUMMYFUNCTION("""COMPUTED_VALUE"""),"ANDREY")</f>
        <v>ANDREY</v>
      </c>
      <c r="D569" s="9" t="str">
        <f>IFERROR(__xludf.DUMMYFUNCTION("""COMPUTED_VALUE"""),"L")</f>
        <v>L</v>
      </c>
      <c r="E569" s="9" t="str">
        <f>IFERROR(__xludf.DUMMYFUNCTION("""COMPUTED_VALUE"""),"NONA H. LOZAÑES")</f>
        <v>NONA H. LOZAÑES</v>
      </c>
      <c r="F569" s="133"/>
      <c r="G569" s="13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60">
        <f t="shared" si="1"/>
        <v>564</v>
      </c>
      <c r="B570" s="9" t="str">
        <f>IFERROR(__xludf.DUMMYFUNCTION("""COMPUTED_VALUE"""),"ANDAYA")</f>
        <v>ANDAYA</v>
      </c>
      <c r="C570" s="9" t="str">
        <f>IFERROR(__xludf.DUMMYFUNCTION("""COMPUTED_VALUE"""),"ZAYN")</f>
        <v>ZAYN</v>
      </c>
      <c r="D570" s="9"/>
      <c r="E570" s="9" t="str">
        <f>IFERROR(__xludf.DUMMYFUNCTION("""COMPUTED_VALUE"""),"MARY ROSE L .ANDAYA")</f>
        <v>MARY ROSE L .ANDAYA</v>
      </c>
      <c r="F570" s="133"/>
      <c r="G570" s="13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60">
        <f t="shared" si="1"/>
        <v>565</v>
      </c>
      <c r="B571" s="9" t="str">
        <f>IFERROR(__xludf.DUMMYFUNCTION("""COMPUTED_VALUE"""),"CAMPOS")</f>
        <v>CAMPOS</v>
      </c>
      <c r="C571" s="9" t="str">
        <f>IFERROR(__xludf.DUMMYFUNCTION("""COMPUTED_VALUE"""),"AYEZHA JEAN")</f>
        <v>AYEZHA JEAN</v>
      </c>
      <c r="D571" s="9"/>
      <c r="E571" s="9" t="str">
        <f>IFERROR(__xludf.DUMMYFUNCTION("""COMPUTED_VALUE"""),"ALBERTO R. CAMPOS")</f>
        <v>ALBERTO R. CAMPOS</v>
      </c>
      <c r="F571" s="133"/>
      <c r="G571" s="13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60">
        <f t="shared" si="1"/>
        <v>566</v>
      </c>
      <c r="B572" s="9" t="str">
        <f>IFERROR(__xludf.DUMMYFUNCTION("""COMPUTED_VALUE"""),"CAMPOS")</f>
        <v>CAMPOS</v>
      </c>
      <c r="C572" s="9" t="str">
        <f>IFERROR(__xludf.DUMMYFUNCTION("""COMPUTED_VALUE"""),"JHYLE ALBIER")</f>
        <v>JHYLE ALBIER</v>
      </c>
      <c r="D572" s="9"/>
      <c r="E572" s="9" t="str">
        <f>IFERROR(__xludf.DUMMYFUNCTION("""COMPUTED_VALUE"""),"ALBERTO R. CAMPOS")</f>
        <v>ALBERTO R. CAMPOS</v>
      </c>
      <c r="F572" s="133"/>
      <c r="G572" s="13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60">
        <f t="shared" si="1"/>
        <v>567</v>
      </c>
      <c r="B573" s="9" t="str">
        <f>IFERROR(__xludf.DUMMYFUNCTION("""COMPUTED_VALUE"""),"CAMPOS")</f>
        <v>CAMPOS</v>
      </c>
      <c r="C573" s="9" t="str">
        <f>IFERROR(__xludf.DUMMYFUNCTION("""COMPUTED_VALUE"""),"JALAYAH AMIA")</f>
        <v>JALAYAH AMIA</v>
      </c>
      <c r="D573" s="9"/>
      <c r="E573" s="9" t="str">
        <f>IFERROR(__xludf.DUMMYFUNCTION("""COMPUTED_VALUE"""),"ALBERTO R. CAMPOS")</f>
        <v>ALBERTO R. CAMPOS</v>
      </c>
      <c r="F573" s="133"/>
      <c r="G573" s="13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60">
        <f t="shared" si="1"/>
        <v>568</v>
      </c>
      <c r="B574" s="9" t="str">
        <f>IFERROR(__xludf.DUMMYFUNCTION("""COMPUTED_VALUE"""),"TAROY")</f>
        <v>TAROY</v>
      </c>
      <c r="C574" s="9" t="str">
        <f>IFERROR(__xludf.DUMMYFUNCTION("""COMPUTED_VALUE"""),"CHARMIE")</f>
        <v>CHARMIE</v>
      </c>
      <c r="D574" s="9" t="str">
        <f>IFERROR(__xludf.DUMMYFUNCTION("""COMPUTED_VALUE"""),"A")</f>
        <v>A</v>
      </c>
      <c r="E574" s="9" t="str">
        <f>IFERROR(__xludf.DUMMYFUNCTION("""COMPUTED_VALUE"""),"DENNIS TAROY")</f>
        <v>DENNIS TAROY</v>
      </c>
      <c r="F574" s="133"/>
      <c r="G574" s="13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60">
        <f t="shared" si="1"/>
        <v>569</v>
      </c>
      <c r="B575" s="9" t="str">
        <f>IFERROR(__xludf.DUMMYFUNCTION("""COMPUTED_VALUE"""),"TAROY")</f>
        <v>TAROY</v>
      </c>
      <c r="C575" s="9" t="str">
        <f>IFERROR(__xludf.DUMMYFUNCTION("""COMPUTED_VALUE"""),"CHRISTIAN")</f>
        <v>CHRISTIAN</v>
      </c>
      <c r="D575" s="9" t="str">
        <f>IFERROR(__xludf.DUMMYFUNCTION("""COMPUTED_VALUE"""),"A")</f>
        <v>A</v>
      </c>
      <c r="E575" s="9" t="str">
        <f>IFERROR(__xludf.DUMMYFUNCTION("""COMPUTED_VALUE"""),"DENNIS TAROY")</f>
        <v>DENNIS TAROY</v>
      </c>
      <c r="F575" s="133"/>
      <c r="G575" s="13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60">
        <f t="shared" si="1"/>
        <v>570</v>
      </c>
      <c r="B576" s="9" t="str">
        <f>IFERROR(__xludf.DUMMYFUNCTION("""COMPUTED_VALUE"""),"TAROY")</f>
        <v>TAROY</v>
      </c>
      <c r="C576" s="9" t="str">
        <f>IFERROR(__xludf.DUMMYFUNCTION("""COMPUTED_VALUE"""),"CAMILE")</f>
        <v>CAMILE</v>
      </c>
      <c r="D576" s="9" t="str">
        <f>IFERROR(__xludf.DUMMYFUNCTION("""COMPUTED_VALUE"""),"A")</f>
        <v>A</v>
      </c>
      <c r="E576" s="9" t="str">
        <f>IFERROR(__xludf.DUMMYFUNCTION("""COMPUTED_VALUE"""),"DENNIS TAROY")</f>
        <v>DENNIS TAROY</v>
      </c>
      <c r="F576" s="133"/>
      <c r="G576" s="13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60">
        <f t="shared" si="1"/>
        <v>571</v>
      </c>
      <c r="B577" s="9" t="str">
        <f>IFERROR(__xludf.DUMMYFUNCTION("""COMPUTED_VALUE"""),"TAROY")</f>
        <v>TAROY</v>
      </c>
      <c r="C577" s="9" t="str">
        <f>IFERROR(__xludf.DUMMYFUNCTION("""COMPUTED_VALUE"""),"JOSHUA")</f>
        <v>JOSHUA</v>
      </c>
      <c r="D577" s="9" t="str">
        <f>IFERROR(__xludf.DUMMYFUNCTION("""COMPUTED_VALUE"""),"A")</f>
        <v>A</v>
      </c>
      <c r="E577" s="9" t="str">
        <f>IFERROR(__xludf.DUMMYFUNCTION("""COMPUTED_VALUE"""),"DENNIS TAROY")</f>
        <v>DENNIS TAROY</v>
      </c>
      <c r="F577" s="133"/>
      <c r="G577" s="13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60">
        <f t="shared" si="1"/>
        <v>572</v>
      </c>
      <c r="B578" s="9" t="str">
        <f>IFERROR(__xludf.DUMMYFUNCTION("""COMPUTED_VALUE"""),"TAROY")</f>
        <v>TAROY</v>
      </c>
      <c r="C578" s="9" t="str">
        <f>IFERROR(__xludf.DUMMYFUNCTION("""COMPUTED_VALUE"""),"GABRIEL")</f>
        <v>GABRIEL</v>
      </c>
      <c r="D578" s="9" t="str">
        <f>IFERROR(__xludf.DUMMYFUNCTION("""COMPUTED_VALUE"""),"A")</f>
        <v>A</v>
      </c>
      <c r="E578" s="9" t="str">
        <f>IFERROR(__xludf.DUMMYFUNCTION("""COMPUTED_VALUE"""),"DENNIS TAROY")</f>
        <v>DENNIS TAROY</v>
      </c>
      <c r="F578" s="133"/>
      <c r="G578" s="13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60">
        <f t="shared" si="1"/>
        <v>573</v>
      </c>
      <c r="B579" s="9" t="str">
        <f>IFERROR(__xludf.DUMMYFUNCTION("""COMPUTED_VALUE"""),"TAROY")</f>
        <v>TAROY</v>
      </c>
      <c r="C579" s="9" t="str">
        <f>IFERROR(__xludf.DUMMYFUNCTION("""COMPUTED_VALUE"""),"NATHANIEL")</f>
        <v>NATHANIEL</v>
      </c>
      <c r="D579" s="9" t="str">
        <f>IFERROR(__xludf.DUMMYFUNCTION("""COMPUTED_VALUE"""),"A")</f>
        <v>A</v>
      </c>
      <c r="E579" s="9" t="str">
        <f>IFERROR(__xludf.DUMMYFUNCTION("""COMPUTED_VALUE"""),"DENNIS TAROY")</f>
        <v>DENNIS TAROY</v>
      </c>
      <c r="F579" s="133"/>
      <c r="G579" s="13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60">
        <f t="shared" si="1"/>
        <v>574</v>
      </c>
      <c r="B580" s="9" t="str">
        <f>IFERROR(__xludf.DUMMYFUNCTION("""COMPUTED_VALUE"""),"TAROY")</f>
        <v>TAROY</v>
      </c>
      <c r="C580" s="9" t="str">
        <f>IFERROR(__xludf.DUMMYFUNCTION("""COMPUTED_VALUE"""),"JIMUEL")</f>
        <v>JIMUEL</v>
      </c>
      <c r="D580" s="9" t="str">
        <f>IFERROR(__xludf.DUMMYFUNCTION("""COMPUTED_VALUE"""),"A")</f>
        <v>A</v>
      </c>
      <c r="E580" s="9" t="str">
        <f>IFERROR(__xludf.DUMMYFUNCTION("""COMPUTED_VALUE"""),"DENNIS TAROY")</f>
        <v>DENNIS TAROY</v>
      </c>
      <c r="F580" s="133"/>
      <c r="G580" s="13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60">
        <f t="shared" si="1"/>
        <v>575</v>
      </c>
      <c r="B581" s="9" t="str">
        <f>IFERROR(__xludf.DUMMYFUNCTION("""COMPUTED_VALUE"""),"TAROY")</f>
        <v>TAROY</v>
      </c>
      <c r="C581" s="9" t="str">
        <f>IFERROR(__xludf.DUMMYFUNCTION("""COMPUTED_VALUE"""),"SARAH JEAN")</f>
        <v>SARAH JEAN</v>
      </c>
      <c r="D581" s="9" t="str">
        <f>IFERROR(__xludf.DUMMYFUNCTION("""COMPUTED_VALUE"""),"A")</f>
        <v>A</v>
      </c>
      <c r="E581" s="9" t="str">
        <f>IFERROR(__xludf.DUMMYFUNCTION("""COMPUTED_VALUE"""),"ARIEL TAROY")</f>
        <v>ARIEL TAROY</v>
      </c>
      <c r="F581" s="133"/>
      <c r="G581" s="13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60">
        <f t="shared" si="1"/>
        <v>576</v>
      </c>
      <c r="B582" s="9" t="str">
        <f>IFERROR(__xludf.DUMMYFUNCTION("""COMPUTED_VALUE"""),"RUIZ")</f>
        <v>RUIZ</v>
      </c>
      <c r="C582" s="9" t="str">
        <f>IFERROR(__xludf.DUMMYFUNCTION("""COMPUTED_VALUE"""),"JOHN CARLOS")</f>
        <v>JOHN CARLOS</v>
      </c>
      <c r="D582" s="9"/>
      <c r="E582" s="9" t="str">
        <f>IFERROR(__xludf.DUMMYFUNCTION("""COMPUTED_VALUE"""),"NESTOR P. RUIZ")</f>
        <v>NESTOR P. RUIZ</v>
      </c>
      <c r="F582" s="133"/>
      <c r="G582" s="13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60">
        <f t="shared" si="1"/>
        <v>577</v>
      </c>
      <c r="B583" s="9" t="str">
        <f>IFERROR(__xludf.DUMMYFUNCTION("""COMPUTED_VALUE"""),"RUIZ")</f>
        <v>RUIZ</v>
      </c>
      <c r="C583" s="9" t="str">
        <f>IFERROR(__xludf.DUMMYFUNCTION("""COMPUTED_VALUE"""),"JHONSEN")</f>
        <v>JHONSEN</v>
      </c>
      <c r="D583" s="9"/>
      <c r="E583" s="9" t="str">
        <f>IFERROR(__xludf.DUMMYFUNCTION("""COMPUTED_VALUE"""),"NESTOR P. RUIZ")</f>
        <v>NESTOR P. RUIZ</v>
      </c>
      <c r="F583" s="133"/>
      <c r="G583" s="13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60">
        <f t="shared" si="1"/>
        <v>578</v>
      </c>
      <c r="B584" s="9" t="str">
        <f>IFERROR(__xludf.DUMMYFUNCTION("""COMPUTED_VALUE"""),"RUIZ")</f>
        <v>RUIZ</v>
      </c>
      <c r="C584" s="9" t="str">
        <f>IFERROR(__xludf.DUMMYFUNCTION("""COMPUTED_VALUE"""),"JHON PHELPS")</f>
        <v>JHON PHELPS</v>
      </c>
      <c r="D584" s="9"/>
      <c r="E584" s="9" t="str">
        <f>IFERROR(__xludf.DUMMYFUNCTION("""COMPUTED_VALUE"""),"NESTOR P. RUIZ")</f>
        <v>NESTOR P. RUIZ</v>
      </c>
      <c r="F584" s="133"/>
      <c r="G584" s="13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60">
        <f t="shared" si="1"/>
        <v>579</v>
      </c>
      <c r="B585" s="9" t="str">
        <f>IFERROR(__xludf.DUMMYFUNCTION("""COMPUTED_VALUE"""),"RUIZ")</f>
        <v>RUIZ</v>
      </c>
      <c r="C585" s="9" t="str">
        <f>IFERROR(__xludf.DUMMYFUNCTION("""COMPUTED_VALUE"""),"AUBREY GHALE")</f>
        <v>AUBREY GHALE</v>
      </c>
      <c r="D585" s="9" t="str">
        <f>IFERROR(__xludf.DUMMYFUNCTION("""COMPUTED_VALUE"""),"C")</f>
        <v>C</v>
      </c>
      <c r="E585" s="9" t="str">
        <f>IFERROR(__xludf.DUMMYFUNCTION("""COMPUTED_VALUE"""),"JONATHAN F. RUIZ")</f>
        <v>JONATHAN F. RUIZ</v>
      </c>
      <c r="F585" s="133"/>
      <c r="G585" s="13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60">
        <f t="shared" si="1"/>
        <v>580</v>
      </c>
      <c r="B586" s="9" t="str">
        <f>IFERROR(__xludf.DUMMYFUNCTION("""COMPUTED_VALUE"""),"RUIZ")</f>
        <v>RUIZ</v>
      </c>
      <c r="C586" s="9" t="str">
        <f>IFERROR(__xludf.DUMMYFUNCTION("""COMPUTED_VALUE"""),"KARL ALLEN")</f>
        <v>KARL ALLEN</v>
      </c>
      <c r="D586" s="9" t="str">
        <f>IFERROR(__xludf.DUMMYFUNCTION("""COMPUTED_VALUE"""),"C")</f>
        <v>C</v>
      </c>
      <c r="E586" s="9" t="str">
        <f>IFERROR(__xludf.DUMMYFUNCTION("""COMPUTED_VALUE"""),"JONATHAN F. RUIZ")</f>
        <v>JONATHAN F. RUIZ</v>
      </c>
      <c r="F586" s="133"/>
      <c r="G586" s="13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60">
        <f t="shared" si="1"/>
        <v>581</v>
      </c>
      <c r="B587" s="9" t="str">
        <f>IFERROR(__xludf.DUMMYFUNCTION("""COMPUTED_VALUE"""),"RUIZ")</f>
        <v>RUIZ</v>
      </c>
      <c r="C587" s="9" t="str">
        <f>IFERROR(__xludf.DUMMYFUNCTION("""COMPUTED_VALUE"""),"JONA ASHLEY")</f>
        <v>JONA ASHLEY</v>
      </c>
      <c r="D587" s="9" t="str">
        <f>IFERROR(__xludf.DUMMYFUNCTION("""COMPUTED_VALUE"""),"C")</f>
        <v>C</v>
      </c>
      <c r="E587" s="9" t="str">
        <f>IFERROR(__xludf.DUMMYFUNCTION("""COMPUTED_VALUE"""),"JONATHAN F. RUIZ")</f>
        <v>JONATHAN F. RUIZ</v>
      </c>
      <c r="F587" s="133"/>
      <c r="G587" s="13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60">
        <f t="shared" si="1"/>
        <v>582</v>
      </c>
      <c r="B588" s="9" t="str">
        <f>IFERROR(__xludf.DUMMYFUNCTION("""COMPUTED_VALUE"""),"RUIZ")</f>
        <v>RUIZ</v>
      </c>
      <c r="C588" s="9" t="str">
        <f>IFERROR(__xludf.DUMMYFUNCTION("""COMPUTED_VALUE"""),"AIL BRIANT")</f>
        <v>AIL BRIANT</v>
      </c>
      <c r="D588" s="9" t="str">
        <f>IFERROR(__xludf.DUMMYFUNCTION("""COMPUTED_VALUE"""),"C")</f>
        <v>C</v>
      </c>
      <c r="E588" s="9" t="str">
        <f>IFERROR(__xludf.DUMMYFUNCTION("""COMPUTED_VALUE"""),"JONATHAN F. RUIZ")</f>
        <v>JONATHAN F. RUIZ</v>
      </c>
      <c r="F588" s="133"/>
      <c r="G588" s="13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60">
        <f t="shared" si="1"/>
        <v>583</v>
      </c>
      <c r="B589" s="9" t="str">
        <f>IFERROR(__xludf.DUMMYFUNCTION("""COMPUTED_VALUE"""),"RUIZ")</f>
        <v>RUIZ</v>
      </c>
      <c r="C589" s="9" t="str">
        <f>IFERROR(__xludf.DUMMYFUNCTION("""COMPUTED_VALUE"""),"ISAIAH AVA")</f>
        <v>ISAIAH AVA</v>
      </c>
      <c r="D589" s="9" t="str">
        <f>IFERROR(__xludf.DUMMYFUNCTION("""COMPUTED_VALUE"""),"C")</f>
        <v>C</v>
      </c>
      <c r="E589" s="9" t="str">
        <f>IFERROR(__xludf.DUMMYFUNCTION("""COMPUTED_VALUE"""),"JONATHAN F. RUIZ")</f>
        <v>JONATHAN F. RUIZ</v>
      </c>
      <c r="F589" s="133"/>
      <c r="G589" s="13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60">
        <f t="shared" si="1"/>
        <v>584</v>
      </c>
      <c r="B590" s="9" t="str">
        <f>IFERROR(__xludf.DUMMYFUNCTION("""COMPUTED_VALUE"""),"GEREZ")</f>
        <v>GEREZ</v>
      </c>
      <c r="C590" s="9" t="str">
        <f>IFERROR(__xludf.DUMMYFUNCTION("""COMPUTED_VALUE"""),"ERICKA MAE")</f>
        <v>ERICKA MAE</v>
      </c>
      <c r="D590" s="9" t="str">
        <f>IFERROR(__xludf.DUMMYFUNCTION("""COMPUTED_VALUE"""),"A")</f>
        <v>A</v>
      </c>
      <c r="E590" s="9" t="str">
        <f>IFERROR(__xludf.DUMMYFUNCTION("""COMPUTED_VALUE"""),"ERIC P GEREZ")</f>
        <v>ERIC P GEREZ</v>
      </c>
      <c r="F590" s="133"/>
      <c r="G590" s="13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60">
        <f t="shared" si="1"/>
        <v>585</v>
      </c>
      <c r="B591" s="9" t="str">
        <f>IFERROR(__xludf.DUMMYFUNCTION("""COMPUTED_VALUE"""),"GEREZ")</f>
        <v>GEREZ</v>
      </c>
      <c r="C591" s="9" t="str">
        <f>IFERROR(__xludf.DUMMYFUNCTION("""COMPUTED_VALUE"""),"CHRISTIAN ERIC")</f>
        <v>CHRISTIAN ERIC</v>
      </c>
      <c r="D591" s="9" t="str">
        <f>IFERROR(__xludf.DUMMYFUNCTION("""COMPUTED_VALUE"""),"A")</f>
        <v>A</v>
      </c>
      <c r="E591" s="9" t="str">
        <f>IFERROR(__xludf.DUMMYFUNCTION("""COMPUTED_VALUE"""),"ERIC P GEREZ")</f>
        <v>ERIC P GEREZ</v>
      </c>
      <c r="F591" s="133"/>
      <c r="G591" s="13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60">
        <f t="shared" si="1"/>
        <v>586</v>
      </c>
      <c r="B592" s="9" t="str">
        <f>IFERROR(__xludf.DUMMYFUNCTION("""COMPUTED_VALUE"""),"VICTA")</f>
        <v>VICTA</v>
      </c>
      <c r="C592" s="9" t="str">
        <f>IFERROR(__xludf.DUMMYFUNCTION("""COMPUTED_VALUE"""),"ARRIES DANIELLE")</f>
        <v>ARRIES DANIELLE</v>
      </c>
      <c r="D592" s="9" t="str">
        <f>IFERROR(__xludf.DUMMYFUNCTION("""COMPUTED_VALUE"""),"G")</f>
        <v>G</v>
      </c>
      <c r="E592" s="9" t="str">
        <f>IFERROR(__xludf.DUMMYFUNCTION("""COMPUTED_VALUE"""),"DANILO P. VICTA")</f>
        <v>DANILO P. VICTA</v>
      </c>
      <c r="F592" s="133"/>
      <c r="G592" s="13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60">
        <f t="shared" si="1"/>
        <v>587</v>
      </c>
      <c r="B593" s="9" t="str">
        <f>IFERROR(__xludf.DUMMYFUNCTION("""COMPUTED_VALUE"""),"VICTA")</f>
        <v>VICTA</v>
      </c>
      <c r="C593" s="9" t="str">
        <f>IFERROR(__xludf.DUMMYFUNCTION("""COMPUTED_VALUE"""),"ADRILYN")</f>
        <v>ADRILYN</v>
      </c>
      <c r="D593" s="9" t="str">
        <f>IFERROR(__xludf.DUMMYFUNCTION("""COMPUTED_VALUE"""),"G")</f>
        <v>G</v>
      </c>
      <c r="E593" s="9" t="str">
        <f>IFERROR(__xludf.DUMMYFUNCTION("""COMPUTED_VALUE"""),"DANILO P. VICTA")</f>
        <v>DANILO P. VICTA</v>
      </c>
      <c r="F593" s="133"/>
      <c r="G593" s="13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60">
        <f t="shared" si="1"/>
        <v>588</v>
      </c>
      <c r="B594" s="9" t="str">
        <f>IFERROR(__xludf.DUMMYFUNCTION("""COMPUTED_VALUE"""),"SANTOS")</f>
        <v>SANTOS</v>
      </c>
      <c r="C594" s="9" t="str">
        <f>IFERROR(__xludf.DUMMYFUNCTION("""COMPUTED_VALUE"""),"JOSHUE JAE ")</f>
        <v>JOSHUE JAE </v>
      </c>
      <c r="D594" s="9" t="str">
        <f>IFERROR(__xludf.DUMMYFUNCTION("""COMPUTED_VALUE"""),"D")</f>
        <v>D</v>
      </c>
      <c r="E594" s="9" t="str">
        <f>IFERROR(__xludf.DUMMYFUNCTION("""COMPUTED_VALUE"""),"GABRIEL M SANTOS")</f>
        <v>GABRIEL M SANTOS</v>
      </c>
      <c r="F594" s="133"/>
      <c r="G594" s="13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60">
        <f t="shared" si="1"/>
        <v>589</v>
      </c>
      <c r="B595" s="9" t="str">
        <f>IFERROR(__xludf.DUMMYFUNCTION("""COMPUTED_VALUE"""),"SANTOS")</f>
        <v>SANTOS</v>
      </c>
      <c r="C595" s="9" t="str">
        <f>IFERROR(__xludf.DUMMYFUNCTION("""COMPUTED_VALUE"""),"JOHN REN")</f>
        <v>JOHN REN</v>
      </c>
      <c r="D595" s="9" t="str">
        <f>IFERROR(__xludf.DUMMYFUNCTION("""COMPUTED_VALUE"""),"D")</f>
        <v>D</v>
      </c>
      <c r="E595" s="9" t="str">
        <f>IFERROR(__xludf.DUMMYFUNCTION("""COMPUTED_VALUE"""),"GABRIEL M SANTOS")</f>
        <v>GABRIEL M SANTOS</v>
      </c>
      <c r="F595" s="133"/>
      <c r="G595" s="13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60">
        <f t="shared" si="1"/>
        <v>590</v>
      </c>
      <c r="B596" s="9" t="str">
        <f>IFERROR(__xludf.DUMMYFUNCTION("""COMPUTED_VALUE"""),"FLORES")</f>
        <v>FLORES</v>
      </c>
      <c r="C596" s="9" t="str">
        <f>IFERROR(__xludf.DUMMYFUNCTION("""COMPUTED_VALUE"""),"KEITH FREANCEL")</f>
        <v>KEITH FREANCEL</v>
      </c>
      <c r="D596" s="9" t="str">
        <f>IFERROR(__xludf.DUMMYFUNCTION("""COMPUTED_VALUE"""),"B")</f>
        <v>B</v>
      </c>
      <c r="E596" s="9" t="str">
        <f>IFERROR(__xludf.DUMMYFUNCTION("""COMPUTED_VALUE"""),"MARICEL FLORES")</f>
        <v>MARICEL FLORES</v>
      </c>
      <c r="F596" s="133"/>
      <c r="G596" s="13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60">
        <f t="shared" si="1"/>
        <v>591</v>
      </c>
      <c r="B597" s="9" t="str">
        <f>IFERROR(__xludf.DUMMYFUNCTION("""COMPUTED_VALUE"""),"FLORES")</f>
        <v>FLORES</v>
      </c>
      <c r="C597" s="9" t="str">
        <f>IFERROR(__xludf.DUMMYFUNCTION("""COMPUTED_VALUE"""),"KLIFFORD FRANCIS")</f>
        <v>KLIFFORD FRANCIS</v>
      </c>
      <c r="D597" s="9" t="str">
        <f>IFERROR(__xludf.DUMMYFUNCTION("""COMPUTED_VALUE"""),"B")</f>
        <v>B</v>
      </c>
      <c r="E597" s="9" t="str">
        <f>IFERROR(__xludf.DUMMYFUNCTION("""COMPUTED_VALUE"""),"MARICEL FLORES")</f>
        <v>MARICEL FLORES</v>
      </c>
      <c r="F597" s="133"/>
      <c r="G597" s="13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60">
        <f t="shared" si="1"/>
        <v>592</v>
      </c>
      <c r="B598" s="9" t="str">
        <f>IFERROR(__xludf.DUMMYFUNCTION("""COMPUTED_VALUE"""),"FLORES")</f>
        <v>FLORES</v>
      </c>
      <c r="C598" s="9" t="str">
        <f>IFERROR(__xludf.DUMMYFUNCTION("""COMPUTED_VALUE"""),"YUMI ANN")</f>
        <v>YUMI ANN</v>
      </c>
      <c r="D598" s="9" t="str">
        <f>IFERROR(__xludf.DUMMYFUNCTION("""COMPUTED_VALUE"""),"B")</f>
        <v>B</v>
      </c>
      <c r="E598" s="9" t="str">
        <f>IFERROR(__xludf.DUMMYFUNCTION("""COMPUTED_VALUE"""),"MARICEL FLORES")</f>
        <v>MARICEL FLORES</v>
      </c>
      <c r="F598" s="133"/>
      <c r="G598" s="13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60">
        <f t="shared" si="1"/>
        <v>593</v>
      </c>
      <c r="B599" s="9" t="str">
        <f>IFERROR(__xludf.DUMMYFUNCTION("""COMPUTED_VALUE"""),"FLORES")</f>
        <v>FLORES</v>
      </c>
      <c r="C599" s="9" t="str">
        <f>IFERROR(__xludf.DUMMYFUNCTION("""COMPUTED_VALUE"""),"KYDEN KEIL")</f>
        <v>KYDEN KEIL</v>
      </c>
      <c r="D599" s="9" t="str">
        <f>IFERROR(__xludf.DUMMYFUNCTION("""COMPUTED_VALUE"""),"B")</f>
        <v>B</v>
      </c>
      <c r="E599" s="9" t="str">
        <f>IFERROR(__xludf.DUMMYFUNCTION("""COMPUTED_VALUE"""),"MARICEL FLORES")</f>
        <v>MARICEL FLORES</v>
      </c>
      <c r="F599" s="133"/>
      <c r="G599" s="13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60">
        <f t="shared" si="1"/>
        <v>594</v>
      </c>
      <c r="B600" s="9" t="str">
        <f>IFERROR(__xludf.DUMMYFUNCTION("""COMPUTED_VALUE"""),"ABAD")</f>
        <v>ABAD</v>
      </c>
      <c r="C600" s="9" t="str">
        <f>IFERROR(__xludf.DUMMYFUNCTION("""COMPUTED_VALUE"""),"KENNETH")</f>
        <v>KENNETH</v>
      </c>
      <c r="D600" s="9"/>
      <c r="E600" s="9" t="str">
        <f>IFERROR(__xludf.DUMMYFUNCTION("""COMPUTED_VALUE"""),"MARICEL FLORES")</f>
        <v>MARICEL FLORES</v>
      </c>
      <c r="F600" s="133"/>
      <c r="G600" s="13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60">
        <f t="shared" si="1"/>
        <v>595</v>
      </c>
      <c r="B601" s="9" t="str">
        <f>IFERROR(__xludf.DUMMYFUNCTION("""COMPUTED_VALUE"""),"ABAD")</f>
        <v>ABAD</v>
      </c>
      <c r="C601" s="9" t="str">
        <f>IFERROR(__xludf.DUMMYFUNCTION("""COMPUTED_VALUE"""),"KURT")</f>
        <v>KURT</v>
      </c>
      <c r="D601" s="9"/>
      <c r="E601" s="9" t="str">
        <f>IFERROR(__xludf.DUMMYFUNCTION("""COMPUTED_VALUE"""),"MARICEL FLORES")</f>
        <v>MARICEL FLORES</v>
      </c>
      <c r="F601" s="133"/>
      <c r="G601" s="13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60">
        <f t="shared" si="1"/>
        <v>596</v>
      </c>
      <c r="B602" s="9" t="str">
        <f>IFERROR(__xludf.DUMMYFUNCTION("""COMPUTED_VALUE"""),"BALILI")</f>
        <v>BALILI</v>
      </c>
      <c r="C602" s="9" t="str">
        <f>IFERROR(__xludf.DUMMYFUNCTION("""COMPUTED_VALUE"""),"ROBERT")</f>
        <v>ROBERT</v>
      </c>
      <c r="D602" s="9"/>
      <c r="E602" s="9" t="str">
        <f>IFERROR(__xludf.DUMMYFUNCTION("""COMPUTED_VALUE"""),"LIBERTY BALILI")</f>
        <v>LIBERTY BALILI</v>
      </c>
      <c r="F602" s="133"/>
      <c r="G602" s="13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60">
        <f t="shared" si="1"/>
        <v>597</v>
      </c>
      <c r="B603" s="9" t="str">
        <f>IFERROR(__xludf.DUMMYFUNCTION("""COMPUTED_VALUE"""),"BALILI")</f>
        <v>BALILI</v>
      </c>
      <c r="C603" s="9" t="str">
        <f>IFERROR(__xludf.DUMMYFUNCTION("""COMPUTED_VALUE"""),"APRIL ROSE")</f>
        <v>APRIL ROSE</v>
      </c>
      <c r="D603" s="9"/>
      <c r="E603" s="9" t="str">
        <f>IFERROR(__xludf.DUMMYFUNCTION("""COMPUTED_VALUE"""),"LIBERTY BALILI")</f>
        <v>LIBERTY BALILI</v>
      </c>
      <c r="F603" s="133"/>
      <c r="G603" s="13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60">
        <f t="shared" si="1"/>
        <v>598</v>
      </c>
      <c r="B604" s="9" t="str">
        <f>IFERROR(__xludf.DUMMYFUNCTION("""COMPUTED_VALUE"""),"DIZON JR")</f>
        <v>DIZON JR</v>
      </c>
      <c r="C604" s="9" t="str">
        <f>IFERROR(__xludf.DUMMYFUNCTION("""COMPUTED_VALUE"""),"ENRIQUE")</f>
        <v>ENRIQUE</v>
      </c>
      <c r="D604" s="9"/>
      <c r="E604" s="9" t="str">
        <f>IFERROR(__xludf.DUMMYFUNCTION("""COMPUTED_VALUE"""),"ENRIQUE DIZON SR")</f>
        <v>ENRIQUE DIZON SR</v>
      </c>
      <c r="F604" s="133"/>
      <c r="G604" s="13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60">
        <f t="shared" si="1"/>
        <v>599</v>
      </c>
      <c r="B605" s="9" t="str">
        <f>IFERROR(__xludf.DUMMYFUNCTION("""COMPUTED_VALUE"""),"ALCANTARA")</f>
        <v>ALCANTARA</v>
      </c>
      <c r="C605" s="9" t="str">
        <f>IFERROR(__xludf.DUMMYFUNCTION("""COMPUTED_VALUE"""),"BEA")</f>
        <v>BEA</v>
      </c>
      <c r="D605" s="9" t="str">
        <f>IFERROR(__xludf.DUMMYFUNCTION("""COMPUTED_VALUE"""),"I")</f>
        <v>I</v>
      </c>
      <c r="E605" s="9" t="str">
        <f>IFERROR(__xludf.DUMMYFUNCTION("""COMPUTED_VALUE"""),"GATSS JEROME C ALCANTARA")</f>
        <v>GATSS JEROME C ALCANTARA</v>
      </c>
      <c r="F605" s="133"/>
      <c r="G605" s="13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60">
        <f t="shared" si="1"/>
        <v>600</v>
      </c>
      <c r="B606" s="9" t="str">
        <f>IFERROR(__xludf.DUMMYFUNCTION("""COMPUTED_VALUE"""),"ALCANTARA")</f>
        <v>ALCANTARA</v>
      </c>
      <c r="C606" s="9" t="str">
        <f>IFERROR(__xludf.DUMMYFUNCTION("""COMPUTED_VALUE"""),"ZEDD")</f>
        <v>ZEDD</v>
      </c>
      <c r="D606" s="9" t="str">
        <f>IFERROR(__xludf.DUMMYFUNCTION("""COMPUTED_VALUE"""),"I")</f>
        <v>I</v>
      </c>
      <c r="E606" s="9" t="str">
        <f>IFERROR(__xludf.DUMMYFUNCTION("""COMPUTED_VALUE"""),"GATSS JEROME C ALCANTARA")</f>
        <v>GATSS JEROME C ALCANTARA</v>
      </c>
      <c r="F606" s="133"/>
      <c r="G606" s="13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60">
        <f t="shared" si="1"/>
        <v>601</v>
      </c>
      <c r="B607" s="9" t="str">
        <f>IFERROR(__xludf.DUMMYFUNCTION("""COMPUTED_VALUE"""),"TADO")</f>
        <v>TADO</v>
      </c>
      <c r="C607" s="9" t="str">
        <f>IFERROR(__xludf.DUMMYFUNCTION("""COMPUTED_VALUE"""),"JAIRA MIKAELLA")</f>
        <v>JAIRA MIKAELLA</v>
      </c>
      <c r="D607" s="9" t="str">
        <f>IFERROR(__xludf.DUMMYFUNCTION("""COMPUTED_VALUE"""),"S")</f>
        <v>S</v>
      </c>
      <c r="E607" s="9" t="str">
        <f>IFERROR(__xludf.DUMMYFUNCTION("""COMPUTED_VALUE"""),"RAYMOND TADO")</f>
        <v>RAYMOND TADO</v>
      </c>
      <c r="F607" s="133"/>
      <c r="G607" s="13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60">
        <f t="shared" si="1"/>
        <v>602</v>
      </c>
      <c r="B608" s="9" t="str">
        <f>IFERROR(__xludf.DUMMYFUNCTION("""COMPUTED_VALUE"""),"TADO")</f>
        <v>TADO</v>
      </c>
      <c r="C608" s="9" t="str">
        <f>IFERROR(__xludf.DUMMYFUNCTION("""COMPUTED_VALUE"""),"MIKAEL")</f>
        <v>MIKAEL</v>
      </c>
      <c r="D608" s="9" t="str">
        <f>IFERROR(__xludf.DUMMYFUNCTION("""COMPUTED_VALUE"""),"S")</f>
        <v>S</v>
      </c>
      <c r="E608" s="9" t="str">
        <f>IFERROR(__xludf.DUMMYFUNCTION("""COMPUTED_VALUE"""),"RAYMOND TADO")</f>
        <v>RAYMOND TADO</v>
      </c>
      <c r="F608" s="133"/>
      <c r="G608" s="13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60">
        <f t="shared" si="1"/>
        <v>603</v>
      </c>
      <c r="B609" s="9" t="str">
        <f>IFERROR(__xludf.DUMMYFUNCTION("""COMPUTED_VALUE"""),"TADO")</f>
        <v>TADO</v>
      </c>
      <c r="C609" s="9" t="str">
        <f>IFERROR(__xludf.DUMMYFUNCTION("""COMPUTED_VALUE"""),"MAE")</f>
        <v>MAE</v>
      </c>
      <c r="D609" s="9" t="str">
        <f>IFERROR(__xludf.DUMMYFUNCTION("""COMPUTED_VALUE"""),"S")</f>
        <v>S</v>
      </c>
      <c r="E609" s="9" t="str">
        <f>IFERROR(__xludf.DUMMYFUNCTION("""COMPUTED_VALUE"""),"RAYMOND TADO")</f>
        <v>RAYMOND TADO</v>
      </c>
      <c r="F609" s="133"/>
      <c r="G609" s="13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60">
        <f t="shared" si="1"/>
        <v>604</v>
      </c>
      <c r="B610" s="9" t="str">
        <f>IFERROR(__xludf.DUMMYFUNCTION("""COMPUTED_VALUE"""),"MOSE")</f>
        <v>MOSE</v>
      </c>
      <c r="C610" s="9" t="str">
        <f>IFERROR(__xludf.DUMMYFUNCTION("""COMPUTED_VALUE"""),"GREY")</f>
        <v>GREY</v>
      </c>
      <c r="D610" s="9"/>
      <c r="E610" s="9" t="str">
        <f>IFERROR(__xludf.DUMMYFUNCTION("""COMPUTED_VALUE"""),"MARK MOSE")</f>
        <v>MARK MOSE</v>
      </c>
      <c r="F610" s="133"/>
      <c r="G610" s="13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60">
        <f t="shared" si="1"/>
        <v>605</v>
      </c>
      <c r="B611" s="9" t="str">
        <f>IFERROR(__xludf.DUMMYFUNCTION("""COMPUTED_VALUE"""),"MOSE")</f>
        <v>MOSE</v>
      </c>
      <c r="C611" s="9" t="str">
        <f>IFERROR(__xludf.DUMMYFUNCTION("""COMPUTED_VALUE"""),"ISAAC")</f>
        <v>ISAAC</v>
      </c>
      <c r="D611" s="9"/>
      <c r="E611" s="9" t="str">
        <f>IFERROR(__xludf.DUMMYFUNCTION("""COMPUTED_VALUE"""),"MARK MOSE")</f>
        <v>MARK MOSE</v>
      </c>
      <c r="F611" s="133"/>
      <c r="G611" s="13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60">
        <f t="shared" si="1"/>
        <v>606</v>
      </c>
      <c r="B612" s="9" t="str">
        <f>IFERROR(__xludf.DUMMYFUNCTION("""COMPUTED_VALUE"""),"CADIGAL")</f>
        <v>CADIGAL</v>
      </c>
      <c r="C612" s="9" t="str">
        <f>IFERROR(__xludf.DUMMYFUNCTION("""COMPUTED_VALUE"""),"KENDAL MAE")</f>
        <v>KENDAL MAE</v>
      </c>
      <c r="D612" s="9"/>
      <c r="E612" s="9" t="str">
        <f>IFERROR(__xludf.DUMMYFUNCTION("""COMPUTED_VALUE"""),"KENNETH S. CADIGAL")</f>
        <v>KENNETH S. CADIGAL</v>
      </c>
      <c r="F612" s="133"/>
      <c r="G612" s="13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60">
        <f t="shared" si="1"/>
        <v>607</v>
      </c>
      <c r="B613" s="9" t="str">
        <f>IFERROR(__xludf.DUMMYFUNCTION("""COMPUTED_VALUE"""),"SANTIAGO")</f>
        <v>SANTIAGO</v>
      </c>
      <c r="C613" s="9" t="str">
        <f>IFERROR(__xludf.DUMMYFUNCTION("""COMPUTED_VALUE"""),"MICHAEL")</f>
        <v>MICHAEL</v>
      </c>
      <c r="D613" s="9" t="str">
        <f>IFERROR(__xludf.DUMMYFUNCTION("""COMPUTED_VALUE"""),"O.")</f>
        <v>O.</v>
      </c>
      <c r="E613" s="9" t="str">
        <f>IFERROR(__xludf.DUMMYFUNCTION("""COMPUTED_VALUE"""),"FE SANTIAGO")</f>
        <v>FE SANTIAGO</v>
      </c>
      <c r="F613" s="133"/>
      <c r="G613" s="13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60">
        <f t="shared" si="1"/>
        <v>608</v>
      </c>
      <c r="B614" s="9" t="str">
        <f>IFERROR(__xludf.DUMMYFUNCTION("""COMPUTED_VALUE"""),"SANTIAGO")</f>
        <v>SANTIAGO</v>
      </c>
      <c r="C614" s="9" t="str">
        <f>IFERROR(__xludf.DUMMYFUNCTION("""COMPUTED_VALUE"""),"FERNANDO")</f>
        <v>FERNANDO</v>
      </c>
      <c r="D614" s="9" t="str">
        <f>IFERROR(__xludf.DUMMYFUNCTION("""COMPUTED_VALUE"""),"O.")</f>
        <v>O.</v>
      </c>
      <c r="E614" s="9" t="str">
        <f>IFERROR(__xludf.DUMMYFUNCTION("""COMPUTED_VALUE"""),"FE SANTIAGO")</f>
        <v>FE SANTIAGO</v>
      </c>
      <c r="F614" s="133"/>
      <c r="G614" s="13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60">
        <f t="shared" si="1"/>
        <v>609</v>
      </c>
      <c r="B615" s="9" t="str">
        <f>IFERROR(__xludf.DUMMYFUNCTION("""COMPUTED_VALUE"""),"SANTIAGO")</f>
        <v>SANTIAGO</v>
      </c>
      <c r="C615" s="9" t="str">
        <f>IFERROR(__xludf.DUMMYFUNCTION("""COMPUTED_VALUE"""),"SHELLA MARIE")</f>
        <v>SHELLA MARIE</v>
      </c>
      <c r="D615" s="9" t="str">
        <f>IFERROR(__xludf.DUMMYFUNCTION("""COMPUTED_VALUE"""),"O.")</f>
        <v>O.</v>
      </c>
      <c r="E615" s="9" t="str">
        <f>IFERROR(__xludf.DUMMYFUNCTION("""COMPUTED_VALUE"""),"FE SANTIAGO")</f>
        <v>FE SANTIAGO</v>
      </c>
      <c r="F615" s="133"/>
      <c r="G615" s="13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60">
        <f t="shared" si="1"/>
        <v>610</v>
      </c>
      <c r="B616" s="9" t="str">
        <f>IFERROR(__xludf.DUMMYFUNCTION("""COMPUTED_VALUE"""),"CADIGAL")</f>
        <v>CADIGAL</v>
      </c>
      <c r="C616" s="9" t="str">
        <f>IFERROR(__xludf.DUMMYFUNCTION("""COMPUTED_VALUE"""),"SHARY MAY")</f>
        <v>SHARY MAY</v>
      </c>
      <c r="D616" s="9" t="str">
        <f>IFERROR(__xludf.DUMMYFUNCTION("""COMPUTED_VALUE"""),"S.")</f>
        <v>S.</v>
      </c>
      <c r="E616" s="9" t="str">
        <f>IFERROR(__xludf.DUMMYFUNCTION("""COMPUTED_VALUE"""),"SANNY P. CADIGAL")</f>
        <v>SANNY P. CADIGAL</v>
      </c>
      <c r="F616" s="133"/>
      <c r="G616" s="13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60">
        <f t="shared" si="1"/>
        <v>611</v>
      </c>
      <c r="B617" s="9" t="str">
        <f>IFERROR(__xludf.DUMMYFUNCTION("""COMPUTED_VALUE"""),"CASTRO")</f>
        <v>CASTRO</v>
      </c>
      <c r="C617" s="9" t="str">
        <f>IFERROR(__xludf.DUMMYFUNCTION("""COMPUTED_VALUE"""),"ALYANAHMILLE")</f>
        <v>ALYANAHMILLE</v>
      </c>
      <c r="D617" s="9" t="str">
        <f>IFERROR(__xludf.DUMMYFUNCTION("""COMPUTED_VALUE"""),"A.")</f>
        <v>A.</v>
      </c>
      <c r="E617" s="9" t="str">
        <f>IFERROR(__xludf.DUMMYFUNCTION("""COMPUTED_VALUE"""),"JO PATRICK AVILA")</f>
        <v>JO PATRICK AVILA</v>
      </c>
      <c r="F617" s="133"/>
      <c r="G617" s="13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60">
        <f t="shared" si="1"/>
        <v>612</v>
      </c>
      <c r="B618" s="9" t="str">
        <f>IFERROR(__xludf.DUMMYFUNCTION("""COMPUTED_VALUE"""),"AVILA")</f>
        <v>AVILA</v>
      </c>
      <c r="C618" s="9" t="str">
        <f>IFERROR(__xludf.DUMMYFUNCTION("""COMPUTED_VALUE"""),"KYLER FORD")</f>
        <v>KYLER FORD</v>
      </c>
      <c r="D618" s="9" t="str">
        <f>IFERROR(__xludf.DUMMYFUNCTION("""COMPUTED_VALUE"""),"C.")</f>
        <v>C.</v>
      </c>
      <c r="E618" s="9" t="str">
        <f>IFERROR(__xludf.DUMMYFUNCTION("""COMPUTED_VALUE"""),"JO PATRICK AVILA")</f>
        <v>JO PATRICK AVILA</v>
      </c>
      <c r="F618" s="133"/>
      <c r="G618" s="13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60">
        <f t="shared" si="1"/>
        <v>613</v>
      </c>
      <c r="B619" s="9" t="str">
        <f>IFERROR(__xludf.DUMMYFUNCTION("""COMPUTED_VALUE"""),"AVILA")</f>
        <v>AVILA</v>
      </c>
      <c r="C619" s="9" t="str">
        <f>IFERROR(__xludf.DUMMYFUNCTION("""COMPUTED_VALUE"""),"KAIZEN LEXUS")</f>
        <v>KAIZEN LEXUS</v>
      </c>
      <c r="D619" s="9" t="str">
        <f>IFERROR(__xludf.DUMMYFUNCTION("""COMPUTED_VALUE"""),"C.")</f>
        <v>C.</v>
      </c>
      <c r="E619" s="9" t="str">
        <f>IFERROR(__xludf.DUMMYFUNCTION("""COMPUTED_VALUE"""),"JO PATRICK AVILA")</f>
        <v>JO PATRICK AVILA</v>
      </c>
      <c r="F619" s="133"/>
      <c r="G619" s="13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60">
        <f t="shared" si="1"/>
        <v>614</v>
      </c>
      <c r="B620" s="9" t="str">
        <f>IFERROR(__xludf.DUMMYFUNCTION("""COMPUTED_VALUE"""),"ATIENZA")</f>
        <v>ATIENZA</v>
      </c>
      <c r="C620" s="9" t="str">
        <f>IFERROR(__xludf.DUMMYFUNCTION("""COMPUTED_VALUE"""),"MARK ALLAN")</f>
        <v>MARK ALLAN</v>
      </c>
      <c r="D620" s="9"/>
      <c r="E620" s="9" t="str">
        <f>IFERROR(__xludf.DUMMYFUNCTION("""COMPUTED_VALUE"""),"RONALD ALLAN ATIENZA")</f>
        <v>RONALD ALLAN ATIENZA</v>
      </c>
      <c r="F620" s="133"/>
      <c r="G620" s="13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60">
        <f t="shared" si="1"/>
        <v>615</v>
      </c>
      <c r="B621" s="9" t="str">
        <f>IFERROR(__xludf.DUMMYFUNCTION("""COMPUTED_VALUE"""),"ATIENZA")</f>
        <v>ATIENZA</v>
      </c>
      <c r="C621" s="9" t="str">
        <f>IFERROR(__xludf.DUMMYFUNCTION("""COMPUTED_VALUE"""),"KLOUD LOWRY")</f>
        <v>KLOUD LOWRY</v>
      </c>
      <c r="D621" s="9"/>
      <c r="E621" s="9" t="str">
        <f>IFERROR(__xludf.DUMMYFUNCTION("""COMPUTED_VALUE"""),"RONALD ALLEN ATIENZA")</f>
        <v>RONALD ALLEN ATIENZA</v>
      </c>
      <c r="F621" s="133"/>
      <c r="G621" s="13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60">
        <f t="shared" si="1"/>
        <v>616</v>
      </c>
      <c r="B622" s="9" t="str">
        <f>IFERROR(__xludf.DUMMYFUNCTION("""COMPUTED_VALUE"""),"ATIENZA")</f>
        <v>ATIENZA</v>
      </c>
      <c r="C622" s="9" t="str">
        <f>IFERROR(__xludf.DUMMYFUNCTION("""COMPUTED_VALUE"""),"KIANA LORAINE")</f>
        <v>KIANA LORAINE</v>
      </c>
      <c r="D622" s="9"/>
      <c r="E622" s="9" t="str">
        <f>IFERROR(__xludf.DUMMYFUNCTION("""COMPUTED_VALUE"""),"RONALD ALLEN ATIENZA")</f>
        <v>RONALD ALLEN ATIENZA</v>
      </c>
      <c r="F622" s="133"/>
      <c r="G622" s="13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60">
        <f t="shared" si="1"/>
        <v>617</v>
      </c>
      <c r="B623" s="9" t="str">
        <f>IFERROR(__xludf.DUMMYFUNCTION("""COMPUTED_VALUE"""),"ATIENZA")</f>
        <v>ATIENZA</v>
      </c>
      <c r="C623" s="9" t="str">
        <f>IFERROR(__xludf.DUMMYFUNCTION("""COMPUTED_VALUE"""),"RANDY")</f>
        <v>RANDY</v>
      </c>
      <c r="D623" s="9"/>
      <c r="E623" s="9" t="str">
        <f>IFERROR(__xludf.DUMMYFUNCTION("""COMPUTED_VALUE"""),"TERESITA B. ATIENZA")</f>
        <v>TERESITA B. ATIENZA</v>
      </c>
      <c r="F623" s="133"/>
      <c r="G623" s="13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60">
        <f t="shared" si="1"/>
        <v>618</v>
      </c>
      <c r="B624" s="9" t="str">
        <f>IFERROR(__xludf.DUMMYFUNCTION("""COMPUTED_VALUE"""),"ATIENZA")</f>
        <v>ATIENZA</v>
      </c>
      <c r="C624" s="9" t="str">
        <f>IFERROR(__xludf.DUMMYFUNCTION("""COMPUTED_VALUE"""),"RAYSON")</f>
        <v>RAYSON</v>
      </c>
      <c r="D624" s="9"/>
      <c r="E624" s="9" t="str">
        <f>IFERROR(__xludf.DUMMYFUNCTION("""COMPUTED_VALUE"""),"TERESITA B. ATIENZA")</f>
        <v>TERESITA B. ATIENZA</v>
      </c>
      <c r="F624" s="133"/>
      <c r="G624" s="13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60">
        <f t="shared" si="1"/>
        <v>619</v>
      </c>
      <c r="B625" s="9" t="str">
        <f>IFERROR(__xludf.DUMMYFUNCTION("""COMPUTED_VALUE"""),"DELOS SANTOS")</f>
        <v>DELOS SANTOS</v>
      </c>
      <c r="C625" s="9" t="str">
        <f>IFERROR(__xludf.DUMMYFUNCTION("""COMPUTED_VALUE"""),"PAULO")</f>
        <v>PAULO</v>
      </c>
      <c r="D625" s="9"/>
      <c r="E625" s="9" t="str">
        <f>IFERROR(__xludf.DUMMYFUNCTION("""COMPUTED_VALUE"""),"MARIA LETICIA S. VELASQUEZ")</f>
        <v>MARIA LETICIA S. VELASQUEZ</v>
      </c>
      <c r="F625" s="133"/>
      <c r="G625" s="13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60">
        <f t="shared" si="1"/>
        <v>620</v>
      </c>
      <c r="B626" s="9" t="str">
        <f>IFERROR(__xludf.DUMMYFUNCTION("""COMPUTED_VALUE"""),"DELOS SANTOS")</f>
        <v>DELOS SANTOS</v>
      </c>
      <c r="C626" s="9" t="str">
        <f>IFERROR(__xludf.DUMMYFUNCTION("""COMPUTED_VALUE"""),"URECO")</f>
        <v>URECO</v>
      </c>
      <c r="D626" s="9"/>
      <c r="E626" s="9" t="str">
        <f>IFERROR(__xludf.DUMMYFUNCTION("""COMPUTED_VALUE"""),"MARIA LETICIA S. VELASQUEZ")</f>
        <v>MARIA LETICIA S. VELASQUEZ</v>
      </c>
      <c r="F626" s="133"/>
      <c r="G626" s="13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60">
        <f t="shared" si="1"/>
        <v>621</v>
      </c>
      <c r="B627" s="9" t="str">
        <f>IFERROR(__xludf.DUMMYFUNCTION("""COMPUTED_VALUE"""),"ANDAYA")</f>
        <v>ANDAYA</v>
      </c>
      <c r="C627" s="9" t="str">
        <f>IFERROR(__xludf.DUMMYFUNCTION("""COMPUTED_VALUE"""),"JANINA BERNADETHE")</f>
        <v>JANINA BERNADETHE</v>
      </c>
      <c r="D627" s="9"/>
      <c r="E627" s="9" t="str">
        <f>IFERROR(__xludf.DUMMYFUNCTION("""COMPUTED_VALUE"""),"DESIDERIO VELASQUEZ")</f>
        <v>DESIDERIO VELASQUEZ</v>
      </c>
      <c r="F627" s="133"/>
      <c r="G627" s="13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60">
        <f t="shared" si="1"/>
        <v>622</v>
      </c>
      <c r="B628" s="9" t="str">
        <f>IFERROR(__xludf.DUMMYFUNCTION("""COMPUTED_VALUE"""),"ANDAYA")</f>
        <v>ANDAYA</v>
      </c>
      <c r="C628" s="9" t="str">
        <f>IFERROR(__xludf.DUMMYFUNCTION("""COMPUTED_VALUE"""),"IVANN")</f>
        <v>IVANN</v>
      </c>
      <c r="D628" s="9"/>
      <c r="E628" s="9" t="str">
        <f>IFERROR(__xludf.DUMMYFUNCTION("""COMPUTED_VALUE"""),"DESIDERIO VELASQUEZ")</f>
        <v>DESIDERIO VELASQUEZ</v>
      </c>
      <c r="F628" s="133"/>
      <c r="G628" s="13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60">
        <f t="shared" si="1"/>
        <v>623</v>
      </c>
      <c r="B629" s="9" t="str">
        <f>IFERROR(__xludf.DUMMYFUNCTION("""COMPUTED_VALUE"""),"CERVANTES")</f>
        <v>CERVANTES</v>
      </c>
      <c r="C629" s="9" t="str">
        <f>IFERROR(__xludf.DUMMYFUNCTION("""COMPUTED_VALUE"""),"KYRA MYENEL")</f>
        <v>KYRA MYENEL</v>
      </c>
      <c r="D629" s="9" t="str">
        <f>IFERROR(__xludf.DUMMYFUNCTION("""COMPUTED_VALUE"""),"D.")</f>
        <v>D.</v>
      </c>
      <c r="E629" s="9" t="str">
        <f>IFERROR(__xludf.DUMMYFUNCTION("""COMPUTED_VALUE"""),"NELSON ADRIAND CERVANTES")</f>
        <v>NELSON ADRIAND CERVANTES</v>
      </c>
      <c r="F629" s="133"/>
      <c r="G629" s="13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60">
        <f t="shared" si="1"/>
        <v>624</v>
      </c>
      <c r="B630" s="9" t="str">
        <f>IFERROR(__xludf.DUMMYFUNCTION("""COMPUTED_VALUE"""),"CERVANTES")</f>
        <v>CERVANTES</v>
      </c>
      <c r="C630" s="9" t="str">
        <f>IFERROR(__xludf.DUMMYFUNCTION("""COMPUTED_VALUE"""),"KYLIE MYENEL")</f>
        <v>KYLIE MYENEL</v>
      </c>
      <c r="D630" s="9" t="str">
        <f>IFERROR(__xludf.DUMMYFUNCTION("""COMPUTED_VALUE"""),"D.")</f>
        <v>D.</v>
      </c>
      <c r="E630" s="9" t="str">
        <f>IFERROR(__xludf.DUMMYFUNCTION("""COMPUTED_VALUE"""),"NELSON ADRIAND CERVANTES")</f>
        <v>NELSON ADRIAND CERVANTES</v>
      </c>
      <c r="F630" s="133"/>
      <c r="G630" s="13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60">
        <f t="shared" si="1"/>
        <v>625</v>
      </c>
      <c r="B631" s="9" t="str">
        <f>IFERROR(__xludf.DUMMYFUNCTION("""COMPUTED_VALUE"""),"TOLENTINO")</f>
        <v>TOLENTINO</v>
      </c>
      <c r="C631" s="9" t="str">
        <f>IFERROR(__xludf.DUMMYFUNCTION("""COMPUTED_VALUE"""),"KEIVS CLYLE")</f>
        <v>KEIVS CLYLE</v>
      </c>
      <c r="D631" s="9" t="str">
        <f>IFERROR(__xludf.DUMMYFUNCTION("""COMPUTED_VALUE"""),"B.")</f>
        <v>B.</v>
      </c>
      <c r="E631" s="9" t="str">
        <f>IFERROR(__xludf.DUMMYFUNCTION("""COMPUTED_VALUE"""),"JOSELITO V. TOLENTINO JR.")</f>
        <v>JOSELITO V. TOLENTINO JR.</v>
      </c>
      <c r="F631" s="133"/>
      <c r="G631" s="13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60">
        <f t="shared" si="1"/>
        <v>626</v>
      </c>
      <c r="B632" s="9" t="str">
        <f>IFERROR(__xludf.DUMMYFUNCTION("""COMPUTED_VALUE"""),"TOLENTINO")</f>
        <v>TOLENTINO</v>
      </c>
      <c r="C632" s="9" t="str">
        <f>IFERROR(__xludf.DUMMYFUNCTION("""COMPUTED_VALUE"""),"TRISTAN JHEOFF")</f>
        <v>TRISTAN JHEOFF</v>
      </c>
      <c r="D632" s="9" t="str">
        <f>IFERROR(__xludf.DUMMYFUNCTION("""COMPUTED_VALUE"""),"B.")</f>
        <v>B.</v>
      </c>
      <c r="E632" s="9" t="str">
        <f>IFERROR(__xludf.DUMMYFUNCTION("""COMPUTED_VALUE"""),"JEFFREY V. TOLENTINO")</f>
        <v>JEFFREY V. TOLENTINO</v>
      </c>
      <c r="F632" s="133"/>
      <c r="G632" s="13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60">
        <f t="shared" si="1"/>
        <v>627</v>
      </c>
      <c r="B633" s="9" t="str">
        <f>IFERROR(__xludf.DUMMYFUNCTION("""COMPUTED_VALUE"""),"TOLENTINO")</f>
        <v>TOLENTINO</v>
      </c>
      <c r="C633" s="9" t="str">
        <f>IFERROR(__xludf.DUMMYFUNCTION("""COMPUTED_VALUE"""),"ALTHEA KAI")</f>
        <v>ALTHEA KAI</v>
      </c>
      <c r="D633" s="9"/>
      <c r="E633" s="9" t="str">
        <f>IFERROR(__xludf.DUMMYFUNCTION("""COMPUTED_VALUE"""),"JERIKA V. TOLENTINO")</f>
        <v>JERIKA V. TOLENTINO</v>
      </c>
      <c r="F633" s="133"/>
      <c r="G633" s="13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60">
        <f t="shared" si="1"/>
        <v>628</v>
      </c>
      <c r="B634" s="9" t="str">
        <f>IFERROR(__xludf.DUMMYFUNCTION("""COMPUTED_VALUE"""),"TOLENTINO")</f>
        <v>TOLENTINO</v>
      </c>
      <c r="C634" s="9" t="str">
        <f>IFERROR(__xludf.DUMMYFUNCTION("""COMPUTED_VALUE"""),"JOANNE ")</f>
        <v>JOANNE </v>
      </c>
      <c r="D634" s="9" t="str">
        <f>IFERROR(__xludf.DUMMYFUNCTION("""COMPUTED_VALUE"""),"V.")</f>
        <v>V.</v>
      </c>
      <c r="E634" s="9" t="str">
        <f>IFERROR(__xludf.DUMMYFUNCTION("""COMPUTED_VALUE"""),"JOSELITO C. TOLENTINO SR.")</f>
        <v>JOSELITO C. TOLENTINO SR.</v>
      </c>
      <c r="F634" s="133"/>
      <c r="G634" s="13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60">
        <f t="shared" si="1"/>
        <v>629</v>
      </c>
      <c r="B635" s="9" t="str">
        <f>IFERROR(__xludf.DUMMYFUNCTION("""COMPUTED_VALUE"""),"TOLENTINO")</f>
        <v>TOLENTINO</v>
      </c>
      <c r="C635" s="9" t="str">
        <f>IFERROR(__xludf.DUMMYFUNCTION("""COMPUTED_VALUE"""),"JEROME")</f>
        <v>JEROME</v>
      </c>
      <c r="D635" s="9" t="str">
        <f>IFERROR(__xludf.DUMMYFUNCTION("""COMPUTED_VALUE"""),"V.")</f>
        <v>V.</v>
      </c>
      <c r="E635" s="9" t="str">
        <f>IFERROR(__xludf.DUMMYFUNCTION("""COMPUTED_VALUE"""),"JOSELITO C. TOLENTINO SR.")</f>
        <v>JOSELITO C. TOLENTINO SR.</v>
      </c>
      <c r="F635" s="133"/>
      <c r="G635" s="13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60">
        <f t="shared" si="1"/>
        <v>630</v>
      </c>
      <c r="B636" s="9" t="str">
        <f>IFERROR(__xludf.DUMMYFUNCTION("""COMPUTED_VALUE"""),"VELASQUEZ")</f>
        <v>VELASQUEZ</v>
      </c>
      <c r="C636" s="9" t="str">
        <f>IFERROR(__xludf.DUMMYFUNCTION("""COMPUTED_VALUE"""),"ELIJAH RYLE")</f>
        <v>ELIJAH RYLE</v>
      </c>
      <c r="D636" s="9"/>
      <c r="E636" s="9" t="str">
        <f>IFERROR(__xludf.DUMMYFUNCTION("""COMPUTED_VALUE"""),"BRYAN RENZ VELASQUEZ")</f>
        <v>BRYAN RENZ VELASQUEZ</v>
      </c>
      <c r="F636" s="133"/>
      <c r="G636" s="13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60">
        <f t="shared" si="1"/>
        <v>631</v>
      </c>
      <c r="B637" s="9" t="str">
        <f>IFERROR(__xludf.DUMMYFUNCTION("""COMPUTED_VALUE"""),"OBNIALA")</f>
        <v>OBNIALA</v>
      </c>
      <c r="C637" s="9" t="str">
        <f>IFERROR(__xludf.DUMMYFUNCTION("""COMPUTED_VALUE"""),"MC ARREN")</f>
        <v>MC ARREN</v>
      </c>
      <c r="D637" s="9"/>
      <c r="E637" s="9" t="str">
        <f>IFERROR(__xludf.DUMMYFUNCTION("""COMPUTED_VALUE"""),"MARK ANTHONY OBNIALA")</f>
        <v>MARK ANTHONY OBNIALA</v>
      </c>
      <c r="F637" s="133"/>
      <c r="G637" s="13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60">
        <f t="shared" si="1"/>
        <v>632</v>
      </c>
      <c r="B638" s="9" t="str">
        <f>IFERROR(__xludf.DUMMYFUNCTION("""COMPUTED_VALUE"""),"DE LEON")</f>
        <v>DE LEON</v>
      </c>
      <c r="C638" s="9" t="str">
        <f>IFERROR(__xludf.DUMMYFUNCTION("""COMPUTED_VALUE"""),"JACE ANDREI")</f>
        <v>JACE ANDREI</v>
      </c>
      <c r="D638" s="9"/>
      <c r="E638" s="9" t="str">
        <f>IFERROR(__xludf.DUMMYFUNCTION("""COMPUTED_VALUE"""),"JOMAR DE LEON")</f>
        <v>JOMAR DE LEON</v>
      </c>
      <c r="F638" s="133"/>
      <c r="G638" s="13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60">
        <f t="shared" si="1"/>
        <v>633</v>
      </c>
      <c r="B639" s="9" t="str">
        <f>IFERROR(__xludf.DUMMYFUNCTION("""COMPUTED_VALUE"""),"DE GUZMAN")</f>
        <v>DE GUZMAN</v>
      </c>
      <c r="C639" s="9" t="str">
        <f>IFERROR(__xludf.DUMMYFUNCTION("""COMPUTED_VALUE"""),"MARVIN")</f>
        <v>MARVIN</v>
      </c>
      <c r="D639" s="9"/>
      <c r="E639" s="9" t="str">
        <f>IFERROR(__xludf.DUMMYFUNCTION("""COMPUTED_VALUE"""),"CARMELO G. DE GUZMAN")</f>
        <v>CARMELO G. DE GUZMAN</v>
      </c>
      <c r="F639" s="133"/>
      <c r="G639" s="13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60">
        <f t="shared" si="1"/>
        <v>634</v>
      </c>
      <c r="B640" s="9" t="str">
        <f>IFERROR(__xludf.DUMMYFUNCTION("""COMPUTED_VALUE"""),"DE GUZMAN")</f>
        <v>DE GUZMAN</v>
      </c>
      <c r="C640" s="9" t="str">
        <f>IFERROR(__xludf.DUMMYFUNCTION("""COMPUTED_VALUE"""),"NICHOL ")</f>
        <v>NICHOL </v>
      </c>
      <c r="D640" s="9" t="str">
        <f>IFERROR(__xludf.DUMMYFUNCTION("""COMPUTED_VALUE"""),"C.")</f>
        <v>C.</v>
      </c>
      <c r="E640" s="9" t="str">
        <f>IFERROR(__xludf.DUMMYFUNCTION("""COMPUTED_VALUE"""),"MELRAD V. DE GUZMAN")</f>
        <v>MELRAD V. DE GUZMAN</v>
      </c>
      <c r="F640" s="133"/>
      <c r="G640" s="13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60">
        <f t="shared" si="1"/>
        <v>635</v>
      </c>
      <c r="B641" s="9" t="str">
        <f>IFERROR(__xludf.DUMMYFUNCTION("""COMPUTED_VALUE"""),"DE GUZMAN")</f>
        <v>DE GUZMAN</v>
      </c>
      <c r="C641" s="9" t="str">
        <f>IFERROR(__xludf.DUMMYFUNCTION("""COMPUTED_VALUE"""),"CHARLES AARON")</f>
        <v>CHARLES AARON</v>
      </c>
      <c r="D641" s="9" t="str">
        <f>IFERROR(__xludf.DUMMYFUNCTION("""COMPUTED_VALUE"""),"C.")</f>
        <v>C.</v>
      </c>
      <c r="E641" s="9" t="str">
        <f>IFERROR(__xludf.DUMMYFUNCTION("""COMPUTED_VALUE"""),"MELRAD V. DE GUZMAN")</f>
        <v>MELRAD V. DE GUZMAN</v>
      </c>
      <c r="F641" s="133"/>
      <c r="G641" s="13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60">
        <f t="shared" si="1"/>
        <v>636</v>
      </c>
      <c r="B642" s="9" t="str">
        <f>IFERROR(__xludf.DUMMYFUNCTION("""COMPUTED_VALUE"""),"DE GUZMAN")</f>
        <v>DE GUZMAN</v>
      </c>
      <c r="C642" s="9" t="str">
        <f>IFERROR(__xludf.DUMMYFUNCTION("""COMPUTED_VALUE"""),"HANNAH SOPHIA")</f>
        <v>HANNAH SOPHIA</v>
      </c>
      <c r="D642" s="9" t="str">
        <f>IFERROR(__xludf.DUMMYFUNCTION("""COMPUTED_VALUE"""),"C.")</f>
        <v>C.</v>
      </c>
      <c r="E642" s="9" t="str">
        <f>IFERROR(__xludf.DUMMYFUNCTION("""COMPUTED_VALUE"""),"MELRAD V. DE GUZMAN")</f>
        <v>MELRAD V. DE GUZMAN</v>
      </c>
      <c r="F642" s="133"/>
      <c r="G642" s="13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60">
        <f t="shared" si="1"/>
        <v>637</v>
      </c>
      <c r="B643" s="9" t="str">
        <f>IFERROR(__xludf.DUMMYFUNCTION("""COMPUTED_VALUE"""),"DE GUZMAN")</f>
        <v>DE GUZMAN</v>
      </c>
      <c r="C643" s="9" t="str">
        <f>IFERROR(__xludf.DUMMYFUNCTION("""COMPUTED_VALUE"""),"KARL ANDREI")</f>
        <v>KARL ANDREI</v>
      </c>
      <c r="D643" s="9" t="str">
        <f>IFERROR(__xludf.DUMMYFUNCTION("""COMPUTED_VALUE"""),"C.")</f>
        <v>C.</v>
      </c>
      <c r="E643" s="9" t="str">
        <f>IFERROR(__xludf.DUMMYFUNCTION("""COMPUTED_VALUE"""),"MELRAD V. DE GUZMAN")</f>
        <v>MELRAD V. DE GUZMAN</v>
      </c>
      <c r="F643" s="133"/>
      <c r="G643" s="13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60">
        <f t="shared" si="1"/>
        <v>638</v>
      </c>
      <c r="B644" s="9" t="str">
        <f>IFERROR(__xludf.DUMMYFUNCTION("""COMPUTED_VALUE"""),"NOLASCO")</f>
        <v>NOLASCO</v>
      </c>
      <c r="C644" s="9" t="str">
        <f>IFERROR(__xludf.DUMMYFUNCTION("""COMPUTED_VALUE"""),"YZHIN")</f>
        <v>YZHIN</v>
      </c>
      <c r="D644" s="9"/>
      <c r="E644" s="9" t="str">
        <f>IFERROR(__xludf.DUMMYFUNCTION("""COMPUTED_VALUE"""),"RICSON VERCELES")</f>
        <v>RICSON VERCELES</v>
      </c>
      <c r="F644" s="133"/>
      <c r="G644" s="13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60">
        <f t="shared" si="1"/>
        <v>639</v>
      </c>
      <c r="B645" s="9" t="str">
        <f>IFERROR(__xludf.DUMMYFUNCTION("""COMPUTED_VALUE"""),"RIVERA")</f>
        <v>RIVERA</v>
      </c>
      <c r="C645" s="9" t="str">
        <f>IFERROR(__xludf.DUMMYFUNCTION("""COMPUTED_VALUE"""),"MANE FRANCE")</f>
        <v>MANE FRANCE</v>
      </c>
      <c r="D645" s="9"/>
      <c r="E645" s="9" t="str">
        <f>IFERROR(__xludf.DUMMYFUNCTION("""COMPUTED_VALUE"""),"RICSON VERCELES")</f>
        <v>RICSON VERCELES</v>
      </c>
      <c r="F645" s="133"/>
      <c r="G645" s="13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60">
        <f t="shared" si="1"/>
        <v>640</v>
      </c>
      <c r="B646" s="9" t="str">
        <f>IFERROR(__xludf.DUMMYFUNCTION("""COMPUTED_VALUE"""),"OREJANA")</f>
        <v>OREJANA</v>
      </c>
      <c r="C646" s="9" t="str">
        <f>IFERROR(__xludf.DUMMYFUNCTION("""COMPUTED_VALUE"""),"FRANCIS")</f>
        <v>FRANCIS</v>
      </c>
      <c r="D646" s="9"/>
      <c r="E646" s="9" t="str">
        <f>IFERROR(__xludf.DUMMYFUNCTION("""COMPUTED_VALUE"""),"CELSO OREJANA")</f>
        <v>CELSO OREJANA</v>
      </c>
      <c r="F646" s="133"/>
      <c r="G646" s="13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60">
        <f t="shared" si="1"/>
        <v>641</v>
      </c>
      <c r="B647" s="9" t="str">
        <f>IFERROR(__xludf.DUMMYFUNCTION("""COMPUTED_VALUE"""),"OREJANA")</f>
        <v>OREJANA</v>
      </c>
      <c r="C647" s="9" t="str">
        <f>IFERROR(__xludf.DUMMYFUNCTION("""COMPUTED_VALUE"""),"FREDRICK")</f>
        <v>FREDRICK</v>
      </c>
      <c r="D647" s="9"/>
      <c r="E647" s="9" t="str">
        <f>IFERROR(__xludf.DUMMYFUNCTION("""COMPUTED_VALUE"""),"CELSO OREJANA")</f>
        <v>CELSO OREJANA</v>
      </c>
      <c r="F647" s="133"/>
      <c r="G647" s="13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60">
        <f t="shared" si="1"/>
        <v>642</v>
      </c>
      <c r="B648" s="9" t="str">
        <f>IFERROR(__xludf.DUMMYFUNCTION("""COMPUTED_VALUE"""),"OREJANA")</f>
        <v>OREJANA</v>
      </c>
      <c r="C648" s="9" t="str">
        <f>IFERROR(__xludf.DUMMYFUNCTION("""COMPUTED_VALUE"""),"CHARISSE")</f>
        <v>CHARISSE</v>
      </c>
      <c r="D648" s="9"/>
      <c r="E648" s="9" t="str">
        <f>IFERROR(__xludf.DUMMYFUNCTION("""COMPUTED_VALUE"""),"MARGARITA OREJANA")</f>
        <v>MARGARITA OREJANA</v>
      </c>
      <c r="F648" s="133"/>
      <c r="G648" s="13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60">
        <f t="shared" si="1"/>
        <v>643</v>
      </c>
      <c r="B649" s="9" t="str">
        <f>IFERROR(__xludf.DUMMYFUNCTION("""COMPUTED_VALUE"""),"AUSTRIA")</f>
        <v>AUSTRIA</v>
      </c>
      <c r="C649" s="9" t="str">
        <f>IFERROR(__xludf.DUMMYFUNCTION("""COMPUTED_VALUE"""),"REYNALDO")</f>
        <v>REYNALDO</v>
      </c>
      <c r="D649" s="9"/>
      <c r="E649" s="9" t="str">
        <f>IFERROR(__xludf.DUMMYFUNCTION("""COMPUTED_VALUE"""),"AGOSTO ESTILLANA")</f>
        <v>AGOSTO ESTILLANA</v>
      </c>
      <c r="F649" s="133" t="str">
        <f>IFERROR(__xludf.DUMMYFUNCTION("""COMPUTED_VALUE"""),"PWD")</f>
        <v>PWD</v>
      </c>
      <c r="G649" s="13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60">
        <f t="shared" si="1"/>
        <v>644</v>
      </c>
      <c r="B650" s="9" t="str">
        <f>IFERROR(__xludf.DUMMYFUNCTION("""COMPUTED_VALUE"""),"ESTILLANA")</f>
        <v>ESTILLANA</v>
      </c>
      <c r="C650" s="9" t="str">
        <f>IFERROR(__xludf.DUMMYFUNCTION("""COMPUTED_VALUE"""),"ACE RYAN ")</f>
        <v>ACE RYAN </v>
      </c>
      <c r="D650" s="9"/>
      <c r="E650" s="9" t="str">
        <f>IFERROR(__xludf.DUMMYFUNCTION("""COMPUTED_VALUE"""),"AGOSTO ESTILLANA")</f>
        <v>AGOSTO ESTILLANA</v>
      </c>
      <c r="F650" s="133"/>
      <c r="G650" s="13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60">
        <f t="shared" si="1"/>
        <v>645</v>
      </c>
      <c r="B651" s="9" t="str">
        <f>IFERROR(__xludf.DUMMYFUNCTION("""COMPUTED_VALUE"""),"ESTILLANA")</f>
        <v>ESTILLANA</v>
      </c>
      <c r="C651" s="9" t="str">
        <f>IFERROR(__xludf.DUMMYFUNCTION("""COMPUTED_VALUE"""),"SARAH JOY")</f>
        <v>SARAH JOY</v>
      </c>
      <c r="D651" s="9"/>
      <c r="E651" s="9" t="str">
        <f>IFERROR(__xludf.DUMMYFUNCTION("""COMPUTED_VALUE"""),"AGOSTO ESTILLANA")</f>
        <v>AGOSTO ESTILLANA</v>
      </c>
      <c r="F651" s="133"/>
      <c r="G651" s="13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60">
        <f t="shared" si="1"/>
        <v>646</v>
      </c>
      <c r="B652" s="9" t="str">
        <f>IFERROR(__xludf.DUMMYFUNCTION("""COMPUTED_VALUE"""),"VILLA ")</f>
        <v>VILLA </v>
      </c>
      <c r="C652" s="9" t="str">
        <f>IFERROR(__xludf.DUMMYFUNCTION("""COMPUTED_VALUE"""),"STEPHANIE RHIANA")</f>
        <v>STEPHANIE RHIANA</v>
      </c>
      <c r="D652" s="9"/>
      <c r="E652" s="9" t="str">
        <f>IFERROR(__xludf.DUMMYFUNCTION("""COMPUTED_VALUE"""),"MICHAEL ANGELO VILLA")</f>
        <v>MICHAEL ANGELO VILLA</v>
      </c>
      <c r="F652" s="133"/>
      <c r="G652" s="13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60">
        <f t="shared" si="1"/>
        <v>647</v>
      </c>
      <c r="B653" s="9" t="str">
        <f>IFERROR(__xludf.DUMMYFUNCTION("""COMPUTED_VALUE"""),"ROMERO")</f>
        <v>ROMERO</v>
      </c>
      <c r="C653" s="9" t="str">
        <f>IFERROR(__xludf.DUMMYFUNCTION("""COMPUTED_VALUE"""),"ELLYZA")</f>
        <v>ELLYZA</v>
      </c>
      <c r="D653" s="9"/>
      <c r="E653" s="9" t="str">
        <f>IFERROR(__xludf.DUMMYFUNCTION("""COMPUTED_VALUE"""),"ERWIN ROMERO")</f>
        <v>ERWIN ROMERO</v>
      </c>
      <c r="F653" s="133"/>
      <c r="G653" s="13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60">
        <f t="shared" si="1"/>
        <v>648</v>
      </c>
      <c r="B654" s="9" t="str">
        <f>IFERROR(__xludf.DUMMYFUNCTION("""COMPUTED_VALUE"""),"ROMERO")</f>
        <v>ROMERO</v>
      </c>
      <c r="C654" s="9" t="str">
        <f>IFERROR(__xludf.DUMMYFUNCTION("""COMPUTED_VALUE"""),"GIAN")</f>
        <v>GIAN</v>
      </c>
      <c r="D654" s="9"/>
      <c r="E654" s="9" t="str">
        <f>IFERROR(__xludf.DUMMYFUNCTION("""COMPUTED_VALUE"""),"ERWIN ROMERO")</f>
        <v>ERWIN ROMERO</v>
      </c>
      <c r="F654" s="133"/>
      <c r="G654" s="13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60">
        <f t="shared" si="1"/>
        <v>649</v>
      </c>
      <c r="B655" s="9" t="str">
        <f>IFERROR(__xludf.DUMMYFUNCTION("""COMPUTED_VALUE"""),"ROMERO")</f>
        <v>ROMERO</v>
      </c>
      <c r="C655" s="9" t="str">
        <f>IFERROR(__xludf.DUMMYFUNCTION("""COMPUTED_VALUE"""),"SAMUEL")</f>
        <v>SAMUEL</v>
      </c>
      <c r="D655" s="9"/>
      <c r="E655" s="9" t="str">
        <f>IFERROR(__xludf.DUMMYFUNCTION("""COMPUTED_VALUE"""),"ERWIN ROMERO")</f>
        <v>ERWIN ROMERO</v>
      </c>
      <c r="F655" s="133"/>
      <c r="G655" s="13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60">
        <f t="shared" si="1"/>
        <v>650</v>
      </c>
      <c r="B656" s="9" t="str">
        <f>IFERROR(__xludf.DUMMYFUNCTION("""COMPUTED_VALUE"""),"SANTOS")</f>
        <v>SANTOS</v>
      </c>
      <c r="C656" s="9" t="str">
        <f>IFERROR(__xludf.DUMMYFUNCTION("""COMPUTED_VALUE"""),"AKIAH MIELLA")</f>
        <v>AKIAH MIELLA</v>
      </c>
      <c r="D656" s="9"/>
      <c r="E656" s="9" t="str">
        <f>IFERROR(__xludf.DUMMYFUNCTION("""COMPUTED_VALUE"""),"ARNOLD A. SANTOS JR.")</f>
        <v>ARNOLD A. SANTOS JR.</v>
      </c>
      <c r="F656" s="133"/>
      <c r="G656" s="13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60">
        <f t="shared" si="1"/>
        <v>651</v>
      </c>
      <c r="B657" s="9" t="str">
        <f>IFERROR(__xludf.DUMMYFUNCTION("""COMPUTED_VALUE"""),"SANTOS")</f>
        <v>SANTOS</v>
      </c>
      <c r="C657" s="9" t="str">
        <f>IFERROR(__xludf.DUMMYFUNCTION("""COMPUTED_VALUE"""),"ALTINA JUANNA")</f>
        <v>ALTINA JUANNA</v>
      </c>
      <c r="D657" s="9"/>
      <c r="E657" s="9" t="str">
        <f>IFERROR(__xludf.DUMMYFUNCTION("""COMPUTED_VALUE"""),"ARNOLD A. SANTOS JR.")</f>
        <v>ARNOLD A. SANTOS JR.</v>
      </c>
      <c r="F657" s="133"/>
      <c r="G657" s="13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60">
        <f t="shared" si="1"/>
        <v>652</v>
      </c>
      <c r="B658" s="9" t="str">
        <f>IFERROR(__xludf.DUMMYFUNCTION("""COMPUTED_VALUE"""),"SANTOS")</f>
        <v>SANTOS</v>
      </c>
      <c r="C658" s="9" t="str">
        <f>IFERROR(__xludf.DUMMYFUNCTION("""COMPUTED_VALUE"""),"LIAM")</f>
        <v>LIAM</v>
      </c>
      <c r="D658" s="9"/>
      <c r="E658" s="9" t="str">
        <f>IFERROR(__xludf.DUMMYFUNCTION("""COMPUTED_VALUE"""),"ACE ANGELO A. SANTOS")</f>
        <v>ACE ANGELO A. SANTOS</v>
      </c>
      <c r="F658" s="133"/>
      <c r="G658" s="13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60">
        <f t="shared" si="1"/>
        <v>653</v>
      </c>
      <c r="B659" s="9" t="str">
        <f>IFERROR(__xludf.DUMMYFUNCTION("""COMPUTED_VALUE"""),"SANTOS")</f>
        <v>SANTOS</v>
      </c>
      <c r="C659" s="9" t="str">
        <f>IFERROR(__xludf.DUMMYFUNCTION("""COMPUTED_VALUE"""),"PREAH")</f>
        <v>PREAH</v>
      </c>
      <c r="D659" s="9"/>
      <c r="E659" s="9" t="str">
        <f>IFERROR(__xludf.DUMMYFUNCTION("""COMPUTED_VALUE"""),"ACE ANGELO A. SANTOS")</f>
        <v>ACE ANGELO A. SANTOS</v>
      </c>
      <c r="F659" s="133"/>
      <c r="G659" s="13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60">
        <f t="shared" si="1"/>
        <v>654</v>
      </c>
      <c r="B660" s="9" t="str">
        <f>IFERROR(__xludf.DUMMYFUNCTION("""COMPUTED_VALUE"""),"VISITACION")</f>
        <v>VISITACION</v>
      </c>
      <c r="C660" s="9" t="str">
        <f>IFERROR(__xludf.DUMMYFUNCTION("""COMPUTED_VALUE"""),"JOCAZ")</f>
        <v>JOCAZ</v>
      </c>
      <c r="D660" s="9" t="str">
        <f>IFERROR(__xludf.DUMMYFUNCTION("""COMPUTED_VALUE"""),"A.")</f>
        <v>A.</v>
      </c>
      <c r="E660" s="9" t="str">
        <f>IFERROR(__xludf.DUMMYFUNCTION("""COMPUTED_VALUE"""),"JOHN VINCENT G. VISITACION")</f>
        <v>JOHN VINCENT G. VISITACION</v>
      </c>
      <c r="F660" s="133"/>
      <c r="G660" s="13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60">
        <f t="shared" si="1"/>
        <v>655</v>
      </c>
      <c r="B661" s="9" t="str">
        <f>IFERROR(__xludf.DUMMYFUNCTION("""COMPUTED_VALUE"""),"PALLER")</f>
        <v>PALLER</v>
      </c>
      <c r="C661" s="9" t="str">
        <f>IFERROR(__xludf.DUMMYFUNCTION("""COMPUTED_VALUE"""),"JR")</f>
        <v>JR</v>
      </c>
      <c r="D661" s="9"/>
      <c r="E661" s="9" t="str">
        <f>IFERROR(__xludf.DUMMYFUNCTION("""COMPUTED_VALUE"""),"EFREN PALLER")</f>
        <v>EFREN PALLER</v>
      </c>
      <c r="F661" s="133"/>
      <c r="G661" s="13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60">
        <f t="shared" si="1"/>
        <v>656</v>
      </c>
      <c r="B662" s="9" t="str">
        <f>IFERROR(__xludf.DUMMYFUNCTION("""COMPUTED_VALUE"""),"PALLER")</f>
        <v>PALLER</v>
      </c>
      <c r="C662" s="9" t="str">
        <f>IFERROR(__xludf.DUMMYFUNCTION("""COMPUTED_VALUE"""),"SHAIRA")</f>
        <v>SHAIRA</v>
      </c>
      <c r="D662" s="9"/>
      <c r="E662" s="9" t="str">
        <f>IFERROR(__xludf.DUMMYFUNCTION("""COMPUTED_VALUE"""),"EFREN PALLER")</f>
        <v>EFREN PALLER</v>
      </c>
      <c r="F662" s="133"/>
      <c r="G662" s="13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60">
        <f t="shared" si="1"/>
        <v>657</v>
      </c>
      <c r="B663" s="9" t="str">
        <f>IFERROR(__xludf.DUMMYFUNCTION("""COMPUTED_VALUE"""),"PALLER")</f>
        <v>PALLER</v>
      </c>
      <c r="C663" s="9" t="str">
        <f>IFERROR(__xludf.DUMMYFUNCTION("""COMPUTED_VALUE"""),"PAUL  ")</f>
        <v>PAUL  </v>
      </c>
      <c r="D663" s="9"/>
      <c r="E663" s="9" t="str">
        <f>IFERROR(__xludf.DUMMYFUNCTION("""COMPUTED_VALUE"""),"EFREN PALLER")</f>
        <v>EFREN PALLER</v>
      </c>
      <c r="F663" s="133"/>
      <c r="G663" s="13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60">
        <f t="shared" si="1"/>
        <v>658</v>
      </c>
      <c r="B664" s="9" t="str">
        <f>IFERROR(__xludf.DUMMYFUNCTION("""COMPUTED_VALUE"""),"PALLER")</f>
        <v>PALLER</v>
      </c>
      <c r="C664" s="9" t="str">
        <f>IFERROR(__xludf.DUMMYFUNCTION("""COMPUTED_VALUE"""),"CHRISTINE")</f>
        <v>CHRISTINE</v>
      </c>
      <c r="D664" s="9"/>
      <c r="E664" s="9" t="str">
        <f>IFERROR(__xludf.DUMMYFUNCTION("""COMPUTED_VALUE"""),"EFREN PALLER")</f>
        <v>EFREN PALLER</v>
      </c>
      <c r="F664" s="133"/>
      <c r="G664" s="13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60">
        <f t="shared" si="1"/>
        <v>659</v>
      </c>
      <c r="B665" s="9" t="str">
        <f>IFERROR(__xludf.DUMMYFUNCTION("""COMPUTED_VALUE"""),"PALLER")</f>
        <v>PALLER</v>
      </c>
      <c r="C665" s="9" t="str">
        <f>IFERROR(__xludf.DUMMYFUNCTION("""COMPUTED_VALUE"""),"CATHERINE")</f>
        <v>CATHERINE</v>
      </c>
      <c r="D665" s="9"/>
      <c r="E665" s="9" t="str">
        <f>IFERROR(__xludf.DUMMYFUNCTION("""COMPUTED_VALUE"""),"EFREN PALLER")</f>
        <v>EFREN PALLER</v>
      </c>
      <c r="F665" s="133"/>
      <c r="G665" s="13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60">
        <f t="shared" si="1"/>
        <v>660</v>
      </c>
      <c r="B666" s="9" t="str">
        <f>IFERROR(__xludf.DUMMYFUNCTION("""COMPUTED_VALUE"""),"VILLA")</f>
        <v>VILLA</v>
      </c>
      <c r="C666" s="9" t="str">
        <f>IFERROR(__xludf.DUMMYFUNCTION("""COMPUTED_VALUE"""),"EZEKIEL KYLE")</f>
        <v>EZEKIEL KYLE</v>
      </c>
      <c r="D666" s="9" t="str">
        <f>IFERROR(__xludf.DUMMYFUNCTION("""COMPUTED_VALUE"""),"L.")</f>
        <v>L.</v>
      </c>
      <c r="E666" s="9" t="str">
        <f>IFERROR(__xludf.DUMMYFUNCTION("""COMPUTED_VALUE"""),"GENESIS A. VILLA")</f>
        <v>GENESIS A. VILLA</v>
      </c>
      <c r="F666" s="133"/>
      <c r="G666" s="13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60">
        <f t="shared" si="1"/>
        <v>661</v>
      </c>
      <c r="B667" s="9" t="str">
        <f>IFERROR(__xludf.DUMMYFUNCTION("""COMPUTED_VALUE"""),"VILLA")</f>
        <v>VILLA</v>
      </c>
      <c r="C667" s="9" t="str">
        <f>IFERROR(__xludf.DUMMYFUNCTION("""COMPUTED_VALUE"""),"CRISTINE GHEN KYLIE")</f>
        <v>CRISTINE GHEN KYLIE</v>
      </c>
      <c r="D667" s="9" t="str">
        <f>IFERROR(__xludf.DUMMYFUNCTION("""COMPUTED_VALUE"""),"L.")</f>
        <v>L.</v>
      </c>
      <c r="E667" s="9" t="str">
        <f>IFERROR(__xludf.DUMMYFUNCTION("""COMPUTED_VALUE"""),"GENESIS A. VILLA")</f>
        <v>GENESIS A. VILLA</v>
      </c>
      <c r="F667" s="133"/>
      <c r="G667" s="13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60">
        <f t="shared" si="1"/>
        <v>662</v>
      </c>
      <c r="B668" s="9" t="str">
        <f>IFERROR(__xludf.DUMMYFUNCTION("""COMPUTED_VALUE"""),"VILLA")</f>
        <v>VILLA</v>
      </c>
      <c r="C668" s="9" t="str">
        <f>IFERROR(__xludf.DUMMYFUNCTION("""COMPUTED_VALUE"""),"JHONMARK ")</f>
        <v>JHONMARK </v>
      </c>
      <c r="D668" s="9" t="str">
        <f>IFERROR(__xludf.DUMMYFUNCTION("""COMPUTED_VALUE"""),"A.")</f>
        <v>A.</v>
      </c>
      <c r="E668" s="9" t="str">
        <f>IFERROR(__xludf.DUMMYFUNCTION("""COMPUTED_VALUE"""),"REXIE A. VILLA")</f>
        <v>REXIE A. VILLA</v>
      </c>
      <c r="F668" s="133"/>
      <c r="G668" s="13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60">
        <f t="shared" si="1"/>
        <v>663</v>
      </c>
      <c r="B669" s="9" t="str">
        <f>IFERROR(__xludf.DUMMYFUNCTION("""COMPUTED_VALUE"""),"SANTOS")</f>
        <v>SANTOS</v>
      </c>
      <c r="C669" s="9" t="str">
        <f>IFERROR(__xludf.DUMMYFUNCTION("""COMPUTED_VALUE"""),"ANTHONY")</f>
        <v>ANTHONY</v>
      </c>
      <c r="D669" s="9"/>
      <c r="E669" s="9" t="str">
        <f>IFERROR(__xludf.DUMMYFUNCTION("""COMPUTED_VALUE"""),"ARNOLD SANTOS")</f>
        <v>ARNOLD SANTOS</v>
      </c>
      <c r="F669" s="133"/>
      <c r="G669" s="13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60">
        <f t="shared" si="1"/>
        <v>664</v>
      </c>
      <c r="B670" s="9" t="str">
        <f>IFERROR(__xludf.DUMMYFUNCTION("""COMPUTED_VALUE"""),"SANTOS")</f>
        <v>SANTOS</v>
      </c>
      <c r="C670" s="9" t="str">
        <f>IFERROR(__xludf.DUMMYFUNCTION("""COMPUTED_VALUE"""),"ANTONETTE")</f>
        <v>ANTONETTE</v>
      </c>
      <c r="D670" s="9"/>
      <c r="E670" s="9" t="str">
        <f>IFERROR(__xludf.DUMMYFUNCTION("""COMPUTED_VALUE"""),"ARNOLD SANTOS")</f>
        <v>ARNOLD SANTOS</v>
      </c>
      <c r="F670" s="133"/>
      <c r="G670" s="13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60">
        <f t="shared" si="1"/>
        <v>665</v>
      </c>
      <c r="B671" s="9" t="str">
        <f>IFERROR(__xludf.DUMMYFUNCTION("""COMPUTED_VALUE"""),"SANTOS")</f>
        <v>SANTOS</v>
      </c>
      <c r="C671" s="9" t="str">
        <f>IFERROR(__xludf.DUMMYFUNCTION("""COMPUTED_VALUE"""),"ANDRIANE")</f>
        <v>ANDRIANE</v>
      </c>
      <c r="D671" s="9"/>
      <c r="E671" s="9" t="str">
        <f>IFERROR(__xludf.DUMMYFUNCTION("""COMPUTED_VALUE"""),"ARNOLD SANTOS")</f>
        <v>ARNOLD SANTOS</v>
      </c>
      <c r="F671" s="133"/>
      <c r="G671" s="13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60">
        <f t="shared" si="1"/>
        <v>666</v>
      </c>
      <c r="B672" s="9" t="str">
        <f>IFERROR(__xludf.DUMMYFUNCTION("""COMPUTED_VALUE"""),"VISITACION")</f>
        <v>VISITACION</v>
      </c>
      <c r="C672" s="9" t="str">
        <f>IFERROR(__xludf.DUMMYFUNCTION("""COMPUTED_VALUE"""),"ANGEL  ")</f>
        <v>ANGEL  </v>
      </c>
      <c r="D672" s="9" t="str">
        <f>IFERROR(__xludf.DUMMYFUNCTION("""COMPUTED_VALUE"""),"G.")</f>
        <v>G.</v>
      </c>
      <c r="E672" s="9" t="str">
        <f>IFERROR(__xludf.DUMMYFUNCTION("""COMPUTED_VALUE"""),"PRECELITA G. VISITACION")</f>
        <v>PRECELITA G. VISITACION</v>
      </c>
      <c r="F672" s="133"/>
      <c r="G672" s="13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60">
        <f t="shared" si="1"/>
        <v>667</v>
      </c>
      <c r="B673" s="9" t="str">
        <f>IFERROR(__xludf.DUMMYFUNCTION("""COMPUTED_VALUE"""),"GUATES")</f>
        <v>GUATES</v>
      </c>
      <c r="C673" s="9" t="str">
        <f>IFERROR(__xludf.DUMMYFUNCTION("""COMPUTED_VALUE"""),"KEVIN LESTER")</f>
        <v>KEVIN LESTER</v>
      </c>
      <c r="D673" s="9" t="str">
        <f>IFERROR(__xludf.DUMMYFUNCTION("""COMPUTED_VALUE"""),"B.")</f>
        <v>B.</v>
      </c>
      <c r="E673" s="9" t="str">
        <f>IFERROR(__xludf.DUMMYFUNCTION("""COMPUTED_VALUE"""),"DANILO GUATES")</f>
        <v>DANILO GUATES</v>
      </c>
      <c r="F673" s="133"/>
      <c r="G673" s="13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60">
        <f t="shared" si="1"/>
        <v>668</v>
      </c>
      <c r="B674" s="9" t="str">
        <f>IFERROR(__xludf.DUMMYFUNCTION("""COMPUTED_VALUE"""),"REÑA")</f>
        <v>REÑA</v>
      </c>
      <c r="C674" s="9" t="str">
        <f>IFERROR(__xludf.DUMMYFUNCTION("""COMPUTED_VALUE"""),"ZANE CAIDEN")</f>
        <v>ZANE CAIDEN</v>
      </c>
      <c r="D674" s="9" t="str">
        <f>IFERROR(__xludf.DUMMYFUNCTION("""COMPUTED_VALUE"""),"D.")</f>
        <v>D.</v>
      </c>
      <c r="E674" s="9" t="str">
        <f>IFERROR(__xludf.DUMMYFUNCTION("""COMPUTED_VALUE"""),"KENNETH A. REÑA")</f>
        <v>KENNETH A. REÑA</v>
      </c>
      <c r="F674" s="133"/>
      <c r="G674" s="13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60">
        <f t="shared" si="1"/>
        <v>669</v>
      </c>
      <c r="B675" s="9" t="str">
        <f>IFERROR(__xludf.DUMMYFUNCTION("""COMPUTED_VALUE"""),"ALONZO")</f>
        <v>ALONZO</v>
      </c>
      <c r="C675" s="9" t="str">
        <f>IFERROR(__xludf.DUMMYFUNCTION("""COMPUTED_VALUE"""),"MARK ANTHONY")</f>
        <v>MARK ANTHONY</v>
      </c>
      <c r="D675" s="9" t="str">
        <f>IFERROR(__xludf.DUMMYFUNCTION("""COMPUTED_VALUE"""),"D.")</f>
        <v>D.</v>
      </c>
      <c r="E675" s="9" t="str">
        <f>IFERROR(__xludf.DUMMYFUNCTION("""COMPUTED_VALUE"""),"FERDINAND G. ALONZO")</f>
        <v>FERDINAND G. ALONZO</v>
      </c>
      <c r="F675" s="133"/>
      <c r="G675" s="13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60">
        <f t="shared" si="1"/>
        <v>670</v>
      </c>
      <c r="B676" s="9" t="str">
        <f>IFERROR(__xludf.DUMMYFUNCTION("""COMPUTED_VALUE"""),"ALONZO")</f>
        <v>ALONZO</v>
      </c>
      <c r="C676" s="9" t="str">
        <f>IFERROR(__xludf.DUMMYFUNCTION("""COMPUTED_VALUE"""),"MICHAEL")</f>
        <v>MICHAEL</v>
      </c>
      <c r="D676" s="9" t="str">
        <f>IFERROR(__xludf.DUMMYFUNCTION("""COMPUTED_VALUE"""),"D.")</f>
        <v>D.</v>
      </c>
      <c r="E676" s="9" t="str">
        <f>IFERROR(__xludf.DUMMYFUNCTION("""COMPUTED_VALUE"""),"FERDINAND G. ALONZO")</f>
        <v>FERDINAND G. ALONZO</v>
      </c>
      <c r="F676" s="133"/>
      <c r="G676" s="13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60">
        <f t="shared" si="1"/>
        <v>671</v>
      </c>
      <c r="B677" s="9" t="str">
        <f>IFERROR(__xludf.DUMMYFUNCTION("""COMPUTED_VALUE"""),"ALONZO")</f>
        <v>ALONZO</v>
      </c>
      <c r="C677" s="9" t="str">
        <f>IFERROR(__xludf.DUMMYFUNCTION("""COMPUTED_VALUE"""),"MARIELL")</f>
        <v>MARIELL</v>
      </c>
      <c r="D677" s="9" t="str">
        <f>IFERROR(__xludf.DUMMYFUNCTION("""COMPUTED_VALUE"""),"D.")</f>
        <v>D.</v>
      </c>
      <c r="E677" s="9" t="str">
        <f>IFERROR(__xludf.DUMMYFUNCTION("""COMPUTED_VALUE"""),"FERDINAND G. ALONZO")</f>
        <v>FERDINAND G. ALONZO</v>
      </c>
      <c r="F677" s="133"/>
      <c r="G677" s="13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60">
        <f t="shared" si="1"/>
        <v>672</v>
      </c>
      <c r="B678" s="9" t="str">
        <f>IFERROR(__xludf.DUMMYFUNCTION("""COMPUTED_VALUE"""),"ALONZO")</f>
        <v>ALONZO</v>
      </c>
      <c r="C678" s="9" t="str">
        <f>IFERROR(__xludf.DUMMYFUNCTION("""COMPUTED_VALUE"""),"MARVIN")</f>
        <v>MARVIN</v>
      </c>
      <c r="D678" s="9" t="str">
        <f>IFERROR(__xludf.DUMMYFUNCTION("""COMPUTED_VALUE"""),"D.")</f>
        <v>D.</v>
      </c>
      <c r="E678" s="9" t="str">
        <f>IFERROR(__xludf.DUMMYFUNCTION("""COMPUTED_VALUE"""),"FERDINAND G. ALONZO")</f>
        <v>FERDINAND G. ALONZO</v>
      </c>
      <c r="F678" s="133"/>
      <c r="G678" s="13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60">
        <f t="shared" si="1"/>
        <v>673</v>
      </c>
      <c r="B679" s="9" t="str">
        <f>IFERROR(__xludf.DUMMYFUNCTION("""COMPUTED_VALUE"""),"ALONZO")</f>
        <v>ALONZO</v>
      </c>
      <c r="C679" s="9" t="str">
        <f>IFERROR(__xludf.DUMMYFUNCTION("""COMPUTED_VALUE"""),"MELISSA")</f>
        <v>MELISSA</v>
      </c>
      <c r="D679" s="9" t="str">
        <f>IFERROR(__xludf.DUMMYFUNCTION("""COMPUTED_VALUE"""),"D.")</f>
        <v>D.</v>
      </c>
      <c r="E679" s="9" t="str">
        <f>IFERROR(__xludf.DUMMYFUNCTION("""COMPUTED_VALUE"""),"FERDINAND G. ALONZO")</f>
        <v>FERDINAND G. ALONZO</v>
      </c>
      <c r="F679" s="133"/>
      <c r="G679" s="13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60">
        <f t="shared" si="1"/>
        <v>674</v>
      </c>
      <c r="B680" s="9" t="str">
        <f>IFERROR(__xludf.DUMMYFUNCTION("""COMPUTED_VALUE"""),"REÑA")</f>
        <v>REÑA</v>
      </c>
      <c r="C680" s="9" t="str">
        <f>IFERROR(__xludf.DUMMYFUNCTION("""COMPUTED_VALUE"""),"KRYSTEL")</f>
        <v>KRYSTEL</v>
      </c>
      <c r="D680" s="9" t="str">
        <f>IFERROR(__xludf.DUMMYFUNCTION("""COMPUTED_VALUE"""),"A.")</f>
        <v>A.</v>
      </c>
      <c r="E680" s="9" t="str">
        <f>IFERROR(__xludf.DUMMYFUNCTION("""COMPUTED_VALUE"""),"EDILBERTO B. REÑA")</f>
        <v>EDILBERTO B. REÑA</v>
      </c>
      <c r="F680" s="133"/>
      <c r="G680" s="13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60">
        <f t="shared" si="1"/>
        <v>675</v>
      </c>
      <c r="B681" s="9" t="str">
        <f>IFERROR(__xludf.DUMMYFUNCTION("""COMPUTED_VALUE"""),"REÑA")</f>
        <v>REÑA</v>
      </c>
      <c r="C681" s="9" t="str">
        <f>IFERROR(__xludf.DUMMYFUNCTION("""COMPUTED_VALUE"""),"KENNARD")</f>
        <v>KENNARD</v>
      </c>
      <c r="D681" s="9" t="str">
        <f>IFERROR(__xludf.DUMMYFUNCTION("""COMPUTED_VALUE"""),"A.")</f>
        <v>A.</v>
      </c>
      <c r="E681" s="9" t="str">
        <f>IFERROR(__xludf.DUMMYFUNCTION("""COMPUTED_VALUE"""),"EDILBERTO B. REÑA")</f>
        <v>EDILBERTO B. REÑA</v>
      </c>
      <c r="F681" s="133"/>
      <c r="G681" s="13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60">
        <f t="shared" si="1"/>
        <v>676</v>
      </c>
      <c r="B682" s="9" t="str">
        <f>IFERROR(__xludf.DUMMYFUNCTION("""COMPUTED_VALUE"""),"ALONZO")</f>
        <v>ALONZO</v>
      </c>
      <c r="C682" s="9" t="str">
        <f>IFERROR(__xludf.DUMMYFUNCTION("""COMPUTED_VALUE"""),"ALEXANDER")</f>
        <v>ALEXANDER</v>
      </c>
      <c r="D682" s="9"/>
      <c r="E682" s="9" t="str">
        <f>IFERROR(__xludf.DUMMYFUNCTION("""COMPUTED_VALUE"""),"CONCEPCION ALONZO")</f>
        <v>CONCEPCION ALONZO</v>
      </c>
      <c r="F682" s="133"/>
      <c r="G682" s="13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60">
        <f t="shared" si="1"/>
        <v>677</v>
      </c>
      <c r="B683" s="9" t="str">
        <f>IFERROR(__xludf.DUMMYFUNCTION("""COMPUTED_VALUE"""),"DELNOZO")</f>
        <v>DELNOZO</v>
      </c>
      <c r="C683" s="9" t="str">
        <f>IFERROR(__xludf.DUMMYFUNCTION("""COMPUTED_VALUE"""),"LOVELY ROSE")</f>
        <v>LOVELY ROSE</v>
      </c>
      <c r="D683" s="9" t="str">
        <f>IFERROR(__xludf.DUMMYFUNCTION("""COMPUTED_VALUE"""),"A.")</f>
        <v>A.</v>
      </c>
      <c r="E683" s="9" t="str">
        <f>IFERROR(__xludf.DUMMYFUNCTION("""COMPUTED_VALUE"""),"CRESTITO BAGUNAS")</f>
        <v>CRESTITO BAGUNAS</v>
      </c>
      <c r="F683" s="133"/>
      <c r="G683" s="13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60">
        <f t="shared" si="1"/>
        <v>678</v>
      </c>
      <c r="B684" s="9" t="str">
        <f>IFERROR(__xludf.DUMMYFUNCTION("""COMPUTED_VALUE"""),"BAGUNAS")</f>
        <v>BAGUNAS</v>
      </c>
      <c r="C684" s="9" t="str">
        <f>IFERROR(__xludf.DUMMYFUNCTION("""COMPUTED_VALUE"""),"CHRISTIAN")</f>
        <v>CHRISTIAN</v>
      </c>
      <c r="D684" s="9" t="str">
        <f>IFERROR(__xludf.DUMMYFUNCTION("""COMPUTED_VALUE"""),"A.")</f>
        <v>A.</v>
      </c>
      <c r="E684" s="9" t="str">
        <f>IFERROR(__xludf.DUMMYFUNCTION("""COMPUTED_VALUE"""),"CRESTITO BAGUNAS")</f>
        <v>CRESTITO BAGUNAS</v>
      </c>
      <c r="F684" s="133"/>
      <c r="G684" s="13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60">
        <f t="shared" si="1"/>
        <v>679</v>
      </c>
      <c r="B685" s="9" t="str">
        <f>IFERROR(__xludf.DUMMYFUNCTION("""COMPUTED_VALUE"""),"BAGUNAS")</f>
        <v>BAGUNAS</v>
      </c>
      <c r="C685" s="9" t="str">
        <f>IFERROR(__xludf.DUMMYFUNCTION("""COMPUTED_VALUE"""),"CHRISTOPHER")</f>
        <v>CHRISTOPHER</v>
      </c>
      <c r="D685" s="9" t="str">
        <f>IFERROR(__xludf.DUMMYFUNCTION("""COMPUTED_VALUE"""),"A.")</f>
        <v>A.</v>
      </c>
      <c r="E685" s="9" t="str">
        <f>IFERROR(__xludf.DUMMYFUNCTION("""COMPUTED_VALUE"""),"CRESTITO BAGUNAS")</f>
        <v>CRESTITO BAGUNAS</v>
      </c>
      <c r="F685" s="133"/>
      <c r="G685" s="13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60">
        <f t="shared" si="1"/>
        <v>680</v>
      </c>
      <c r="B686" s="9" t="str">
        <f>IFERROR(__xludf.DUMMYFUNCTION("""COMPUTED_VALUE"""),"PALLONES")</f>
        <v>PALLONES</v>
      </c>
      <c r="C686" s="9" t="str">
        <f>IFERROR(__xludf.DUMMYFUNCTION("""COMPUTED_VALUE"""),"CAMILLE")</f>
        <v>CAMILLE</v>
      </c>
      <c r="D686" s="9" t="str">
        <f>IFERROR(__xludf.DUMMYFUNCTION("""COMPUTED_VALUE"""),"O.")</f>
        <v>O.</v>
      </c>
      <c r="E686" s="9" t="str">
        <f>IFERROR(__xludf.DUMMYFUNCTION("""COMPUTED_VALUE"""),"JHONIE A. PALLONES")</f>
        <v>JHONIE A. PALLONES</v>
      </c>
      <c r="F686" s="133"/>
      <c r="G686" s="13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60">
        <f t="shared" si="1"/>
        <v>681</v>
      </c>
      <c r="B687" s="9" t="str">
        <f>IFERROR(__xludf.DUMMYFUNCTION("""COMPUTED_VALUE"""),"PALLONES")</f>
        <v>PALLONES</v>
      </c>
      <c r="C687" s="9" t="str">
        <f>IFERROR(__xludf.DUMMYFUNCTION("""COMPUTED_VALUE"""),"JHONE CARLO")</f>
        <v>JHONE CARLO</v>
      </c>
      <c r="D687" s="9" t="str">
        <f>IFERROR(__xludf.DUMMYFUNCTION("""COMPUTED_VALUE"""),"O.")</f>
        <v>O.</v>
      </c>
      <c r="E687" s="9" t="str">
        <f>IFERROR(__xludf.DUMMYFUNCTION("""COMPUTED_VALUE"""),"JHONIE A. PALLONES")</f>
        <v>JHONIE A. PALLONES</v>
      </c>
      <c r="F687" s="133"/>
      <c r="G687" s="13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60">
        <f t="shared" si="1"/>
        <v>682</v>
      </c>
      <c r="B688" s="9" t="str">
        <f>IFERROR(__xludf.DUMMYFUNCTION("""COMPUTED_VALUE"""),"BALMACEDA")</f>
        <v>BALMACEDA</v>
      </c>
      <c r="C688" s="9" t="str">
        <f>IFERROR(__xludf.DUMMYFUNCTION("""COMPUTED_VALUE"""),"MARY JANE")</f>
        <v>MARY JANE</v>
      </c>
      <c r="D688" s="9"/>
      <c r="E688" s="9" t="str">
        <f>IFERROR(__xludf.DUMMYFUNCTION("""COMPUTED_VALUE"""),"JULIO BALMACEDA")</f>
        <v>JULIO BALMACEDA</v>
      </c>
      <c r="F688" s="133"/>
      <c r="G688" s="13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60">
        <f t="shared" si="1"/>
        <v>683</v>
      </c>
      <c r="B689" s="9" t="str">
        <f>IFERROR(__xludf.DUMMYFUNCTION("""COMPUTED_VALUE"""),"BALMACEDA")</f>
        <v>BALMACEDA</v>
      </c>
      <c r="C689" s="9" t="str">
        <f>IFERROR(__xludf.DUMMYFUNCTION("""COMPUTED_VALUE"""),"MARIELL")</f>
        <v>MARIELL</v>
      </c>
      <c r="D689" s="9"/>
      <c r="E689" s="9" t="str">
        <f>IFERROR(__xludf.DUMMYFUNCTION("""COMPUTED_VALUE"""),"JULIO BALMACEDA")</f>
        <v>JULIO BALMACEDA</v>
      </c>
      <c r="F689" s="133"/>
      <c r="G689" s="13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60">
        <f t="shared" si="1"/>
        <v>684</v>
      </c>
      <c r="B690" s="9" t="str">
        <f>IFERROR(__xludf.DUMMYFUNCTION("""COMPUTED_VALUE"""),"MARANAN")</f>
        <v>MARANAN</v>
      </c>
      <c r="C690" s="9" t="str">
        <f>IFERROR(__xludf.DUMMYFUNCTION("""COMPUTED_VALUE"""),"ASHLEY")</f>
        <v>ASHLEY</v>
      </c>
      <c r="D690" s="9" t="str">
        <f>IFERROR(__xludf.DUMMYFUNCTION("""COMPUTED_VALUE"""),"P.")</f>
        <v>P.</v>
      </c>
      <c r="E690" s="9" t="str">
        <f>IFERROR(__xludf.DUMMYFUNCTION("""COMPUTED_VALUE"""),"HECTOR L. MARANAN")</f>
        <v>HECTOR L. MARANAN</v>
      </c>
      <c r="F690" s="133"/>
      <c r="G690" s="13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60">
        <f t="shared" si="1"/>
        <v>685</v>
      </c>
      <c r="B691" s="9" t="str">
        <f>IFERROR(__xludf.DUMMYFUNCTION("""COMPUTED_VALUE"""),"MARANAN")</f>
        <v>MARANAN</v>
      </c>
      <c r="C691" s="9" t="str">
        <f>IFERROR(__xludf.DUMMYFUNCTION("""COMPUTED_VALUE"""),"KURT ANDREW")</f>
        <v>KURT ANDREW</v>
      </c>
      <c r="D691" s="9" t="str">
        <f>IFERROR(__xludf.DUMMYFUNCTION("""COMPUTED_VALUE"""),"P.")</f>
        <v>P.</v>
      </c>
      <c r="E691" s="9" t="str">
        <f>IFERROR(__xludf.DUMMYFUNCTION("""COMPUTED_VALUE"""),"HECTOR L. MARANAN")</f>
        <v>HECTOR L. MARANAN</v>
      </c>
      <c r="F691" s="133"/>
      <c r="G691" s="13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60">
        <f t="shared" si="1"/>
        <v>686</v>
      </c>
      <c r="B692" s="9" t="str">
        <f>IFERROR(__xludf.DUMMYFUNCTION("""COMPUTED_VALUE"""),"PASCUAL")</f>
        <v>PASCUAL</v>
      </c>
      <c r="C692" s="9" t="str">
        <f>IFERROR(__xludf.DUMMYFUNCTION("""COMPUTED_VALUE"""),"GERELL LANCE")</f>
        <v>GERELL LANCE</v>
      </c>
      <c r="D692" s="9"/>
      <c r="E692" s="9" t="str">
        <f>IFERROR(__xludf.DUMMYFUNCTION("""COMPUTED_VALUE"""),"JENNIFER G. PASCUAL")</f>
        <v>JENNIFER G. PASCUAL</v>
      </c>
      <c r="F692" s="133"/>
      <c r="G692" s="13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60">
        <f t="shared" si="1"/>
        <v>687</v>
      </c>
      <c r="B693" s="9" t="str">
        <f>IFERROR(__xludf.DUMMYFUNCTION("""COMPUTED_VALUE"""),"PASCUAL")</f>
        <v>PASCUAL</v>
      </c>
      <c r="C693" s="9" t="str">
        <f>IFERROR(__xludf.DUMMYFUNCTION("""COMPUTED_VALUE"""),"JANICE")</f>
        <v>JANICE</v>
      </c>
      <c r="D693" s="9"/>
      <c r="E693" s="9" t="str">
        <f>IFERROR(__xludf.DUMMYFUNCTION("""COMPUTED_VALUE"""),"CYNTHIA G. PASCUAL")</f>
        <v>CYNTHIA G. PASCUAL</v>
      </c>
      <c r="F693" s="133"/>
      <c r="G693" s="13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60">
        <f t="shared" si="1"/>
        <v>688</v>
      </c>
      <c r="B694" s="9" t="str">
        <f>IFERROR(__xludf.DUMMYFUNCTION("""COMPUTED_VALUE"""),"PASCUAL")</f>
        <v>PASCUAL</v>
      </c>
      <c r="C694" s="9" t="str">
        <f>IFERROR(__xludf.DUMMYFUNCTION("""COMPUTED_VALUE"""),"JAY")</f>
        <v>JAY</v>
      </c>
      <c r="D694" s="9"/>
      <c r="E694" s="9" t="str">
        <f>IFERROR(__xludf.DUMMYFUNCTION("""COMPUTED_VALUE"""),"CYNTHIA G. PASCUAL")</f>
        <v>CYNTHIA G. PASCUAL</v>
      </c>
      <c r="F694" s="133"/>
      <c r="G694" s="13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60">
        <f t="shared" si="1"/>
        <v>689</v>
      </c>
      <c r="B695" s="9" t="str">
        <f>IFERROR(__xludf.DUMMYFUNCTION("""COMPUTED_VALUE"""),"BROBIO")</f>
        <v>BROBIO</v>
      </c>
      <c r="C695" s="9" t="str">
        <f>IFERROR(__xludf.DUMMYFUNCTION("""COMPUTED_VALUE"""),"AARON CHRISTIAN")</f>
        <v>AARON CHRISTIAN</v>
      </c>
      <c r="D695" s="9"/>
      <c r="E695" s="9" t="str">
        <f>IFERROR(__xludf.DUMMYFUNCTION("""COMPUTED_VALUE"""),"JONALYN PASCUAL")</f>
        <v>JONALYN PASCUAL</v>
      </c>
      <c r="F695" s="133"/>
      <c r="G695" s="13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60">
        <f t="shared" si="1"/>
        <v>690</v>
      </c>
      <c r="B696" s="9" t="str">
        <f>IFERROR(__xludf.DUMMYFUNCTION("""COMPUTED_VALUE"""),"BROBIO")</f>
        <v>BROBIO</v>
      </c>
      <c r="C696" s="9" t="str">
        <f>IFERROR(__xludf.DUMMYFUNCTION("""COMPUTED_VALUE"""),"CHRISTINE")</f>
        <v>CHRISTINE</v>
      </c>
      <c r="D696" s="9"/>
      <c r="E696" s="9" t="str">
        <f>IFERROR(__xludf.DUMMYFUNCTION("""COMPUTED_VALUE"""),"JONALYN PASCUAL")</f>
        <v>JONALYN PASCUAL</v>
      </c>
      <c r="F696" s="133"/>
      <c r="G696" s="13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60">
        <f t="shared" si="1"/>
        <v>691</v>
      </c>
      <c r="B697" s="9" t="str">
        <f>IFERROR(__xludf.DUMMYFUNCTION("""COMPUTED_VALUE"""),"ENGALAN")</f>
        <v>ENGALAN</v>
      </c>
      <c r="C697" s="9" t="str">
        <f>IFERROR(__xludf.DUMMYFUNCTION("""COMPUTED_VALUE"""),"ZHAVIA ")</f>
        <v>ZHAVIA </v>
      </c>
      <c r="D697" s="9" t="str">
        <f>IFERROR(__xludf.DUMMYFUNCTION("""COMPUTED_VALUE"""),"O.")</f>
        <v>O.</v>
      </c>
      <c r="E697" s="9" t="str">
        <f>IFERROR(__xludf.DUMMYFUNCTION("""COMPUTED_VALUE"""),"JAMIL ANTHONY M. ENGALAN")</f>
        <v>JAMIL ANTHONY M. ENGALAN</v>
      </c>
      <c r="F697" s="133"/>
      <c r="G697" s="13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60">
        <f t="shared" si="1"/>
        <v>692</v>
      </c>
      <c r="B698" s="9" t="str">
        <f>IFERROR(__xludf.DUMMYFUNCTION("""COMPUTED_VALUE"""),"OREJANA")</f>
        <v>OREJANA</v>
      </c>
      <c r="C698" s="9" t="str">
        <f>IFERROR(__xludf.DUMMYFUNCTION("""COMPUTED_VALUE"""),"ANABELLE BEATRIZ")</f>
        <v>ANABELLE BEATRIZ</v>
      </c>
      <c r="D698" s="9"/>
      <c r="E698" s="9" t="str">
        <f>IFERROR(__xludf.DUMMYFUNCTION("""COMPUTED_VALUE"""),"GUELMER B. OREJANA")</f>
        <v>GUELMER B. OREJANA</v>
      </c>
      <c r="F698" s="133"/>
      <c r="G698" s="13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60">
        <f t="shared" si="1"/>
        <v>693</v>
      </c>
      <c r="B699" s="9" t="str">
        <f>IFERROR(__xludf.DUMMYFUNCTION("""COMPUTED_VALUE"""),"OREJANA")</f>
        <v>OREJANA</v>
      </c>
      <c r="C699" s="9" t="str">
        <f>IFERROR(__xludf.DUMMYFUNCTION("""COMPUTED_VALUE"""),"ZEKE ")</f>
        <v>ZEKE </v>
      </c>
      <c r="D699" s="9"/>
      <c r="E699" s="9" t="str">
        <f>IFERROR(__xludf.DUMMYFUNCTION("""COMPUTED_VALUE"""),"GUELMER B. OREJANA")</f>
        <v>GUELMER B. OREJANA</v>
      </c>
      <c r="F699" s="133"/>
      <c r="G699" s="13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60">
        <f t="shared" si="1"/>
        <v>694</v>
      </c>
      <c r="B700" s="9" t="str">
        <f>IFERROR(__xludf.DUMMYFUNCTION("""COMPUTED_VALUE"""),"OREJANA")</f>
        <v>OREJANA</v>
      </c>
      <c r="C700" s="9" t="str">
        <f>IFERROR(__xludf.DUMMYFUNCTION("""COMPUTED_VALUE"""),"SHERLY")</f>
        <v>SHERLY</v>
      </c>
      <c r="D700" s="9" t="str">
        <f>IFERROR(__xludf.DUMMYFUNCTION("""COMPUTED_VALUE"""),"B.")</f>
        <v>B.</v>
      </c>
      <c r="E700" s="9" t="str">
        <f>IFERROR(__xludf.DUMMYFUNCTION("""COMPUTED_VALUE"""),"MIGUEL C. OREJANA")</f>
        <v>MIGUEL C. OREJANA</v>
      </c>
      <c r="F700" s="133"/>
      <c r="G700" s="13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60">
        <f t="shared" si="1"/>
        <v>695</v>
      </c>
      <c r="B701" s="9" t="str">
        <f>IFERROR(__xludf.DUMMYFUNCTION("""COMPUTED_VALUE"""),"OREJANA")</f>
        <v>OREJANA</v>
      </c>
      <c r="C701" s="9" t="str">
        <f>IFERROR(__xludf.DUMMYFUNCTION("""COMPUTED_VALUE"""),"JERRY")</f>
        <v>JERRY</v>
      </c>
      <c r="D701" s="9" t="str">
        <f>IFERROR(__xludf.DUMMYFUNCTION("""COMPUTED_VALUE"""),"B.")</f>
        <v>B.</v>
      </c>
      <c r="E701" s="9" t="str">
        <f>IFERROR(__xludf.DUMMYFUNCTION("""COMPUTED_VALUE"""),"MIGUEL C. OREJANA")</f>
        <v>MIGUEL C. OREJANA</v>
      </c>
      <c r="F701" s="133"/>
      <c r="G701" s="13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60">
        <f t="shared" si="1"/>
        <v>696</v>
      </c>
      <c r="B702" s="9" t="str">
        <f>IFERROR(__xludf.DUMMYFUNCTION("""COMPUTED_VALUE"""),"OREJANA")</f>
        <v>OREJANA</v>
      </c>
      <c r="C702" s="9" t="str">
        <f>IFERROR(__xludf.DUMMYFUNCTION("""COMPUTED_VALUE"""),"LYNYRD")</f>
        <v>LYNYRD</v>
      </c>
      <c r="D702" s="9" t="str">
        <f>IFERROR(__xludf.DUMMYFUNCTION("""COMPUTED_VALUE"""),"B.")</f>
        <v>B.</v>
      </c>
      <c r="E702" s="9" t="str">
        <f>IFERROR(__xludf.DUMMYFUNCTION("""COMPUTED_VALUE"""),"MIGUEL C. OREJANA")</f>
        <v>MIGUEL C. OREJANA</v>
      </c>
      <c r="F702" s="133"/>
      <c r="G702" s="13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60">
        <f t="shared" si="1"/>
        <v>697</v>
      </c>
      <c r="B703" s="9" t="str">
        <f>IFERROR(__xludf.DUMMYFUNCTION("""COMPUTED_VALUE"""),"QUIÑONES")</f>
        <v>QUIÑONES</v>
      </c>
      <c r="C703" s="9" t="str">
        <f>IFERROR(__xludf.DUMMYFUNCTION("""COMPUTED_VALUE"""),"JULRAN")</f>
        <v>JULRAN</v>
      </c>
      <c r="D703" s="9"/>
      <c r="E703" s="9" t="str">
        <f>IFERROR(__xludf.DUMMYFUNCTION("""COMPUTED_VALUE"""),"CARLITO C. QUIÑONES")</f>
        <v>CARLITO C. QUIÑONES</v>
      </c>
      <c r="F703" s="133"/>
      <c r="G703" s="13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60">
        <f t="shared" si="1"/>
        <v>698</v>
      </c>
      <c r="B704" s="9" t="str">
        <f>IFERROR(__xludf.DUMMYFUNCTION("""COMPUTED_VALUE"""),"QUIÑONES")</f>
        <v>QUIÑONES</v>
      </c>
      <c r="C704" s="9" t="str">
        <f>IFERROR(__xludf.DUMMYFUNCTION("""COMPUTED_VALUE"""),"JHOSUA")</f>
        <v>JHOSUA</v>
      </c>
      <c r="D704" s="9"/>
      <c r="E704" s="9" t="str">
        <f>IFERROR(__xludf.DUMMYFUNCTION("""COMPUTED_VALUE"""),"CARLITO C. QUIÑONES")</f>
        <v>CARLITO C. QUIÑONES</v>
      </c>
      <c r="F704" s="133"/>
      <c r="G704" s="13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60">
        <f t="shared" si="1"/>
        <v>699</v>
      </c>
      <c r="B705" s="9" t="str">
        <f>IFERROR(__xludf.DUMMYFUNCTION("""COMPUTED_VALUE"""),"PAJO")</f>
        <v>PAJO</v>
      </c>
      <c r="C705" s="9" t="str">
        <f>IFERROR(__xludf.DUMMYFUNCTION("""COMPUTED_VALUE"""),"LIAN MARIZ")</f>
        <v>LIAN MARIZ</v>
      </c>
      <c r="D705" s="9" t="str">
        <f>IFERROR(__xludf.DUMMYFUNCTION("""COMPUTED_VALUE"""),"Q.")</f>
        <v>Q.</v>
      </c>
      <c r="E705" s="9" t="str">
        <f>IFERROR(__xludf.DUMMYFUNCTION("""COMPUTED_VALUE"""),"MANOLO V. PAJO")</f>
        <v>MANOLO V. PAJO</v>
      </c>
      <c r="F705" s="133"/>
      <c r="G705" s="13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60">
        <f t="shared" si="1"/>
        <v>700</v>
      </c>
      <c r="B706" s="9" t="str">
        <f>IFERROR(__xludf.DUMMYFUNCTION("""COMPUTED_VALUE"""),"DELA CRUZ")</f>
        <v>DELA CRUZ</v>
      </c>
      <c r="C706" s="9" t="str">
        <f>IFERROR(__xludf.DUMMYFUNCTION("""COMPUTED_VALUE"""),"JESSICA")</f>
        <v>JESSICA</v>
      </c>
      <c r="D706" s="9"/>
      <c r="E706" s="9" t="str">
        <f>IFERROR(__xludf.DUMMYFUNCTION("""COMPUTED_VALUE"""),"LEVE C. DELA CRUZ")</f>
        <v>LEVE C. DELA CRUZ</v>
      </c>
      <c r="F706" s="133"/>
      <c r="G706" s="13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60">
        <f t="shared" si="1"/>
        <v>701</v>
      </c>
      <c r="B707" s="9" t="str">
        <f>IFERROR(__xludf.DUMMYFUNCTION("""COMPUTED_VALUE"""),"DELA CRUZ")</f>
        <v>DELA CRUZ</v>
      </c>
      <c r="C707" s="9" t="str">
        <f>IFERROR(__xludf.DUMMYFUNCTION("""COMPUTED_VALUE"""),"JESSON")</f>
        <v>JESSON</v>
      </c>
      <c r="D707" s="9"/>
      <c r="E707" s="9" t="str">
        <f>IFERROR(__xludf.DUMMYFUNCTION("""COMPUTED_VALUE"""),"LEVE C. DELA CRUZ")</f>
        <v>LEVE C. DELA CRUZ</v>
      </c>
      <c r="F707" s="133"/>
      <c r="G707" s="13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60">
        <f t="shared" si="1"/>
        <v>702</v>
      </c>
      <c r="B708" s="9" t="str">
        <f>IFERROR(__xludf.DUMMYFUNCTION("""COMPUTED_VALUE"""),"QUILAS")</f>
        <v>QUILAS</v>
      </c>
      <c r="C708" s="9" t="str">
        <f>IFERROR(__xludf.DUMMYFUNCTION("""COMPUTED_VALUE"""),"DAPHNIE")</f>
        <v>DAPHNIE</v>
      </c>
      <c r="D708" s="9"/>
      <c r="E708" s="9" t="str">
        <f>IFERROR(__xludf.DUMMYFUNCTION("""COMPUTED_VALUE"""),"SONNY OREJANA")</f>
        <v>SONNY OREJANA</v>
      </c>
      <c r="F708" s="133"/>
      <c r="G708" s="13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60">
        <f t="shared" si="1"/>
        <v>703</v>
      </c>
      <c r="B709" s="9" t="str">
        <f>IFERROR(__xludf.DUMMYFUNCTION("""COMPUTED_VALUE"""),"OREJANA")</f>
        <v>OREJANA</v>
      </c>
      <c r="C709" s="9" t="str">
        <f>IFERROR(__xludf.DUMMYFUNCTION("""COMPUTED_VALUE"""),"PHILIPPA")</f>
        <v>PHILIPPA</v>
      </c>
      <c r="D709" s="9"/>
      <c r="E709" s="9" t="str">
        <f>IFERROR(__xludf.DUMMYFUNCTION("""COMPUTED_VALUE"""),"SONNY OREJANA")</f>
        <v>SONNY OREJANA</v>
      </c>
      <c r="F709" s="133"/>
      <c r="G709" s="13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60">
        <f t="shared" si="1"/>
        <v>704</v>
      </c>
      <c r="B710" s="9" t="str">
        <f>IFERROR(__xludf.DUMMYFUNCTION("""COMPUTED_VALUE"""),"OREJANA")</f>
        <v>OREJANA</v>
      </c>
      <c r="C710" s="9" t="str">
        <f>IFERROR(__xludf.DUMMYFUNCTION("""COMPUTED_VALUE"""),"RISEN")</f>
        <v>RISEN</v>
      </c>
      <c r="D710" s="9"/>
      <c r="E710" s="9" t="str">
        <f>IFERROR(__xludf.DUMMYFUNCTION("""COMPUTED_VALUE"""),"SONNY OREJANA")</f>
        <v>SONNY OREJANA</v>
      </c>
      <c r="F710" s="133"/>
      <c r="G710" s="13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60">
        <f t="shared" si="1"/>
        <v>705</v>
      </c>
      <c r="B711" s="9" t="str">
        <f>IFERROR(__xludf.DUMMYFUNCTION("""COMPUTED_VALUE"""),"TEODOSIO")</f>
        <v>TEODOSIO</v>
      </c>
      <c r="C711" s="9" t="str">
        <f>IFERROR(__xludf.DUMMYFUNCTION("""COMPUTED_VALUE"""),"KASANDRA MAE")</f>
        <v>KASANDRA MAE</v>
      </c>
      <c r="D711" s="9"/>
      <c r="E711" s="9" t="str">
        <f>IFERROR(__xludf.DUMMYFUNCTION("""COMPUTED_VALUE"""),"JESUS TEODOSIO")</f>
        <v>JESUS TEODOSIO</v>
      </c>
      <c r="F711" s="133"/>
      <c r="G711" s="13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60">
        <f t="shared" si="1"/>
        <v>706</v>
      </c>
      <c r="B712" s="9" t="str">
        <f>IFERROR(__xludf.DUMMYFUNCTION("""COMPUTED_VALUE"""),"DELA CRUZ")</f>
        <v>DELA CRUZ</v>
      </c>
      <c r="C712" s="9" t="str">
        <f>IFERROR(__xludf.DUMMYFUNCTION("""COMPUTED_VALUE"""),"DRAKE MATTEW")</f>
        <v>DRAKE MATTEW</v>
      </c>
      <c r="D712" s="9"/>
      <c r="E712" s="9" t="str">
        <f>IFERROR(__xludf.DUMMYFUNCTION("""COMPUTED_VALUE"""),"JESSREL B. DELA CRUZ")</f>
        <v>JESSREL B. DELA CRUZ</v>
      </c>
      <c r="F712" s="133"/>
      <c r="G712" s="13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60">
        <f t="shared" si="1"/>
        <v>707</v>
      </c>
      <c r="B713" s="9" t="str">
        <f>IFERROR(__xludf.DUMMYFUNCTION("""COMPUTED_VALUE"""),"DELA CRUZ")</f>
        <v>DELA CRUZ</v>
      </c>
      <c r="C713" s="9" t="str">
        <f>IFERROR(__xludf.DUMMYFUNCTION("""COMPUTED_VALUE"""),"MARCOS DANIAL")</f>
        <v>MARCOS DANIAL</v>
      </c>
      <c r="D713" s="9"/>
      <c r="E713" s="9" t="str">
        <f>IFERROR(__xludf.DUMMYFUNCTION("""COMPUTED_VALUE"""),"JESSREL B. DELA CRUZ")</f>
        <v>JESSREL B. DELA CRUZ</v>
      </c>
      <c r="F713" s="133"/>
      <c r="G713" s="13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60">
        <f t="shared" si="1"/>
        <v>708</v>
      </c>
      <c r="B714" s="9" t="str">
        <f>IFERROR(__xludf.DUMMYFUNCTION("""COMPUTED_VALUE"""),"DELA CRUZ")</f>
        <v>DELA CRUZ</v>
      </c>
      <c r="C714" s="9" t="str">
        <f>IFERROR(__xludf.DUMMYFUNCTION("""COMPUTED_VALUE"""),"MICKYZE DAVED")</f>
        <v>MICKYZE DAVED</v>
      </c>
      <c r="D714" s="9"/>
      <c r="E714" s="9" t="str">
        <f>IFERROR(__xludf.DUMMYFUNCTION("""COMPUTED_VALUE"""),"JESSREL B. DELA CRUZ")</f>
        <v>JESSREL B. DELA CRUZ</v>
      </c>
      <c r="F714" s="133"/>
      <c r="G714" s="13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60">
        <f t="shared" si="1"/>
        <v>709</v>
      </c>
      <c r="B715" s="9" t="str">
        <f>IFERROR(__xludf.DUMMYFUNCTION("""COMPUTED_VALUE"""),"DELA CRUZ")</f>
        <v>DELA CRUZ</v>
      </c>
      <c r="C715" s="9" t="str">
        <f>IFERROR(__xludf.DUMMYFUNCTION("""COMPUTED_VALUE"""),"DRAW")</f>
        <v>DRAW</v>
      </c>
      <c r="D715" s="9"/>
      <c r="E715" s="9" t="str">
        <f>IFERROR(__xludf.DUMMYFUNCTION("""COMPUTED_VALUE"""),"JESSREL B. DELA CRUZ")</f>
        <v>JESSREL B. DELA CRUZ</v>
      </c>
      <c r="F715" s="133"/>
      <c r="G715" s="13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60">
        <f t="shared" si="1"/>
        <v>710</v>
      </c>
      <c r="B716" s="9" t="str">
        <f>IFERROR(__xludf.DUMMYFUNCTION("""COMPUTED_VALUE"""),"PAMAN")</f>
        <v>PAMAN</v>
      </c>
      <c r="C716" s="9" t="str">
        <f>IFERROR(__xludf.DUMMYFUNCTION("""COMPUTED_VALUE"""),"JANETTE")</f>
        <v>JANETTE</v>
      </c>
      <c r="D716" s="9"/>
      <c r="E716" s="9" t="str">
        <f>IFERROR(__xludf.DUMMYFUNCTION("""COMPUTED_VALUE"""),"NOEL A. AMBLOSA")</f>
        <v>NOEL A. AMBLOSA</v>
      </c>
      <c r="F716" s="133"/>
      <c r="G716" s="13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60">
        <f t="shared" si="1"/>
        <v>711</v>
      </c>
      <c r="B717" s="9" t="str">
        <f>IFERROR(__xludf.DUMMYFUNCTION("""COMPUTED_VALUE"""),"PAMAN")</f>
        <v>PAMAN</v>
      </c>
      <c r="C717" s="9" t="str">
        <f>IFERROR(__xludf.DUMMYFUNCTION("""COMPUTED_VALUE"""),"ALEA")</f>
        <v>ALEA</v>
      </c>
      <c r="D717" s="9"/>
      <c r="E717" s="9" t="str">
        <f>IFERROR(__xludf.DUMMYFUNCTION("""COMPUTED_VALUE"""),"NOEL A. AMBLOSA")</f>
        <v>NOEL A. AMBLOSA</v>
      </c>
      <c r="F717" s="133"/>
      <c r="G717" s="13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60">
        <f t="shared" si="1"/>
        <v>712</v>
      </c>
      <c r="B718" s="9" t="str">
        <f>IFERROR(__xludf.DUMMYFUNCTION("""COMPUTED_VALUE"""),"TANGO")</f>
        <v>TANGO</v>
      </c>
      <c r="C718" s="9" t="str">
        <f>IFERROR(__xludf.DUMMYFUNCTION("""COMPUTED_VALUE"""),"JOHN MARLON")</f>
        <v>JOHN MARLON</v>
      </c>
      <c r="D718" s="9"/>
      <c r="E718" s="9" t="str">
        <f>IFERROR(__xludf.DUMMYFUNCTION("""COMPUTED_VALUE"""),"RAFAEL VILLARBA")</f>
        <v>RAFAEL VILLARBA</v>
      </c>
      <c r="F718" s="133"/>
      <c r="G718" s="13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60">
        <f t="shared" si="1"/>
        <v>713</v>
      </c>
      <c r="B719" s="9" t="str">
        <f>IFERROR(__xludf.DUMMYFUNCTION("""COMPUTED_VALUE"""),"TANGO")</f>
        <v>TANGO</v>
      </c>
      <c r="C719" s="9" t="str">
        <f>IFERROR(__xludf.DUMMYFUNCTION("""COMPUTED_VALUE"""),"JHON CLARENCE")</f>
        <v>JHON CLARENCE</v>
      </c>
      <c r="D719" s="9"/>
      <c r="E719" s="9" t="str">
        <f>IFERROR(__xludf.DUMMYFUNCTION("""COMPUTED_VALUE"""),"RAFAEL VILLARBA")</f>
        <v>RAFAEL VILLARBA</v>
      </c>
      <c r="F719" s="133"/>
      <c r="G719" s="13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60">
        <f t="shared" si="1"/>
        <v>714</v>
      </c>
      <c r="B720" s="9" t="str">
        <f>IFERROR(__xludf.DUMMYFUNCTION("""COMPUTED_VALUE"""),"TANGO")</f>
        <v>TANGO</v>
      </c>
      <c r="C720" s="9" t="str">
        <f>IFERROR(__xludf.DUMMYFUNCTION("""COMPUTED_VALUE"""),"JENALYN")</f>
        <v>JENALYN</v>
      </c>
      <c r="D720" s="9"/>
      <c r="E720" s="9" t="str">
        <f>IFERROR(__xludf.DUMMYFUNCTION("""COMPUTED_VALUE"""),"RAFAEL VILLARBA")</f>
        <v>RAFAEL VILLARBA</v>
      </c>
      <c r="F720" s="133"/>
      <c r="G720" s="13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60">
        <f t="shared" si="1"/>
        <v>715</v>
      </c>
      <c r="B721" s="9" t="str">
        <f>IFERROR(__xludf.DUMMYFUNCTION("""COMPUTED_VALUE"""),"VILLARBA")</f>
        <v>VILLARBA</v>
      </c>
      <c r="C721" s="9" t="str">
        <f>IFERROR(__xludf.DUMMYFUNCTION("""COMPUTED_VALUE"""),"ELLAINA")</f>
        <v>ELLAINA</v>
      </c>
      <c r="D721" s="9"/>
      <c r="E721" s="9" t="str">
        <f>IFERROR(__xludf.DUMMYFUNCTION("""COMPUTED_VALUE"""),"RAFAEL VILLARBA")</f>
        <v>RAFAEL VILLARBA</v>
      </c>
      <c r="F721" s="133"/>
      <c r="G721" s="13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60">
        <f t="shared" si="1"/>
        <v>716</v>
      </c>
      <c r="B722" s="9" t="str">
        <f>IFERROR(__xludf.DUMMYFUNCTION("""COMPUTED_VALUE"""),"OREJANA")</f>
        <v>OREJANA</v>
      </c>
      <c r="C722" s="9" t="str">
        <f>IFERROR(__xludf.DUMMYFUNCTION("""COMPUTED_VALUE"""),"ROMMEL")</f>
        <v>ROMMEL</v>
      </c>
      <c r="D722" s="9"/>
      <c r="E722" s="9" t="str">
        <f>IFERROR(__xludf.DUMMYFUNCTION("""COMPUTED_VALUE"""),"ROMEO C. OREJANA")</f>
        <v>ROMEO C. OREJANA</v>
      </c>
      <c r="F722" s="133"/>
      <c r="G722" s="13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60">
        <f t="shared" si="1"/>
        <v>717</v>
      </c>
      <c r="B723" s="9" t="str">
        <f>IFERROR(__xludf.DUMMYFUNCTION("""COMPUTED_VALUE"""),"DELA CRUZ")</f>
        <v>DELA CRUZ</v>
      </c>
      <c r="C723" s="9" t="str">
        <f>IFERROR(__xludf.DUMMYFUNCTION("""COMPUTED_VALUE"""),"TRISTAN JADE")</f>
        <v>TRISTAN JADE</v>
      </c>
      <c r="D723" s="9"/>
      <c r="E723" s="9" t="str">
        <f>IFERROR(__xludf.DUMMYFUNCTION("""COMPUTED_VALUE"""),"ROMEO P. DELA CRUZ")</f>
        <v>ROMEO P. DELA CRUZ</v>
      </c>
      <c r="F723" s="133"/>
      <c r="G723" s="13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60">
        <f t="shared" si="1"/>
        <v>718</v>
      </c>
      <c r="B724" s="9" t="str">
        <f>IFERROR(__xludf.DUMMYFUNCTION("""COMPUTED_VALUE"""),"DELA CRUZ")</f>
        <v>DELA CRUZ</v>
      </c>
      <c r="C724" s="9" t="str">
        <f>IFERROR(__xludf.DUMMYFUNCTION("""COMPUTED_VALUE"""),"THADEUS JERICO")</f>
        <v>THADEUS JERICO</v>
      </c>
      <c r="D724" s="9"/>
      <c r="E724" s="9" t="str">
        <f>IFERROR(__xludf.DUMMYFUNCTION("""COMPUTED_VALUE"""),"ROMEO P. DELA CRUZ")</f>
        <v>ROMEO P. DELA CRUZ</v>
      </c>
      <c r="F724" s="133"/>
      <c r="G724" s="13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60">
        <f t="shared" si="1"/>
        <v>719</v>
      </c>
      <c r="B725" s="9" t="str">
        <f>IFERROR(__xludf.DUMMYFUNCTION("""COMPUTED_VALUE"""),"PEREZ")</f>
        <v>PEREZ</v>
      </c>
      <c r="C725" s="9" t="str">
        <f>IFERROR(__xludf.DUMMYFUNCTION("""COMPUTED_VALUE"""),"RICHIE ")</f>
        <v>RICHIE </v>
      </c>
      <c r="D725" s="9"/>
      <c r="E725" s="9" t="str">
        <f>IFERROR(__xludf.DUMMYFUNCTION("""COMPUTED_VALUE"""),"RAQUEL DELA CRUZ")</f>
        <v>RAQUEL DELA CRUZ</v>
      </c>
      <c r="F725" s="133"/>
      <c r="G725" s="13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60">
        <f t="shared" si="1"/>
        <v>720</v>
      </c>
      <c r="B726" s="9" t="str">
        <f>IFERROR(__xludf.DUMMYFUNCTION("""COMPUTED_VALUE"""),"AVEO")</f>
        <v>AVEO</v>
      </c>
      <c r="C726" s="9" t="str">
        <f>IFERROR(__xludf.DUMMYFUNCTION("""COMPUTED_VALUE"""),"SANRA")</f>
        <v>SANRA</v>
      </c>
      <c r="D726" s="9"/>
      <c r="E726" s="9" t="str">
        <f>IFERROR(__xludf.DUMMYFUNCTION("""COMPUTED_VALUE"""),"RAQUEL DELA CRUZ")</f>
        <v>RAQUEL DELA CRUZ</v>
      </c>
      <c r="F726" s="133"/>
      <c r="G726" s="13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60">
        <f t="shared" si="1"/>
        <v>721</v>
      </c>
      <c r="B727" s="9" t="str">
        <f>IFERROR(__xludf.DUMMYFUNCTION("""COMPUTED_VALUE"""),"DELA CRUZ")</f>
        <v>DELA CRUZ</v>
      </c>
      <c r="C727" s="9" t="str">
        <f>IFERROR(__xludf.DUMMYFUNCTION("""COMPUTED_VALUE"""),"PRINCESS")</f>
        <v>PRINCESS</v>
      </c>
      <c r="D727" s="9"/>
      <c r="E727" s="9" t="str">
        <f>IFERROR(__xludf.DUMMYFUNCTION("""COMPUTED_VALUE"""),"RAQUEL DELA CRUZ")</f>
        <v>RAQUEL DELA CRUZ</v>
      </c>
      <c r="F727" s="133"/>
      <c r="G727" s="13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60">
        <f t="shared" si="1"/>
        <v>722</v>
      </c>
      <c r="B728" s="9" t="str">
        <f>IFERROR(__xludf.DUMMYFUNCTION("""COMPUTED_VALUE"""),"DELA CRUZ")</f>
        <v>DELA CRUZ</v>
      </c>
      <c r="C728" s="9" t="str">
        <f>IFERROR(__xludf.DUMMYFUNCTION("""COMPUTED_VALUE"""),"JOHN FREDERICK")</f>
        <v>JOHN FREDERICK</v>
      </c>
      <c r="D728" s="9"/>
      <c r="E728" s="9" t="str">
        <f>IFERROR(__xludf.DUMMYFUNCTION("""COMPUTED_VALUE"""),"RAQUEL DELA CRUZ")</f>
        <v>RAQUEL DELA CRUZ</v>
      </c>
      <c r="F728" s="133"/>
      <c r="G728" s="13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60">
        <f t="shared" si="1"/>
        <v>723</v>
      </c>
      <c r="B729" s="9" t="str">
        <f>IFERROR(__xludf.DUMMYFUNCTION("""COMPUTED_VALUE"""),"VELASCO")</f>
        <v>VELASCO</v>
      </c>
      <c r="C729" s="9" t="str">
        <f>IFERROR(__xludf.DUMMYFUNCTION("""COMPUTED_VALUE"""),"JHON MAK")</f>
        <v>JHON MAK</v>
      </c>
      <c r="D729" s="9" t="str">
        <f>IFERROR(__xludf.DUMMYFUNCTION("""COMPUTED_VALUE"""),"S.")</f>
        <v>S.</v>
      </c>
      <c r="E729" s="9" t="str">
        <f>IFERROR(__xludf.DUMMYFUNCTION("""COMPUTED_VALUE"""),"MARIO VELASCO")</f>
        <v>MARIO VELASCO</v>
      </c>
      <c r="F729" s="133"/>
      <c r="G729" s="13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60">
        <f t="shared" si="1"/>
        <v>724</v>
      </c>
      <c r="B730" s="9" t="str">
        <f>IFERROR(__xludf.DUMMYFUNCTION("""COMPUTED_VALUE"""),"VELASCO")</f>
        <v>VELASCO</v>
      </c>
      <c r="C730" s="9" t="str">
        <f>IFERROR(__xludf.DUMMYFUNCTION("""COMPUTED_VALUE"""),"MAYUMI")</f>
        <v>MAYUMI</v>
      </c>
      <c r="D730" s="9" t="str">
        <f>IFERROR(__xludf.DUMMYFUNCTION("""COMPUTED_VALUE"""),"S.")</f>
        <v>S.</v>
      </c>
      <c r="E730" s="9" t="str">
        <f>IFERROR(__xludf.DUMMYFUNCTION("""COMPUTED_VALUE"""),"MARIO VELASCO")</f>
        <v>MARIO VELASCO</v>
      </c>
      <c r="F730" s="133"/>
      <c r="G730" s="13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60">
        <f t="shared" si="1"/>
        <v>725</v>
      </c>
      <c r="B731" s="9" t="str">
        <f>IFERROR(__xludf.DUMMYFUNCTION("""COMPUTED_VALUE"""),"VELASCO")</f>
        <v>VELASCO</v>
      </c>
      <c r="C731" s="9" t="str">
        <f>IFERROR(__xludf.DUMMYFUNCTION("""COMPUTED_VALUE"""),"HARUMI")</f>
        <v>HARUMI</v>
      </c>
      <c r="D731" s="9" t="str">
        <f>IFERROR(__xludf.DUMMYFUNCTION("""COMPUTED_VALUE"""),"S.")</f>
        <v>S.</v>
      </c>
      <c r="E731" s="9" t="str">
        <f>IFERROR(__xludf.DUMMYFUNCTION("""COMPUTED_VALUE"""),"MARIO VELASCO")</f>
        <v>MARIO VELASCO</v>
      </c>
      <c r="F731" s="133"/>
      <c r="G731" s="13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60">
        <f t="shared" si="1"/>
        <v>726</v>
      </c>
      <c r="B732" s="9" t="str">
        <f>IFERROR(__xludf.DUMMYFUNCTION("""COMPUTED_VALUE"""),"VELASCO")</f>
        <v>VELASCO</v>
      </c>
      <c r="C732" s="9" t="str">
        <f>IFERROR(__xludf.DUMMYFUNCTION("""COMPUTED_VALUE"""),"MEGUMI")</f>
        <v>MEGUMI</v>
      </c>
      <c r="D732" s="9" t="str">
        <f>IFERROR(__xludf.DUMMYFUNCTION("""COMPUTED_VALUE"""),"S.")</f>
        <v>S.</v>
      </c>
      <c r="E732" s="9" t="str">
        <f>IFERROR(__xludf.DUMMYFUNCTION("""COMPUTED_VALUE"""),"MARIO VELASCO")</f>
        <v>MARIO VELASCO</v>
      </c>
      <c r="F732" s="133"/>
      <c r="G732" s="13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60">
        <f t="shared" si="1"/>
        <v>727</v>
      </c>
      <c r="B733" s="9" t="str">
        <f>IFERROR(__xludf.DUMMYFUNCTION("""COMPUTED_VALUE"""),"OREJANA")</f>
        <v>OREJANA</v>
      </c>
      <c r="C733" s="9" t="str">
        <f>IFERROR(__xludf.DUMMYFUNCTION("""COMPUTED_VALUE"""),"RACHELL")</f>
        <v>RACHELL</v>
      </c>
      <c r="D733" s="9"/>
      <c r="E733" s="9" t="str">
        <f>IFERROR(__xludf.DUMMYFUNCTION("""COMPUTED_VALUE"""),"BERNIE C. OREJANA SR.")</f>
        <v>BERNIE C. OREJANA SR.</v>
      </c>
      <c r="F733" s="133"/>
      <c r="G733" s="13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60">
        <f t="shared" si="1"/>
        <v>728</v>
      </c>
      <c r="B734" s="9" t="str">
        <f>IFERROR(__xludf.DUMMYFUNCTION("""COMPUTED_VALUE"""),"OREJANA")</f>
        <v>OREJANA</v>
      </c>
      <c r="C734" s="9" t="str">
        <f>IFERROR(__xludf.DUMMYFUNCTION("""COMPUTED_VALUE"""),"RAIN")</f>
        <v>RAIN</v>
      </c>
      <c r="D734" s="9"/>
      <c r="E734" s="9" t="str">
        <f>IFERROR(__xludf.DUMMYFUNCTION("""COMPUTED_VALUE"""),"BERNIE C. OREJANA SR.")</f>
        <v>BERNIE C. OREJANA SR.</v>
      </c>
      <c r="F734" s="133"/>
      <c r="G734" s="13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60">
        <f t="shared" si="1"/>
        <v>729</v>
      </c>
      <c r="B735" s="9" t="str">
        <f>IFERROR(__xludf.DUMMYFUNCTION("""COMPUTED_VALUE"""),"OREJANA")</f>
        <v>OREJANA</v>
      </c>
      <c r="C735" s="9" t="str">
        <f>IFERROR(__xludf.DUMMYFUNCTION("""COMPUTED_VALUE"""),"BERNIE JR.")</f>
        <v>BERNIE JR.</v>
      </c>
      <c r="D735" s="9"/>
      <c r="E735" s="9" t="str">
        <f>IFERROR(__xludf.DUMMYFUNCTION("""COMPUTED_VALUE"""),"BERNIE C. OREJANA SR.")</f>
        <v>BERNIE C. OREJANA SR.</v>
      </c>
      <c r="F735" s="133"/>
      <c r="G735" s="13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60">
        <f t="shared" si="1"/>
        <v>730</v>
      </c>
      <c r="B736" s="9" t="str">
        <f>IFERROR(__xludf.DUMMYFUNCTION("""COMPUTED_VALUE"""),"MANANGAT")</f>
        <v>MANANGAT</v>
      </c>
      <c r="C736" s="9" t="str">
        <f>IFERROR(__xludf.DUMMYFUNCTION("""COMPUTED_VALUE"""),"JOHN MICHAEL")</f>
        <v>JOHN MICHAEL</v>
      </c>
      <c r="D736" s="9"/>
      <c r="E736" s="9" t="str">
        <f>IFERROR(__xludf.DUMMYFUNCTION("""COMPUTED_VALUE"""),"ALBERT MANANGAT")</f>
        <v>ALBERT MANANGAT</v>
      </c>
      <c r="F736" s="133"/>
      <c r="G736" s="13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60">
        <f t="shared" si="1"/>
        <v>731</v>
      </c>
      <c r="B737" s="9" t="str">
        <f>IFERROR(__xludf.DUMMYFUNCTION("""COMPUTED_VALUE"""),"MANANGAT")</f>
        <v>MANANGAT</v>
      </c>
      <c r="C737" s="9" t="str">
        <f>IFERROR(__xludf.DUMMYFUNCTION("""COMPUTED_VALUE"""),"LYN SAINT")</f>
        <v>LYN SAINT</v>
      </c>
      <c r="D737" s="9"/>
      <c r="E737" s="9" t="str">
        <f>IFERROR(__xludf.DUMMYFUNCTION("""COMPUTED_VALUE"""),"ALBERT MANANGAT")</f>
        <v>ALBERT MANANGAT</v>
      </c>
      <c r="F737" s="133"/>
      <c r="G737" s="13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60">
        <f t="shared" si="1"/>
        <v>732</v>
      </c>
      <c r="B738" s="9" t="str">
        <f>IFERROR(__xludf.DUMMYFUNCTION("""COMPUTED_VALUE"""),"QUIÑONES")</f>
        <v>QUIÑONES</v>
      </c>
      <c r="C738" s="9" t="str">
        <f>IFERROR(__xludf.DUMMYFUNCTION("""COMPUTED_VALUE"""),"MYKA")</f>
        <v>MYKA</v>
      </c>
      <c r="D738" s="9"/>
      <c r="E738" s="9" t="str">
        <f>IFERROR(__xludf.DUMMYFUNCTION("""COMPUTED_VALUE"""),"MICHAEL QUIÑONES")</f>
        <v>MICHAEL QUIÑONES</v>
      </c>
      <c r="F738" s="133"/>
      <c r="G738" s="13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60">
        <f t="shared" si="1"/>
        <v>733</v>
      </c>
      <c r="B739" s="9" t="str">
        <f>IFERROR(__xludf.DUMMYFUNCTION("""COMPUTED_VALUE"""),"QUIÑONES")</f>
        <v>QUIÑONES</v>
      </c>
      <c r="C739" s="9" t="str">
        <f>IFERROR(__xludf.DUMMYFUNCTION("""COMPUTED_VALUE"""),"MA. ANDREA")</f>
        <v>MA. ANDREA</v>
      </c>
      <c r="D739" s="9"/>
      <c r="E739" s="9" t="str">
        <f>IFERROR(__xludf.DUMMYFUNCTION("""COMPUTED_VALUE"""),"MICHAEL QUIÑONES")</f>
        <v>MICHAEL QUIÑONES</v>
      </c>
      <c r="F739" s="133"/>
      <c r="G739" s="13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60">
        <f t="shared" si="1"/>
        <v>734</v>
      </c>
      <c r="B740" s="9" t="str">
        <f>IFERROR(__xludf.DUMMYFUNCTION("""COMPUTED_VALUE"""),"QUIÑONES")</f>
        <v>QUIÑONES</v>
      </c>
      <c r="C740" s="9" t="str">
        <f>IFERROR(__xludf.DUMMYFUNCTION("""COMPUTED_VALUE"""),"ARNALDO JR.")</f>
        <v>ARNALDO JR.</v>
      </c>
      <c r="D740" s="9"/>
      <c r="E740" s="9" t="str">
        <f>IFERROR(__xludf.DUMMYFUNCTION("""COMPUTED_VALUE"""),"ARNALDO QUIÑONES SR.")</f>
        <v>ARNALDO QUIÑONES SR.</v>
      </c>
      <c r="F740" s="133"/>
      <c r="G740" s="13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60">
        <f t="shared" si="1"/>
        <v>735</v>
      </c>
      <c r="B741" s="9" t="str">
        <f>IFERROR(__xludf.DUMMYFUNCTION("""COMPUTED_VALUE"""),"QUIÑONES")</f>
        <v>QUIÑONES</v>
      </c>
      <c r="C741" s="9" t="str">
        <f>IFERROR(__xludf.DUMMYFUNCTION("""COMPUTED_VALUE"""),"AERO KIO")</f>
        <v>AERO KIO</v>
      </c>
      <c r="D741" s="9"/>
      <c r="E741" s="9" t="str">
        <f>IFERROR(__xludf.DUMMYFUNCTION("""COMPUTED_VALUE"""),"MARK QUIÑONES")</f>
        <v>MARK QUIÑONES</v>
      </c>
      <c r="F741" s="133"/>
      <c r="G741" s="13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60">
        <f t="shared" si="1"/>
        <v>736</v>
      </c>
      <c r="B742" s="9" t="str">
        <f>IFERROR(__xludf.DUMMYFUNCTION("""COMPUTED_VALUE"""),"ADONA")</f>
        <v>ADONA</v>
      </c>
      <c r="C742" s="9" t="str">
        <f>IFERROR(__xludf.DUMMYFUNCTION("""COMPUTED_VALUE"""),"GLADYS")</f>
        <v>GLADYS</v>
      </c>
      <c r="D742" s="9" t="str">
        <f>IFERROR(__xludf.DUMMYFUNCTION("""COMPUTED_VALUE"""),"D.")</f>
        <v>D.</v>
      </c>
      <c r="E742" s="9" t="str">
        <f>IFERROR(__xludf.DUMMYFUNCTION("""COMPUTED_VALUE"""),"GLORIA C. DOMANAIS")</f>
        <v>GLORIA C. DOMANAIS</v>
      </c>
      <c r="F742" s="133"/>
      <c r="G742" s="13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60">
        <f t="shared" si="1"/>
        <v>737</v>
      </c>
      <c r="B743" s="9" t="str">
        <f>IFERROR(__xludf.DUMMYFUNCTION("""COMPUTED_VALUE"""),"ADONA")</f>
        <v>ADONA</v>
      </c>
      <c r="C743" s="9" t="str">
        <f>IFERROR(__xludf.DUMMYFUNCTION("""COMPUTED_VALUE"""),"JAYKING")</f>
        <v>JAYKING</v>
      </c>
      <c r="D743" s="9"/>
      <c r="E743" s="9" t="str">
        <f>IFERROR(__xludf.DUMMYFUNCTION("""COMPUTED_VALUE"""),"GLORIA C. DOMANAIS")</f>
        <v>GLORIA C. DOMANAIS</v>
      </c>
      <c r="F743" s="133"/>
      <c r="G743" s="13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60">
        <f t="shared" si="1"/>
        <v>738</v>
      </c>
      <c r="B744" s="9" t="str">
        <f>IFERROR(__xludf.DUMMYFUNCTION("""COMPUTED_VALUE"""),"REANTASO")</f>
        <v>REANTASO</v>
      </c>
      <c r="C744" s="9" t="str">
        <f>IFERROR(__xludf.DUMMYFUNCTION("""COMPUTED_VALUE"""),"ZOEY YSABELLE")</f>
        <v>ZOEY YSABELLE</v>
      </c>
      <c r="D744" s="9"/>
      <c r="E744" s="9" t="str">
        <f>IFERROR(__xludf.DUMMYFUNCTION("""COMPUTED_VALUE"""),"JOEBERTH REANTASO")</f>
        <v>JOEBERTH REANTASO</v>
      </c>
      <c r="F744" s="133"/>
      <c r="G744" s="13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60">
        <f t="shared" si="1"/>
        <v>739</v>
      </c>
      <c r="B745" s="9" t="str">
        <f>IFERROR(__xludf.DUMMYFUNCTION("""COMPUTED_VALUE"""),"MANGORNONG")</f>
        <v>MANGORNONG</v>
      </c>
      <c r="C745" s="9" t="str">
        <f>IFERROR(__xludf.DUMMYFUNCTION("""COMPUTED_VALUE"""),"AYEZA KARYLLE")</f>
        <v>AYEZA KARYLLE</v>
      </c>
      <c r="D745" s="9"/>
      <c r="E745" s="9" t="str">
        <f>IFERROR(__xludf.DUMMYFUNCTION("""COMPUTED_VALUE"""),"CRISTINA LAMANG")</f>
        <v>CRISTINA LAMANG</v>
      </c>
      <c r="F745" s="133"/>
      <c r="G745" s="13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60">
        <f t="shared" si="1"/>
        <v>740</v>
      </c>
      <c r="B746" s="9" t="str">
        <f>IFERROR(__xludf.DUMMYFUNCTION("""COMPUTED_VALUE"""),"LAMANG ")</f>
        <v>LAMANG </v>
      </c>
      <c r="C746" s="9" t="str">
        <f>IFERROR(__xludf.DUMMYFUNCTION("""COMPUTED_VALUE"""),"CAIDEN")</f>
        <v>CAIDEN</v>
      </c>
      <c r="D746" s="9"/>
      <c r="E746" s="9" t="str">
        <f>IFERROR(__xludf.DUMMYFUNCTION("""COMPUTED_VALUE"""),"LEONARD KRIS LAMANG")</f>
        <v>LEONARD KRIS LAMANG</v>
      </c>
      <c r="F746" s="133"/>
      <c r="G746" s="13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60">
        <f t="shared" si="1"/>
        <v>741</v>
      </c>
      <c r="B747" s="9" t="str">
        <f>IFERROR(__xludf.DUMMYFUNCTION("""COMPUTED_VALUE"""),"AMPONGAN")</f>
        <v>AMPONGAN</v>
      </c>
      <c r="C747" s="9" t="str">
        <f>IFERROR(__xludf.DUMMYFUNCTION("""COMPUTED_VALUE"""),"MHYCO")</f>
        <v>MHYCO</v>
      </c>
      <c r="D747" s="9" t="str">
        <f>IFERROR(__xludf.DUMMYFUNCTION("""COMPUTED_VALUE"""),"M.")</f>
        <v>M.</v>
      </c>
      <c r="E747" s="9" t="str">
        <f>IFERROR(__xludf.DUMMYFUNCTION("""COMPUTED_VALUE"""),"MC ROBERT AMPONGAN")</f>
        <v>MC ROBERT AMPONGAN</v>
      </c>
      <c r="F747" s="133"/>
      <c r="G747" s="13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60">
        <f t="shared" si="1"/>
        <v>742</v>
      </c>
      <c r="B748" s="9" t="str">
        <f>IFERROR(__xludf.DUMMYFUNCTION("""COMPUTED_VALUE"""),"AMPONGAN")</f>
        <v>AMPONGAN</v>
      </c>
      <c r="C748" s="9" t="str">
        <f>IFERROR(__xludf.DUMMYFUNCTION("""COMPUTED_VALUE"""),"MC ANGELO")</f>
        <v>MC ANGELO</v>
      </c>
      <c r="D748" s="9" t="str">
        <f>IFERROR(__xludf.DUMMYFUNCTION("""COMPUTED_VALUE"""),"M.")</f>
        <v>M.</v>
      </c>
      <c r="E748" s="9" t="str">
        <f>IFERROR(__xludf.DUMMYFUNCTION("""COMPUTED_VALUE"""),"MC ROBERT AMPONGAN")</f>
        <v>MC ROBERT AMPONGAN</v>
      </c>
      <c r="F748" s="133"/>
      <c r="G748" s="13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60">
        <f t="shared" si="1"/>
        <v>743</v>
      </c>
      <c r="B749" s="9" t="str">
        <f>IFERROR(__xludf.DUMMYFUNCTION("""COMPUTED_VALUE"""),"AMPONGAN")</f>
        <v>AMPONGAN</v>
      </c>
      <c r="C749" s="9" t="str">
        <f>IFERROR(__xludf.DUMMYFUNCTION("""COMPUTED_VALUE"""),"MHYLES")</f>
        <v>MHYLES</v>
      </c>
      <c r="D749" s="9" t="str">
        <f>IFERROR(__xludf.DUMMYFUNCTION("""COMPUTED_VALUE"""),"M.")</f>
        <v>M.</v>
      </c>
      <c r="E749" s="9" t="str">
        <f>IFERROR(__xludf.DUMMYFUNCTION("""COMPUTED_VALUE"""),"MC ROBERT AMPONGAN")</f>
        <v>MC ROBERT AMPONGAN</v>
      </c>
      <c r="F749" s="133"/>
      <c r="G749" s="13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60">
        <f t="shared" si="1"/>
        <v>744</v>
      </c>
      <c r="B750" s="9" t="str">
        <f>IFERROR(__xludf.DUMMYFUNCTION("""COMPUTED_VALUE"""),"AMPONGAN")</f>
        <v>AMPONGAN</v>
      </c>
      <c r="C750" s="9" t="str">
        <f>IFERROR(__xludf.DUMMYFUNCTION("""COMPUTED_VALUE"""),"MC ROBERT")</f>
        <v>MC ROBERT</v>
      </c>
      <c r="D750" s="9"/>
      <c r="E750" s="9" t="str">
        <f>IFERROR(__xludf.DUMMYFUNCTION("""COMPUTED_VALUE"""),"RONALDO AMPONGAN")</f>
        <v>RONALDO AMPONGAN</v>
      </c>
      <c r="F750" s="133"/>
      <c r="G750" s="13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60">
        <f t="shared" si="1"/>
        <v>745</v>
      </c>
      <c r="B751" s="9" t="str">
        <f>IFERROR(__xludf.DUMMYFUNCTION("""COMPUTED_VALUE"""),"AMPONGAN")</f>
        <v>AMPONGAN</v>
      </c>
      <c r="C751" s="9" t="str">
        <f>IFERROR(__xludf.DUMMYFUNCTION("""COMPUTED_VALUE"""),"GENE LOVE")</f>
        <v>GENE LOVE</v>
      </c>
      <c r="D751" s="9"/>
      <c r="E751" s="9" t="str">
        <f>IFERROR(__xludf.DUMMYFUNCTION("""COMPUTED_VALUE"""),"RONALDO AMPONGAN")</f>
        <v>RONALDO AMPONGAN</v>
      </c>
      <c r="F751" s="133"/>
      <c r="G751" s="13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60">
        <f t="shared" si="1"/>
        <v>746</v>
      </c>
      <c r="B752" s="9" t="str">
        <f>IFERROR(__xludf.DUMMYFUNCTION("""COMPUTED_VALUE"""),"AMPONGAN")</f>
        <v>AMPONGAN</v>
      </c>
      <c r="C752" s="9" t="str">
        <f>IFERROR(__xludf.DUMMYFUNCTION("""COMPUTED_VALUE"""),"JENNY ROSE")</f>
        <v>JENNY ROSE</v>
      </c>
      <c r="D752" s="9"/>
      <c r="E752" s="9" t="str">
        <f>IFERROR(__xludf.DUMMYFUNCTION("""COMPUTED_VALUE"""),"RONALDO AMPONGAN")</f>
        <v>RONALDO AMPONGAN</v>
      </c>
      <c r="F752" s="133"/>
      <c r="G752" s="13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60">
        <f t="shared" si="1"/>
        <v>747</v>
      </c>
      <c r="B753" s="9" t="str">
        <f>IFERROR(__xludf.DUMMYFUNCTION("""COMPUTED_VALUE"""),"PERCHA")</f>
        <v>PERCHA</v>
      </c>
      <c r="C753" s="9" t="str">
        <f>IFERROR(__xludf.DUMMYFUNCTION("""COMPUTED_VALUE"""),"JENNIFER")</f>
        <v>JENNIFER</v>
      </c>
      <c r="D753" s="9" t="str">
        <f>IFERROR(__xludf.DUMMYFUNCTION("""COMPUTED_VALUE"""),"M.")</f>
        <v>M.</v>
      </c>
      <c r="E753" s="9" t="str">
        <f>IFERROR(__xludf.DUMMYFUNCTION("""COMPUTED_VALUE"""),"JORLY A. PERCHA")</f>
        <v>JORLY A. PERCHA</v>
      </c>
      <c r="F753" s="133"/>
      <c r="G753" s="13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60">
        <f t="shared" si="1"/>
        <v>748</v>
      </c>
      <c r="B754" s="9" t="str">
        <f>IFERROR(__xludf.DUMMYFUNCTION("""COMPUTED_VALUE"""),"PERCHA")</f>
        <v>PERCHA</v>
      </c>
      <c r="C754" s="9" t="str">
        <f>IFERROR(__xludf.DUMMYFUNCTION("""COMPUTED_VALUE"""),"JOSIE")</f>
        <v>JOSIE</v>
      </c>
      <c r="D754" s="9" t="str">
        <f>IFERROR(__xludf.DUMMYFUNCTION("""COMPUTED_VALUE"""),"M.")</f>
        <v>M.</v>
      </c>
      <c r="E754" s="9" t="str">
        <f>IFERROR(__xludf.DUMMYFUNCTION("""COMPUTED_VALUE"""),"JORLY A. PERCHA")</f>
        <v>JORLY A. PERCHA</v>
      </c>
      <c r="F754" s="133"/>
      <c r="G754" s="13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60">
        <f t="shared" si="1"/>
        <v>749</v>
      </c>
      <c r="B755" s="9" t="str">
        <f>IFERROR(__xludf.DUMMYFUNCTION("""COMPUTED_VALUE"""),"PERCHA")</f>
        <v>PERCHA</v>
      </c>
      <c r="C755" s="9" t="str">
        <f>IFERROR(__xludf.DUMMYFUNCTION("""COMPUTED_VALUE"""),"CHANA")</f>
        <v>CHANA</v>
      </c>
      <c r="D755" s="9" t="str">
        <f>IFERROR(__xludf.DUMMYFUNCTION("""COMPUTED_VALUE"""),"M.")</f>
        <v>M.</v>
      </c>
      <c r="E755" s="9" t="str">
        <f>IFERROR(__xludf.DUMMYFUNCTION("""COMPUTED_VALUE"""),"JORLY A. PERCHA")</f>
        <v>JORLY A. PERCHA</v>
      </c>
      <c r="F755" s="133"/>
      <c r="G755" s="13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60">
        <f t="shared" si="1"/>
        <v>750</v>
      </c>
      <c r="B756" s="9" t="str">
        <f>IFERROR(__xludf.DUMMYFUNCTION("""COMPUTED_VALUE"""),"PERCHA")</f>
        <v>PERCHA</v>
      </c>
      <c r="C756" s="9" t="str">
        <f>IFERROR(__xludf.DUMMYFUNCTION("""COMPUTED_VALUE"""),"MARIA")</f>
        <v>MARIA</v>
      </c>
      <c r="D756" s="9" t="str">
        <f>IFERROR(__xludf.DUMMYFUNCTION("""COMPUTED_VALUE"""),"M.")</f>
        <v>M.</v>
      </c>
      <c r="E756" s="9" t="str">
        <f>IFERROR(__xludf.DUMMYFUNCTION("""COMPUTED_VALUE"""),"JORLY A. PERCHA")</f>
        <v>JORLY A. PERCHA</v>
      </c>
      <c r="F756" s="133"/>
      <c r="G756" s="13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60">
        <f t="shared" si="1"/>
        <v>751</v>
      </c>
      <c r="B757" s="9" t="str">
        <f>IFERROR(__xludf.DUMMYFUNCTION("""COMPUTED_VALUE"""),"CHUNSIM")</f>
        <v>CHUNSIM</v>
      </c>
      <c r="C757" s="9" t="str">
        <f>IFERROR(__xludf.DUMMYFUNCTION("""COMPUTED_VALUE"""),"KING IVAN")</f>
        <v>KING IVAN</v>
      </c>
      <c r="D757" s="9"/>
      <c r="E757" s="9" t="str">
        <f>IFERROR(__xludf.DUMMYFUNCTION("""COMPUTED_VALUE"""),"PRINCESS CHUNSIM")</f>
        <v>PRINCESS CHUNSIM</v>
      </c>
      <c r="F757" s="133"/>
      <c r="G757" s="13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60">
        <f t="shared" si="1"/>
        <v>752</v>
      </c>
      <c r="B758" s="9" t="str">
        <f>IFERROR(__xludf.DUMMYFUNCTION("""COMPUTED_VALUE"""),"CAIRO")</f>
        <v>CAIRO</v>
      </c>
      <c r="C758" s="9" t="str">
        <f>IFERROR(__xludf.DUMMYFUNCTION("""COMPUTED_VALUE"""),"MIKHAEL")</f>
        <v>MIKHAEL</v>
      </c>
      <c r="D758" s="9"/>
      <c r="E758" s="9" t="str">
        <f>IFERROR(__xludf.DUMMYFUNCTION("""COMPUTED_VALUE"""),"PRINCESS CHUNSIM")</f>
        <v>PRINCESS CHUNSIM</v>
      </c>
      <c r="F758" s="133"/>
      <c r="G758" s="13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60">
        <f t="shared" si="1"/>
        <v>753</v>
      </c>
      <c r="B759" s="9" t="str">
        <f>IFERROR(__xludf.DUMMYFUNCTION("""COMPUTED_VALUE"""),"PEREZ")</f>
        <v>PEREZ</v>
      </c>
      <c r="C759" s="9" t="str">
        <f>IFERROR(__xludf.DUMMYFUNCTION("""COMPUTED_VALUE"""),"NAOMI")</f>
        <v>NAOMI</v>
      </c>
      <c r="D759" s="9"/>
      <c r="E759" s="9" t="str">
        <f>IFERROR(__xludf.DUMMYFUNCTION("""COMPUTED_VALUE"""),"RICHIE ARAMCO O. PEREZ")</f>
        <v>RICHIE ARAMCO O. PEREZ</v>
      </c>
      <c r="F759" s="133"/>
      <c r="G759" s="13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60">
        <f t="shared" si="1"/>
        <v>754</v>
      </c>
      <c r="B760" s="9" t="str">
        <f>IFERROR(__xludf.DUMMYFUNCTION("""COMPUTED_VALUE"""),"PEREZ")</f>
        <v>PEREZ</v>
      </c>
      <c r="C760" s="9" t="str">
        <f>IFERROR(__xludf.DUMMYFUNCTION("""COMPUTED_VALUE"""),"MADISON")</f>
        <v>MADISON</v>
      </c>
      <c r="D760" s="9"/>
      <c r="E760" s="9" t="str">
        <f>IFERROR(__xludf.DUMMYFUNCTION("""COMPUTED_VALUE"""),"RICHIE ARAMCO O. PEREZ")</f>
        <v>RICHIE ARAMCO O. PEREZ</v>
      </c>
      <c r="F760" s="133"/>
      <c r="G760" s="13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60">
        <f t="shared" si="1"/>
        <v>755</v>
      </c>
      <c r="B761" s="9" t="str">
        <f>IFERROR(__xludf.DUMMYFUNCTION("""COMPUTED_VALUE"""),"ROSANES")</f>
        <v>ROSANES</v>
      </c>
      <c r="C761" s="9" t="str">
        <f>IFERROR(__xludf.DUMMYFUNCTION("""COMPUTED_VALUE"""),"KIRBY")</f>
        <v>KIRBY</v>
      </c>
      <c r="D761" s="9" t="str">
        <f>IFERROR(__xludf.DUMMYFUNCTION("""COMPUTED_VALUE"""),"D.")</f>
        <v>D.</v>
      </c>
      <c r="E761" s="9" t="str">
        <f>IFERROR(__xludf.DUMMYFUNCTION("""COMPUTED_VALUE"""),"RUDY M. ABREA")</f>
        <v>RUDY M. ABREA</v>
      </c>
      <c r="F761" s="133"/>
      <c r="G761" s="13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60">
        <f t="shared" si="1"/>
        <v>756</v>
      </c>
      <c r="B762" s="9" t="str">
        <f>IFERROR(__xludf.DUMMYFUNCTION("""COMPUTED_VALUE"""),"ABREA")</f>
        <v>ABREA</v>
      </c>
      <c r="C762" s="9" t="str">
        <f>IFERROR(__xludf.DUMMYFUNCTION("""COMPUTED_VALUE"""),"KAREN CHLOE")</f>
        <v>KAREN CHLOE</v>
      </c>
      <c r="D762" s="9" t="str">
        <f>IFERROR(__xludf.DUMMYFUNCTION("""COMPUTED_VALUE"""),"D.")</f>
        <v>D.</v>
      </c>
      <c r="E762" s="9" t="str">
        <f>IFERROR(__xludf.DUMMYFUNCTION("""COMPUTED_VALUE"""),"RUDY M. ABREA")</f>
        <v>RUDY M. ABREA</v>
      </c>
      <c r="F762" s="133"/>
      <c r="G762" s="13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60">
        <f t="shared" si="1"/>
        <v>757</v>
      </c>
      <c r="B763" s="9" t="str">
        <f>IFERROR(__xludf.DUMMYFUNCTION("""COMPUTED_VALUE"""),"MIRASOL")</f>
        <v>MIRASOL</v>
      </c>
      <c r="C763" s="9" t="str">
        <f>IFERROR(__xludf.DUMMYFUNCTION("""COMPUTED_VALUE"""),"JEXCEL CRAY")</f>
        <v>JEXCEL CRAY</v>
      </c>
      <c r="D763" s="9"/>
      <c r="E763" s="9" t="str">
        <f>IFERROR(__xludf.DUMMYFUNCTION("""COMPUTED_VALUE"""),"JERBBY S. MIRASOL")</f>
        <v>JERBBY S. MIRASOL</v>
      </c>
      <c r="F763" s="133"/>
      <c r="G763" s="13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60">
        <f t="shared" si="1"/>
        <v>758</v>
      </c>
      <c r="B764" s="9" t="str">
        <f>IFERROR(__xludf.DUMMYFUNCTION("""COMPUTED_VALUE"""),"QIAMBAO")</f>
        <v>QIAMBAO</v>
      </c>
      <c r="C764" s="9" t="str">
        <f>IFERROR(__xludf.DUMMYFUNCTION("""COMPUTED_VALUE"""),"LUCA ELIJAH")</f>
        <v>LUCA ELIJAH</v>
      </c>
      <c r="D764" s="9"/>
      <c r="E764" s="9" t="str">
        <f>IFERROR(__xludf.DUMMYFUNCTION("""COMPUTED_VALUE"""),"JERMAINE JOY FLORES")</f>
        <v>JERMAINE JOY FLORES</v>
      </c>
      <c r="F764" s="133"/>
      <c r="G764" s="13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60">
        <f t="shared" si="1"/>
        <v>759</v>
      </c>
      <c r="B765" s="9" t="str">
        <f>IFERROR(__xludf.DUMMYFUNCTION("""COMPUTED_VALUE"""),"ROBLES")</f>
        <v>ROBLES</v>
      </c>
      <c r="C765" s="9" t="str">
        <f>IFERROR(__xludf.DUMMYFUNCTION("""COMPUTED_VALUE"""),"ASHLEY")</f>
        <v>ASHLEY</v>
      </c>
      <c r="D765" s="9" t="str">
        <f>IFERROR(__xludf.DUMMYFUNCTION("""COMPUTED_VALUE"""),"M.")</f>
        <v>M.</v>
      </c>
      <c r="E765" s="9" t="str">
        <f>IFERROR(__xludf.DUMMYFUNCTION("""COMPUTED_VALUE"""),"MELANIE M. ROBLES")</f>
        <v>MELANIE M. ROBLES</v>
      </c>
      <c r="F765" s="133"/>
      <c r="G765" s="13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60">
        <f t="shared" si="1"/>
        <v>760</v>
      </c>
      <c r="B766" s="9" t="str">
        <f>IFERROR(__xludf.DUMMYFUNCTION("""COMPUTED_VALUE"""),"ROBLES")</f>
        <v>ROBLES</v>
      </c>
      <c r="C766" s="9" t="str">
        <f>IFERROR(__xludf.DUMMYFUNCTION("""COMPUTED_VALUE"""),"MYKA")</f>
        <v>MYKA</v>
      </c>
      <c r="D766" s="9" t="str">
        <f>IFERROR(__xludf.DUMMYFUNCTION("""COMPUTED_VALUE"""),"M.")</f>
        <v>M.</v>
      </c>
      <c r="E766" s="9" t="str">
        <f>IFERROR(__xludf.DUMMYFUNCTION("""COMPUTED_VALUE"""),"MELANIE M. ROBLES")</f>
        <v>MELANIE M. ROBLES</v>
      </c>
      <c r="F766" s="133"/>
      <c r="G766" s="13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60">
        <f t="shared" si="1"/>
        <v>761</v>
      </c>
      <c r="B767" s="9" t="str">
        <f>IFERROR(__xludf.DUMMYFUNCTION("""COMPUTED_VALUE"""),"ROBLES")</f>
        <v>ROBLES</v>
      </c>
      <c r="C767" s="9" t="str">
        <f>IFERROR(__xludf.DUMMYFUNCTION("""COMPUTED_VALUE"""),"MAE")</f>
        <v>MAE</v>
      </c>
      <c r="D767" s="9" t="str">
        <f>IFERROR(__xludf.DUMMYFUNCTION("""COMPUTED_VALUE"""),"M.")</f>
        <v>M.</v>
      </c>
      <c r="E767" s="9" t="str">
        <f>IFERROR(__xludf.DUMMYFUNCTION("""COMPUTED_VALUE"""),"MELANIE M. ROBLES")</f>
        <v>MELANIE M. ROBLES</v>
      </c>
      <c r="F767" s="133"/>
      <c r="G767" s="13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60">
        <f t="shared" si="1"/>
        <v>762</v>
      </c>
      <c r="B768" s="9" t="str">
        <f>IFERROR(__xludf.DUMMYFUNCTION("""COMPUTED_VALUE"""),"CRUZ")</f>
        <v>CRUZ</v>
      </c>
      <c r="C768" s="9" t="str">
        <f>IFERROR(__xludf.DUMMYFUNCTION("""COMPUTED_VALUE"""),"JERSEY")</f>
        <v>JERSEY</v>
      </c>
      <c r="D768" s="9"/>
      <c r="E768" s="9" t="str">
        <f>IFERROR(__xludf.DUMMYFUNCTION("""COMPUTED_VALUE""")," ELMER VALDEZ")</f>
        <v> ELMER VALDEZ</v>
      </c>
      <c r="F768" s="133"/>
      <c r="G768" s="13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60">
        <f t="shared" si="1"/>
        <v>763</v>
      </c>
      <c r="B769" s="9" t="str">
        <f>IFERROR(__xludf.DUMMYFUNCTION("""COMPUTED_VALUE"""),"CRUZ")</f>
        <v>CRUZ</v>
      </c>
      <c r="C769" s="9" t="str">
        <f>IFERROR(__xludf.DUMMYFUNCTION("""COMPUTED_VALUE"""),"CELINE")</f>
        <v>CELINE</v>
      </c>
      <c r="D769" s="9"/>
      <c r="E769" s="9" t="str">
        <f>IFERROR(__xludf.DUMMYFUNCTION("""COMPUTED_VALUE"""),"JOHN CHRISTOPHER CRUZ")</f>
        <v>JOHN CHRISTOPHER CRUZ</v>
      </c>
      <c r="F769" s="133"/>
      <c r="G769" s="13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60">
        <f t="shared" si="1"/>
        <v>764</v>
      </c>
      <c r="B770" s="9" t="str">
        <f>IFERROR(__xludf.DUMMYFUNCTION("""COMPUTED_VALUE"""),"ROBLES")</f>
        <v>ROBLES</v>
      </c>
      <c r="C770" s="9" t="str">
        <f>IFERROR(__xludf.DUMMYFUNCTION("""COMPUTED_VALUE"""),"NATHALIE")</f>
        <v>NATHALIE</v>
      </c>
      <c r="D770" s="9"/>
      <c r="E770" s="9" t="str">
        <f>IFERROR(__xludf.DUMMYFUNCTION("""COMPUTED_VALUE"""),"JOHN MARK MIRASOL")</f>
        <v>JOHN MARK MIRASOL</v>
      </c>
      <c r="F770" s="133"/>
      <c r="G770" s="13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60">
        <f t="shared" si="1"/>
        <v>765</v>
      </c>
      <c r="B771" s="9" t="str">
        <f>IFERROR(__xludf.DUMMYFUNCTION("""COMPUTED_VALUE"""),"ROBLES")</f>
        <v>ROBLES</v>
      </c>
      <c r="C771" s="9" t="str">
        <f>IFERROR(__xludf.DUMMYFUNCTION("""COMPUTED_VALUE"""),"NYGEL")</f>
        <v>NYGEL</v>
      </c>
      <c r="D771" s="9"/>
      <c r="E771" s="9" t="str">
        <f>IFERROR(__xludf.DUMMYFUNCTION("""COMPUTED_VALUE"""),"JOHN MARK B. ROBLES")</f>
        <v>JOHN MARK B. ROBLES</v>
      </c>
      <c r="F771" s="133"/>
      <c r="G771" s="13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60">
        <f t="shared" si="1"/>
        <v>766</v>
      </c>
      <c r="B772" s="9" t="str">
        <f>IFERROR(__xludf.DUMMYFUNCTION("""COMPUTED_VALUE"""),"ROBLES")</f>
        <v>ROBLES</v>
      </c>
      <c r="C772" s="9" t="str">
        <f>IFERROR(__xludf.DUMMYFUNCTION("""COMPUTED_VALUE"""),"RAVEN")</f>
        <v>RAVEN</v>
      </c>
      <c r="D772" s="9"/>
      <c r="E772" s="9" t="str">
        <f>IFERROR(__xludf.DUMMYFUNCTION("""COMPUTED_VALUE"""),"ANNILYN ROBLES")</f>
        <v>ANNILYN ROBLES</v>
      </c>
      <c r="F772" s="133"/>
      <c r="G772" s="13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60">
        <f t="shared" si="1"/>
        <v>767</v>
      </c>
      <c r="B773" s="9" t="str">
        <f>IFERROR(__xludf.DUMMYFUNCTION("""COMPUTED_VALUE"""),"ROBLES")</f>
        <v>ROBLES</v>
      </c>
      <c r="C773" s="9" t="str">
        <f>IFERROR(__xludf.DUMMYFUNCTION("""COMPUTED_VALUE"""),"JOHN MARK")</f>
        <v>JOHN MARK</v>
      </c>
      <c r="D773" s="9"/>
      <c r="E773" s="9" t="str">
        <f>IFERROR(__xludf.DUMMYFUNCTION("""COMPUTED_VALUE"""),"ANNILYN ROBLES")</f>
        <v>ANNILYN ROBLES</v>
      </c>
      <c r="F773" s="133"/>
      <c r="G773" s="13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60">
        <f t="shared" si="1"/>
        <v>768</v>
      </c>
      <c r="B774" s="9" t="str">
        <f>IFERROR(__xludf.DUMMYFUNCTION("""COMPUTED_VALUE"""),"ROBLES")</f>
        <v>ROBLES</v>
      </c>
      <c r="C774" s="9" t="str">
        <f>IFERROR(__xludf.DUMMYFUNCTION("""COMPUTED_VALUE"""),"RODYLYN")</f>
        <v>RODYLYN</v>
      </c>
      <c r="D774" s="9"/>
      <c r="E774" s="9" t="str">
        <f>IFERROR(__xludf.DUMMYFUNCTION("""COMPUTED_VALUE"""),"ANNILYN ROBLES")</f>
        <v>ANNILYN ROBLES</v>
      </c>
      <c r="F774" s="133"/>
      <c r="G774" s="13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60">
        <f t="shared" si="1"/>
        <v>769</v>
      </c>
      <c r="B775" s="9" t="str">
        <f>IFERROR(__xludf.DUMMYFUNCTION("""COMPUTED_VALUE"""),"AMPARO")</f>
        <v>AMPARO</v>
      </c>
      <c r="C775" s="9" t="str">
        <f>IFERROR(__xludf.DUMMYFUNCTION("""COMPUTED_VALUE"""),"LADIELIN")</f>
        <v>LADIELIN</v>
      </c>
      <c r="D775" s="9"/>
      <c r="E775" s="9" t="str">
        <f>IFERROR(__xludf.DUMMYFUNCTION("""COMPUTED_VALUE"""),"MARIO VELASCO")</f>
        <v>MARIO VELASCO</v>
      </c>
      <c r="F775" s="133"/>
      <c r="G775" s="13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60">
        <f t="shared" si="1"/>
        <v>770</v>
      </c>
      <c r="B776" s="9" t="str">
        <f>IFERROR(__xludf.DUMMYFUNCTION("""COMPUTED_VALUE"""),"NICOLAS")</f>
        <v>NICOLAS</v>
      </c>
      <c r="C776" s="9" t="str">
        <f>IFERROR(__xludf.DUMMYFUNCTION("""COMPUTED_VALUE"""),"YVAN")</f>
        <v>YVAN</v>
      </c>
      <c r="D776" s="9"/>
      <c r="E776" s="9" t="str">
        <f>IFERROR(__xludf.DUMMYFUNCTION("""COMPUTED_VALUE"""),"MARIO P. AMPARO")</f>
        <v>MARIO P. AMPARO</v>
      </c>
      <c r="F776" s="133"/>
      <c r="G776" s="13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60">
        <f t="shared" si="1"/>
        <v>771</v>
      </c>
      <c r="B777" s="9" t="str">
        <f>IFERROR(__xludf.DUMMYFUNCTION("""COMPUTED_VALUE"""),"NICOLAS")</f>
        <v>NICOLAS</v>
      </c>
      <c r="C777" s="9" t="str">
        <f>IFERROR(__xludf.DUMMYFUNCTION("""COMPUTED_VALUE"""),"APRIL ")</f>
        <v>APRIL </v>
      </c>
      <c r="D777" s="9"/>
      <c r="E777" s="9" t="str">
        <f>IFERROR(__xludf.DUMMYFUNCTION("""COMPUTED_VALUE"""),"MARIO P. AMPARO")</f>
        <v>MARIO P. AMPARO</v>
      </c>
      <c r="F777" s="133"/>
      <c r="G777" s="13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60">
        <f t="shared" si="1"/>
        <v>772</v>
      </c>
      <c r="B778" s="9" t="str">
        <f>IFERROR(__xludf.DUMMYFUNCTION("""COMPUTED_VALUE"""),"VINIDA")</f>
        <v>VINIDA</v>
      </c>
      <c r="C778" s="9" t="str">
        <f>IFERROR(__xludf.DUMMYFUNCTION("""COMPUTED_VALUE"""),"SHEREY MAE ")</f>
        <v>SHEREY MAE </v>
      </c>
      <c r="D778" s="9" t="str">
        <f>IFERROR(__xludf.DUMMYFUNCTION("""COMPUTED_VALUE"""),"N.")</f>
        <v>N.</v>
      </c>
      <c r="E778" s="9" t="str">
        <f>IFERROR(__xludf.DUMMYFUNCTION("""COMPUTED_VALUE"""),"SHIRLEY P. NICOLAS")</f>
        <v>SHIRLEY P. NICOLAS</v>
      </c>
      <c r="F778" s="133"/>
      <c r="G778" s="13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60">
        <f t="shared" si="1"/>
        <v>773</v>
      </c>
      <c r="B779" s="9" t="str">
        <f>IFERROR(__xludf.DUMMYFUNCTION("""COMPUTED_VALUE"""),"MANUEL")</f>
        <v>MANUEL</v>
      </c>
      <c r="C779" s="9" t="str">
        <f>IFERROR(__xludf.DUMMYFUNCTION("""COMPUTED_VALUE"""),"ROSE ANNE ")</f>
        <v>ROSE ANNE </v>
      </c>
      <c r="D779" s="9" t="str">
        <f>IFERROR(__xludf.DUMMYFUNCTION("""COMPUTED_VALUE"""),"N.")</f>
        <v>N.</v>
      </c>
      <c r="E779" s="9" t="str">
        <f>IFERROR(__xludf.DUMMYFUNCTION("""COMPUTED_VALUE"""),"SHIRLEY P. NICOLAS")</f>
        <v>SHIRLEY P. NICOLAS</v>
      </c>
      <c r="F779" s="133"/>
      <c r="G779" s="13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60">
        <f t="shared" si="1"/>
        <v>774</v>
      </c>
      <c r="B780" s="9" t="str">
        <f>IFERROR(__xludf.DUMMYFUNCTION("""COMPUTED_VALUE"""),"VINIDA")</f>
        <v>VINIDA</v>
      </c>
      <c r="C780" s="9" t="str">
        <f>IFERROR(__xludf.DUMMYFUNCTION("""COMPUTED_VALUE"""),"RUSTY NIEL ")</f>
        <v>RUSTY NIEL </v>
      </c>
      <c r="D780" s="9" t="str">
        <f>IFERROR(__xludf.DUMMYFUNCTION("""COMPUTED_VALUE"""),"N.")</f>
        <v>N.</v>
      </c>
      <c r="E780" s="9" t="str">
        <f>IFERROR(__xludf.DUMMYFUNCTION("""COMPUTED_VALUE"""),"SHIRLEY P. NICOLAS")</f>
        <v>SHIRLEY P. NICOLAS</v>
      </c>
      <c r="F780" s="133"/>
      <c r="G780" s="13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60">
        <f t="shared" si="1"/>
        <v>775</v>
      </c>
      <c r="B781" s="9" t="str">
        <f>IFERROR(__xludf.DUMMYFUNCTION("""COMPUTED_VALUE"""),"ARCILLA")</f>
        <v>ARCILLA</v>
      </c>
      <c r="C781" s="9" t="str">
        <f>IFERROR(__xludf.DUMMYFUNCTION("""COMPUTED_VALUE"""),"JASMIN FAYE")</f>
        <v>JASMIN FAYE</v>
      </c>
      <c r="D781" s="9" t="str">
        <f>IFERROR(__xludf.DUMMYFUNCTION("""COMPUTED_VALUE"""),"N.")</f>
        <v>N.</v>
      </c>
      <c r="E781" s="9" t="str">
        <f>IFERROR(__xludf.DUMMYFUNCTION("""COMPUTED_VALUE"""),"SHIRLEY P. NICOLAS")</f>
        <v>SHIRLEY P. NICOLAS</v>
      </c>
      <c r="F781" s="133"/>
      <c r="G781" s="13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60">
        <f t="shared" si="1"/>
        <v>776</v>
      </c>
      <c r="B782" s="9" t="str">
        <f>IFERROR(__xludf.DUMMYFUNCTION("""COMPUTED_VALUE"""),"NICOLAS")</f>
        <v>NICOLAS</v>
      </c>
      <c r="C782" s="9" t="str">
        <f>IFERROR(__xludf.DUMMYFUNCTION("""COMPUTED_VALUE"""),"APRIL ")</f>
        <v>APRIL </v>
      </c>
      <c r="D782" s="9"/>
      <c r="E782" s="9" t="str">
        <f>IFERROR(__xludf.DUMMYFUNCTION("""COMPUTED_VALUE"""),"SHIRLEY P. NICOLAS")</f>
        <v>SHIRLEY P. NICOLAS</v>
      </c>
      <c r="F782" s="133"/>
      <c r="G782" s="13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60">
        <f t="shared" si="1"/>
        <v>777</v>
      </c>
      <c r="B783" s="9" t="str">
        <f>IFERROR(__xludf.DUMMYFUNCTION("""COMPUTED_VALUE"""),"EDRALIN")</f>
        <v>EDRALIN</v>
      </c>
      <c r="C783" s="9" t="str">
        <f>IFERROR(__xludf.DUMMYFUNCTION("""COMPUTED_VALUE"""),"JOHN BRYANN")</f>
        <v>JOHN BRYANN</v>
      </c>
      <c r="D783" s="9"/>
      <c r="E783" s="9" t="str">
        <f>IFERROR(__xludf.DUMMYFUNCTION("""COMPUTED_VALUE"""),"EDMOND A. EDRALIN")</f>
        <v>EDMOND A. EDRALIN</v>
      </c>
      <c r="F783" s="133"/>
      <c r="G783" s="13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60">
        <f t="shared" si="1"/>
        <v>778</v>
      </c>
      <c r="B784" s="9" t="str">
        <f>IFERROR(__xludf.DUMMYFUNCTION("""COMPUTED_VALUE"""),"JAVIER ")</f>
        <v>JAVIER </v>
      </c>
      <c r="C784" s="9" t="str">
        <f>IFERROR(__xludf.DUMMYFUNCTION("""COMPUTED_VALUE"""),"CHRISLIE JOY")</f>
        <v>CHRISLIE JOY</v>
      </c>
      <c r="D784" s="9" t="str">
        <f>IFERROR(__xludf.DUMMYFUNCTION("""COMPUTED_VALUE"""),"B.")</f>
        <v>B.</v>
      </c>
      <c r="E784" s="9" t="str">
        <f>IFERROR(__xludf.DUMMYFUNCTION("""COMPUTED_VALUE"""),"MANUEL R. JAVIER")</f>
        <v>MANUEL R. JAVIER</v>
      </c>
      <c r="F784" s="133"/>
      <c r="G784" s="13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60">
        <f t="shared" si="1"/>
        <v>779</v>
      </c>
      <c r="B785" s="9" t="str">
        <f>IFERROR(__xludf.DUMMYFUNCTION("""COMPUTED_VALUE"""),"EWICAN")</f>
        <v>EWICAN</v>
      </c>
      <c r="C785" s="9" t="str">
        <f>IFERROR(__xludf.DUMMYFUNCTION("""COMPUTED_VALUE"""),"ELISIAH AKIRA")</f>
        <v>ELISIAH AKIRA</v>
      </c>
      <c r="D785" s="9" t="str">
        <f>IFERROR(__xludf.DUMMYFUNCTION("""COMPUTED_VALUE"""),"J.")</f>
        <v>J.</v>
      </c>
      <c r="E785" s="9" t="str">
        <f>IFERROR(__xludf.DUMMYFUNCTION("""COMPUTED_VALUE"""),"REYMARK S. EWICAN")</f>
        <v>REYMARK S. EWICAN</v>
      </c>
      <c r="F785" s="133"/>
      <c r="G785" s="13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60">
        <f t="shared" si="1"/>
        <v>780</v>
      </c>
      <c r="B786" s="9" t="str">
        <f>IFERROR(__xludf.DUMMYFUNCTION("""COMPUTED_VALUE"""),"JAVIER ")</f>
        <v>JAVIER </v>
      </c>
      <c r="C786" s="9" t="str">
        <f>IFERROR(__xludf.DUMMYFUNCTION("""COMPUTED_VALUE"""),"AXCEL ANGELO")</f>
        <v>AXCEL ANGELO</v>
      </c>
      <c r="D786" s="9"/>
      <c r="E786" s="9" t="str">
        <f>IFERROR(__xludf.DUMMYFUNCTION("""COMPUTED_VALUE"""),"SHANE LYKA B. JAVIER")</f>
        <v>SHANE LYKA B. JAVIER</v>
      </c>
      <c r="F786" s="133"/>
      <c r="G786" s="13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60">
        <f t="shared" si="1"/>
        <v>781</v>
      </c>
      <c r="B787" s="9" t="str">
        <f>IFERROR(__xludf.DUMMYFUNCTION("""COMPUTED_VALUE"""),"BOLLOZOS")</f>
        <v>BOLLOZOS</v>
      </c>
      <c r="C787" s="9" t="str">
        <f>IFERROR(__xludf.DUMMYFUNCTION("""COMPUTED_VALUE"""),"EVEE BEA ")</f>
        <v>EVEE BEA </v>
      </c>
      <c r="D787" s="9" t="str">
        <f>IFERROR(__xludf.DUMMYFUNCTION("""COMPUTED_VALUE"""),"E.")</f>
        <v>E.</v>
      </c>
      <c r="E787" s="9" t="str">
        <f>IFERROR(__xludf.DUMMYFUNCTION("""COMPUTED_VALUE"""),"EVELIO BOLLOZOS")</f>
        <v>EVELIO BOLLOZOS</v>
      </c>
      <c r="F787" s="133"/>
      <c r="G787" s="13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60">
        <f t="shared" si="1"/>
        <v>782</v>
      </c>
      <c r="B788" s="9" t="str">
        <f>IFERROR(__xludf.DUMMYFUNCTION("""COMPUTED_VALUE"""),"EVANGELISTA")</f>
        <v>EVANGELISTA</v>
      </c>
      <c r="C788" s="9" t="str">
        <f>IFERROR(__xludf.DUMMYFUNCTION("""COMPUTED_VALUE"""),"ASLEIGH")</f>
        <v>ASLEIGH</v>
      </c>
      <c r="D788" s="9"/>
      <c r="E788" s="9" t="str">
        <f>IFERROR(__xludf.DUMMYFUNCTION("""COMPUTED_VALUE"""),"ALLAN DAVE D. EVANGELISTA")</f>
        <v>ALLAN DAVE D. EVANGELISTA</v>
      </c>
      <c r="F788" s="133"/>
      <c r="G788" s="13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60">
        <f t="shared" si="1"/>
        <v>783</v>
      </c>
      <c r="B789" s="9" t="str">
        <f>IFERROR(__xludf.DUMMYFUNCTION("""COMPUTED_VALUE"""),"EVANGELISTA")</f>
        <v>EVANGELISTA</v>
      </c>
      <c r="C789" s="9" t="str">
        <f>IFERROR(__xludf.DUMMYFUNCTION("""COMPUTED_VALUE"""),"ALEXANDER")</f>
        <v>ALEXANDER</v>
      </c>
      <c r="D789" s="9"/>
      <c r="E789" s="9" t="str">
        <f>IFERROR(__xludf.DUMMYFUNCTION("""COMPUTED_VALUE"""),"ALLAN DAVE D. EVANGELISTA")</f>
        <v>ALLAN DAVE D. EVANGELISTA</v>
      </c>
      <c r="F789" s="133"/>
      <c r="G789" s="13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60">
        <f t="shared" si="1"/>
        <v>784</v>
      </c>
      <c r="B790" s="9" t="str">
        <f>IFERROR(__xludf.DUMMYFUNCTION("""COMPUTED_VALUE"""),"EVANGELISTA")</f>
        <v>EVANGELISTA</v>
      </c>
      <c r="C790" s="9" t="str">
        <f>IFERROR(__xludf.DUMMYFUNCTION("""COMPUTED_VALUE"""),"ALTHEA")</f>
        <v>ALTHEA</v>
      </c>
      <c r="D790" s="9"/>
      <c r="E790" s="9" t="str">
        <f>IFERROR(__xludf.DUMMYFUNCTION("""COMPUTED_VALUE"""),"ALLAN DAVE D. EVANGELISTA")</f>
        <v>ALLAN DAVE D. EVANGELISTA</v>
      </c>
      <c r="F790" s="133"/>
      <c r="G790" s="13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60">
        <f t="shared" si="1"/>
        <v>785</v>
      </c>
      <c r="B791" s="9" t="str">
        <f>IFERROR(__xludf.DUMMYFUNCTION("""COMPUTED_VALUE"""),"EVANGELISTA")</f>
        <v>EVANGELISTA</v>
      </c>
      <c r="C791" s="9" t="str">
        <f>IFERROR(__xludf.DUMMYFUNCTION("""COMPUTED_VALUE"""),"TERENCE ")</f>
        <v>TERENCE </v>
      </c>
      <c r="D791" s="9" t="str">
        <f>IFERROR(__xludf.DUMMYFUNCTION("""COMPUTED_VALUE"""),"C.")</f>
        <v>C.</v>
      </c>
      <c r="E791" s="9" t="str">
        <f>IFERROR(__xludf.DUMMYFUNCTION("""COMPUTED_VALUE"""),"NESTOR D. EVANGELISTA JR.")</f>
        <v>NESTOR D. EVANGELISTA JR.</v>
      </c>
      <c r="F791" s="133"/>
      <c r="G791" s="13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60">
        <f t="shared" si="1"/>
        <v>786</v>
      </c>
      <c r="B792" s="9" t="str">
        <f>IFERROR(__xludf.DUMMYFUNCTION("""COMPUTED_VALUE"""),"EVANGELISTA")</f>
        <v>EVANGELISTA</v>
      </c>
      <c r="C792" s="9" t="str">
        <f>IFERROR(__xludf.DUMMYFUNCTION("""COMPUTED_VALUE"""),"CALLIE ")</f>
        <v>CALLIE </v>
      </c>
      <c r="D792" s="9" t="str">
        <f>IFERROR(__xludf.DUMMYFUNCTION("""COMPUTED_VALUE"""),"C.")</f>
        <v>C.</v>
      </c>
      <c r="E792" s="9" t="str">
        <f>IFERROR(__xludf.DUMMYFUNCTION("""COMPUTED_VALUE"""),"NESTOR D. EVANGELISTA JR.")</f>
        <v>NESTOR D. EVANGELISTA JR.</v>
      </c>
      <c r="F792" s="133"/>
      <c r="G792" s="13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60">
        <f t="shared" si="1"/>
        <v>787</v>
      </c>
      <c r="B793" s="9" t="str">
        <f>IFERROR(__xludf.DUMMYFUNCTION("""COMPUTED_VALUE"""),"EVANGELISTA")</f>
        <v>EVANGELISTA</v>
      </c>
      <c r="C793" s="9" t="str">
        <f>IFERROR(__xludf.DUMMYFUNCTION("""COMPUTED_VALUE"""),"MARY JANE")</f>
        <v>MARY JANE</v>
      </c>
      <c r="D793" s="9"/>
      <c r="E793" s="9" t="str">
        <f>IFERROR(__xludf.DUMMYFUNCTION("""COMPUTED_VALUE"""),"BRYAN CHESTER D. EVANGELISTA")</f>
        <v>BRYAN CHESTER D. EVANGELISTA</v>
      </c>
      <c r="F793" s="133"/>
      <c r="G793" s="13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60">
        <f t="shared" si="1"/>
        <v>788</v>
      </c>
      <c r="B794" s="9" t="str">
        <f>IFERROR(__xludf.DUMMYFUNCTION("""COMPUTED_VALUE"""),"EVANGELISTA")</f>
        <v>EVANGELISTA</v>
      </c>
      <c r="C794" s="9" t="str">
        <f>IFERROR(__xludf.DUMMYFUNCTION("""COMPUTED_VALUE"""),"LEE KYLER ")</f>
        <v>LEE KYLER </v>
      </c>
      <c r="D794" s="9"/>
      <c r="E794" s="9" t="str">
        <f>IFERROR(__xludf.DUMMYFUNCTION("""COMPUTED_VALUE"""),"SHERYL ANN D. EVANGELISTA")</f>
        <v>SHERYL ANN D. EVANGELISTA</v>
      </c>
      <c r="F794" s="133"/>
      <c r="G794" s="13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60">
        <f t="shared" si="1"/>
        <v>789</v>
      </c>
      <c r="B795" s="9" t="str">
        <f>IFERROR(__xludf.DUMMYFUNCTION("""COMPUTED_VALUE"""),"EVANGELISTA")</f>
        <v>EVANGELISTA</v>
      </c>
      <c r="C795" s="9" t="str">
        <f>IFERROR(__xludf.DUMMYFUNCTION("""COMPUTED_VALUE"""),"SHEILA MARIE")</f>
        <v>SHEILA MARIE</v>
      </c>
      <c r="D795" s="9" t="str">
        <f>IFERROR(__xludf.DUMMYFUNCTION("""COMPUTED_VALUE"""),"D.")</f>
        <v>D.</v>
      </c>
      <c r="E795" s="9" t="str">
        <f>IFERROR(__xludf.DUMMYFUNCTION("""COMPUTED_VALUE"""),"NESTOR F. EVANGELISTA")</f>
        <v>NESTOR F. EVANGELISTA</v>
      </c>
      <c r="F795" s="133"/>
      <c r="G795" s="13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60">
        <f t="shared" si="1"/>
        <v>790</v>
      </c>
      <c r="B796" s="9" t="str">
        <f>IFERROR(__xludf.DUMMYFUNCTION("""COMPUTED_VALUE"""),"EVANGELISTA")</f>
        <v>EVANGELISTA</v>
      </c>
      <c r="C796" s="9" t="str">
        <f>IFERROR(__xludf.DUMMYFUNCTION("""COMPUTED_VALUE"""),"ANGELO GABRIEL")</f>
        <v>ANGELO GABRIEL</v>
      </c>
      <c r="D796" s="9" t="str">
        <f>IFERROR(__xludf.DUMMYFUNCTION("""COMPUTED_VALUE"""),"D.")</f>
        <v>D.</v>
      </c>
      <c r="E796" s="9" t="str">
        <f>IFERROR(__xludf.DUMMYFUNCTION("""COMPUTED_VALUE"""),"NESTOR F. EVANGELISTA")</f>
        <v>NESTOR F. EVANGELISTA</v>
      </c>
      <c r="F796" s="133"/>
      <c r="G796" s="13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60">
        <f t="shared" si="1"/>
        <v>791</v>
      </c>
      <c r="B797" s="9" t="str">
        <f>IFERROR(__xludf.DUMMYFUNCTION("""COMPUTED_VALUE"""),"EVANGELISTA")</f>
        <v>EVANGELISTA</v>
      </c>
      <c r="C797" s="9" t="str">
        <f>IFERROR(__xludf.DUMMYFUNCTION("""COMPUTED_VALUE"""),"HAZEL ANNE")</f>
        <v>HAZEL ANNE</v>
      </c>
      <c r="D797" s="9" t="str">
        <f>IFERROR(__xludf.DUMMYFUNCTION("""COMPUTED_VALUE"""),"D.")</f>
        <v>D.</v>
      </c>
      <c r="E797" s="9" t="str">
        <f>IFERROR(__xludf.DUMMYFUNCTION("""COMPUTED_VALUE"""),"NESTOR F. EVANGELISTA")</f>
        <v>NESTOR F. EVANGELISTA</v>
      </c>
      <c r="F797" s="133"/>
      <c r="G797" s="13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60">
        <f t="shared" si="1"/>
        <v>792</v>
      </c>
      <c r="B798" s="9" t="str">
        <f>IFERROR(__xludf.DUMMYFUNCTION("""COMPUTED_VALUE"""),"GERONA")</f>
        <v>GERONA</v>
      </c>
      <c r="C798" s="9" t="str">
        <f>IFERROR(__xludf.DUMMYFUNCTION("""COMPUTED_VALUE"""),"RIANA")</f>
        <v>RIANA</v>
      </c>
      <c r="D798" s="9"/>
      <c r="E798" s="9" t="str">
        <f>IFERROR(__xludf.DUMMYFUNCTION("""COMPUTED_VALUE"""),"FRANCIS F. GERONA")</f>
        <v>FRANCIS F. GERONA</v>
      </c>
      <c r="F798" s="133"/>
      <c r="G798" s="13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60">
        <f t="shared" si="1"/>
        <v>793</v>
      </c>
      <c r="B799" s="9" t="str">
        <f>IFERROR(__xludf.DUMMYFUNCTION("""COMPUTED_VALUE"""),"VILLARINO")</f>
        <v>VILLARINO</v>
      </c>
      <c r="C799" s="9" t="str">
        <f>IFERROR(__xludf.DUMMYFUNCTION("""COMPUTED_VALUE"""),"RON TYLER")</f>
        <v>RON TYLER</v>
      </c>
      <c r="D799" s="9"/>
      <c r="E799" s="9" t="str">
        <f>IFERROR(__xludf.DUMMYFUNCTION("""COMPUTED_VALUE"""),"AIRA VILLARINO")</f>
        <v>AIRA VILLARINO</v>
      </c>
      <c r="F799" s="133"/>
      <c r="G799" s="13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60">
        <f t="shared" si="1"/>
        <v>794</v>
      </c>
      <c r="B800" s="9" t="str">
        <f>IFERROR(__xludf.DUMMYFUNCTION("""COMPUTED_VALUE"""),"BRITO")</f>
        <v>BRITO</v>
      </c>
      <c r="C800" s="9" t="str">
        <f>IFERROR(__xludf.DUMMYFUNCTION("""COMPUTED_VALUE"""),"KEISHA")</f>
        <v>KEISHA</v>
      </c>
      <c r="D800" s="9"/>
      <c r="E800" s="9" t="str">
        <f>IFERROR(__xludf.DUMMYFUNCTION("""COMPUTED_VALUE"""),"AIRA VILLARINO")</f>
        <v>AIRA VILLARINO</v>
      </c>
      <c r="F800" s="133"/>
      <c r="G800" s="13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60">
        <f t="shared" si="1"/>
        <v>795</v>
      </c>
      <c r="B801" s="9" t="str">
        <f>IFERROR(__xludf.DUMMYFUNCTION("""COMPUTED_VALUE"""),"QUIJADO")</f>
        <v>QUIJADO</v>
      </c>
      <c r="C801" s="9" t="str">
        <f>IFERROR(__xludf.DUMMYFUNCTION("""COMPUTED_VALUE"""),"PRINCESS KIM ")</f>
        <v>PRINCESS KIM </v>
      </c>
      <c r="D801" s="9" t="str">
        <f>IFERROR(__xludf.DUMMYFUNCTION("""COMPUTED_VALUE"""),"P.")</f>
        <v>P.</v>
      </c>
      <c r="E801" s="9" t="str">
        <f>IFERROR(__xludf.DUMMYFUNCTION("""COMPUTED_VALUE"""),"DOMINGO QUIJADO")</f>
        <v>DOMINGO QUIJADO</v>
      </c>
      <c r="F801" s="133"/>
      <c r="G801" s="13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60">
        <f t="shared" si="1"/>
        <v>796</v>
      </c>
      <c r="B802" s="9" t="str">
        <f>IFERROR(__xludf.DUMMYFUNCTION("""COMPUTED_VALUE"""),"QUIJADO")</f>
        <v>QUIJADO</v>
      </c>
      <c r="C802" s="9" t="str">
        <f>IFERROR(__xludf.DUMMYFUNCTION("""COMPUTED_VALUE"""),"ASHQUIN ")</f>
        <v>ASHQUIN </v>
      </c>
      <c r="D802" s="9" t="str">
        <f>IFERROR(__xludf.DUMMYFUNCTION("""COMPUTED_VALUE"""),"P.")</f>
        <v>P.</v>
      </c>
      <c r="E802" s="9" t="str">
        <f>IFERROR(__xludf.DUMMYFUNCTION("""COMPUTED_VALUE"""),"DOMINGO QUIJADO")</f>
        <v>DOMINGO QUIJADO</v>
      </c>
      <c r="F802" s="133"/>
      <c r="G802" s="13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60">
        <f t="shared" si="1"/>
        <v>797</v>
      </c>
      <c r="B803" s="9" t="str">
        <f>IFERROR(__xludf.DUMMYFUNCTION("""COMPUTED_VALUE"""),"QUIJADO")</f>
        <v>QUIJADO</v>
      </c>
      <c r="C803" s="9" t="str">
        <f>IFERROR(__xludf.DUMMYFUNCTION("""COMPUTED_VALUE"""),"NHEIQUI")</f>
        <v>NHEIQUI</v>
      </c>
      <c r="D803" s="9" t="str">
        <f>IFERROR(__xludf.DUMMYFUNCTION("""COMPUTED_VALUE"""),"P.")</f>
        <v>P.</v>
      </c>
      <c r="E803" s="9" t="str">
        <f>IFERROR(__xludf.DUMMYFUNCTION("""COMPUTED_VALUE"""),"DOMINGO QUIJADO")</f>
        <v>DOMINGO QUIJADO</v>
      </c>
      <c r="F803" s="133"/>
      <c r="G803" s="13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60">
        <f t="shared" si="1"/>
        <v>798</v>
      </c>
      <c r="B804" s="9" t="str">
        <f>IFERROR(__xludf.DUMMYFUNCTION("""COMPUTED_VALUE"""),"REYES")</f>
        <v>REYES</v>
      </c>
      <c r="C804" s="9" t="str">
        <f>IFERROR(__xludf.DUMMYFUNCTION("""COMPUTED_VALUE"""),"RHIANNA MAE")</f>
        <v>RHIANNA MAE</v>
      </c>
      <c r="D804" s="9"/>
      <c r="E804" s="9" t="str">
        <f>IFERROR(__xludf.DUMMYFUNCTION("""COMPUTED_VALUE"""),"CAROL D. REYES")</f>
        <v>CAROL D. REYES</v>
      </c>
      <c r="F804" s="133"/>
      <c r="G804" s="13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60">
        <f t="shared" si="1"/>
        <v>799</v>
      </c>
      <c r="B805" s="9" t="str">
        <f>IFERROR(__xludf.DUMMYFUNCTION("""COMPUTED_VALUE"""),"REYES")</f>
        <v>REYES</v>
      </c>
      <c r="C805" s="9" t="str">
        <f>IFERROR(__xludf.DUMMYFUNCTION("""COMPUTED_VALUE"""),"ZACK GABRIEL")</f>
        <v>ZACK GABRIEL</v>
      </c>
      <c r="D805" s="9"/>
      <c r="E805" s="9" t="str">
        <f>IFERROR(__xludf.DUMMYFUNCTION("""COMPUTED_VALUE"""),"JOHN MICHAEL D. REYES")</f>
        <v>JOHN MICHAEL D. REYES</v>
      </c>
      <c r="F805" s="133"/>
      <c r="G805" s="13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60">
        <f t="shared" si="1"/>
        <v>800</v>
      </c>
      <c r="B806" s="9" t="str">
        <f>IFERROR(__xludf.DUMMYFUNCTION("""COMPUTED_VALUE"""),"REYES")</f>
        <v>REYES</v>
      </c>
      <c r="C806" s="9" t="str">
        <f>IFERROR(__xludf.DUMMYFUNCTION("""COMPUTED_VALUE"""),"JOHN CARLOS ")</f>
        <v>JOHN CARLOS </v>
      </c>
      <c r="D806" s="9" t="str">
        <f>IFERROR(__xludf.DUMMYFUNCTION("""COMPUTED_VALUE"""),"D.")</f>
        <v>D.</v>
      </c>
      <c r="E806" s="9" t="str">
        <f>IFERROR(__xludf.DUMMYFUNCTION("""COMPUTED_VALUE"""),"ALICIA D. REYES")</f>
        <v>ALICIA D. REYES</v>
      </c>
      <c r="F806" s="133"/>
      <c r="G806" s="13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60">
        <f t="shared" si="1"/>
        <v>801</v>
      </c>
      <c r="B807" s="9" t="str">
        <f>IFERROR(__xludf.DUMMYFUNCTION("""COMPUTED_VALUE"""),"REYES")</f>
        <v>REYES</v>
      </c>
      <c r="C807" s="9" t="str">
        <f>IFERROR(__xludf.DUMMYFUNCTION("""COMPUTED_VALUE"""),"JOSHUA ")</f>
        <v>JOSHUA </v>
      </c>
      <c r="D807" s="9" t="str">
        <f>IFERROR(__xludf.DUMMYFUNCTION("""COMPUTED_VALUE"""),"D.")</f>
        <v>D.</v>
      </c>
      <c r="E807" s="9" t="str">
        <f>IFERROR(__xludf.DUMMYFUNCTION("""COMPUTED_VALUE"""),"ALICIA D. REYES")</f>
        <v>ALICIA D. REYES</v>
      </c>
      <c r="F807" s="133"/>
      <c r="G807" s="13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60">
        <f t="shared" si="1"/>
        <v>802</v>
      </c>
      <c r="B808" s="9" t="str">
        <f>IFERROR(__xludf.DUMMYFUNCTION("""COMPUTED_VALUE"""),"REYES")</f>
        <v>REYES</v>
      </c>
      <c r="C808" s="9" t="str">
        <f>IFERROR(__xludf.DUMMYFUNCTION("""COMPUTED_VALUE"""),"JONNALYN")</f>
        <v>JONNALYN</v>
      </c>
      <c r="D808" s="9"/>
      <c r="E808" s="9" t="str">
        <f>IFERROR(__xludf.DUMMYFUNCTION("""COMPUTED_VALUE"""),"ALICIA D. REYES")</f>
        <v>ALICIA D. REYES</v>
      </c>
      <c r="F808" s="133"/>
      <c r="G808" s="13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60">
        <f t="shared" si="1"/>
        <v>803</v>
      </c>
      <c r="B809" s="9" t="str">
        <f>IFERROR(__xludf.DUMMYFUNCTION("""COMPUTED_VALUE"""),"HERNANDEZ")</f>
        <v>HERNANDEZ</v>
      </c>
      <c r="C809" s="9" t="str">
        <f>IFERROR(__xludf.DUMMYFUNCTION("""COMPUTED_VALUE"""),"DWYANE RUSSELL")</f>
        <v>DWYANE RUSSELL</v>
      </c>
      <c r="D809" s="9" t="str">
        <f>IFERROR(__xludf.DUMMYFUNCTION("""COMPUTED_VALUE"""),"V.")</f>
        <v>V.</v>
      </c>
      <c r="E809" s="9" t="str">
        <f>IFERROR(__xludf.DUMMYFUNCTION("""COMPUTED_VALUE"""),"MARVIN HERNANDEZ")</f>
        <v>MARVIN HERNANDEZ</v>
      </c>
      <c r="F809" s="133"/>
      <c r="G809" s="13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60">
        <f t="shared" si="1"/>
        <v>804</v>
      </c>
      <c r="B810" s="9" t="str">
        <f>IFERROR(__xludf.DUMMYFUNCTION("""COMPUTED_VALUE"""),"SIRAY")</f>
        <v>SIRAY</v>
      </c>
      <c r="C810" s="9" t="str">
        <f>IFERROR(__xludf.DUMMYFUNCTION("""COMPUTED_VALUE"""),"JOHN MARK")</f>
        <v>JOHN MARK</v>
      </c>
      <c r="D810" s="9" t="str">
        <f>IFERROR(__xludf.DUMMYFUNCTION("""COMPUTED_VALUE"""),"R.")</f>
        <v>R.</v>
      </c>
      <c r="E810" s="9" t="str">
        <f>IFERROR(__xludf.DUMMYFUNCTION("""COMPUTED_VALUE"""),"ADRIAN SIRAY SR.")</f>
        <v>ADRIAN SIRAY SR.</v>
      </c>
      <c r="F810" s="133"/>
      <c r="G810" s="13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60">
        <f t="shared" si="1"/>
        <v>805</v>
      </c>
      <c r="B811" s="9" t="str">
        <f>IFERROR(__xludf.DUMMYFUNCTION("""COMPUTED_VALUE"""),"SIRAY JR.")</f>
        <v>SIRAY JR.</v>
      </c>
      <c r="C811" s="9" t="str">
        <f>IFERROR(__xludf.DUMMYFUNCTION("""COMPUTED_VALUE"""),"ADRIAN ")</f>
        <v>ADRIAN </v>
      </c>
      <c r="D811" s="9" t="str">
        <f>IFERROR(__xludf.DUMMYFUNCTION("""COMPUTED_VALUE"""),"R.")</f>
        <v>R.</v>
      </c>
      <c r="E811" s="9" t="str">
        <f>IFERROR(__xludf.DUMMYFUNCTION("""COMPUTED_VALUE"""),"ADRIAN SIRAY SR.")</f>
        <v>ADRIAN SIRAY SR.</v>
      </c>
      <c r="F811" s="133"/>
      <c r="G811" s="13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60">
        <f t="shared" si="1"/>
        <v>806</v>
      </c>
      <c r="B812" s="9" t="str">
        <f>IFERROR(__xludf.DUMMYFUNCTION("""COMPUTED_VALUE"""),"SIRAY")</f>
        <v>SIRAY</v>
      </c>
      <c r="C812" s="9" t="str">
        <f>IFERROR(__xludf.DUMMYFUNCTION("""COMPUTED_VALUE"""),"ERICKA")</f>
        <v>ERICKA</v>
      </c>
      <c r="D812" s="9" t="str">
        <f>IFERROR(__xludf.DUMMYFUNCTION("""COMPUTED_VALUE"""),"R.")</f>
        <v>R.</v>
      </c>
      <c r="E812" s="9" t="str">
        <f>IFERROR(__xludf.DUMMYFUNCTION("""COMPUTED_VALUE"""),"ADRIAN SIRAY SR.")</f>
        <v>ADRIAN SIRAY SR.</v>
      </c>
      <c r="F812" s="133"/>
      <c r="G812" s="13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60">
        <f t="shared" si="1"/>
        <v>807</v>
      </c>
      <c r="B813" s="9" t="str">
        <f>IFERROR(__xludf.DUMMYFUNCTION("""COMPUTED_VALUE"""),"SIRAY")</f>
        <v>SIRAY</v>
      </c>
      <c r="C813" s="9" t="str">
        <f>IFERROR(__xludf.DUMMYFUNCTION("""COMPUTED_VALUE"""),"NICOLE ANN")</f>
        <v>NICOLE ANN</v>
      </c>
      <c r="D813" s="9"/>
      <c r="E813" s="9" t="str">
        <f>IFERROR(__xludf.DUMMYFUNCTION("""COMPUTED_VALUE"""),"ADRIAN SIRAY SR.")</f>
        <v>ADRIAN SIRAY SR.</v>
      </c>
      <c r="F813" s="133"/>
      <c r="G813" s="13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60">
        <f t="shared" si="1"/>
        <v>808</v>
      </c>
      <c r="B814" s="9" t="str">
        <f>IFERROR(__xludf.DUMMYFUNCTION("""COMPUTED_VALUE"""),"FLORENDO")</f>
        <v>FLORENDO</v>
      </c>
      <c r="C814" s="9" t="str">
        <f>IFERROR(__xludf.DUMMYFUNCTION("""COMPUTED_VALUE"""),"ZYNDHIE")</f>
        <v>ZYNDHIE</v>
      </c>
      <c r="D814" s="9"/>
      <c r="E814" s="9" t="str">
        <f>IFERROR(__xludf.DUMMYFUNCTION("""COMPUTED_VALUE"""),"RANDOLF M. FLORENDO")</f>
        <v>RANDOLF M. FLORENDO</v>
      </c>
      <c r="F814" s="133"/>
      <c r="G814" s="13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60">
        <f t="shared" si="1"/>
        <v>809</v>
      </c>
      <c r="B815" s="9" t="str">
        <f>IFERROR(__xludf.DUMMYFUNCTION("""COMPUTED_VALUE"""),"QUIJADO")</f>
        <v>QUIJADO</v>
      </c>
      <c r="C815" s="9" t="str">
        <f>IFERROR(__xludf.DUMMYFUNCTION("""COMPUTED_VALUE"""),"JUSTINE")</f>
        <v>JUSTINE</v>
      </c>
      <c r="D815" s="9"/>
      <c r="E815" s="9" t="str">
        <f>IFERROR(__xludf.DUMMYFUNCTION("""COMPUTED_VALUE"""),"FLORENCIO E. QUIJADO")</f>
        <v>FLORENCIO E. QUIJADO</v>
      </c>
      <c r="F815" s="133"/>
      <c r="G815" s="13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60">
        <f t="shared" si="1"/>
        <v>810</v>
      </c>
      <c r="B816" s="9" t="str">
        <f>IFERROR(__xludf.DUMMYFUNCTION("""COMPUTED_VALUE"""),"QUIJADO")</f>
        <v>QUIJADO</v>
      </c>
      <c r="C816" s="9" t="str">
        <f>IFERROR(__xludf.DUMMYFUNCTION("""COMPUTED_VALUE"""),"JUSMMIENE")</f>
        <v>JUSMMIENE</v>
      </c>
      <c r="D816" s="9"/>
      <c r="E816" s="9" t="str">
        <f>IFERROR(__xludf.DUMMYFUNCTION("""COMPUTED_VALUE"""),"FLORENCIO E. QUIJADO")</f>
        <v>FLORENCIO E. QUIJADO</v>
      </c>
      <c r="F816" s="133"/>
      <c r="G816" s="13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60">
        <f t="shared" si="1"/>
        <v>811</v>
      </c>
      <c r="B817" s="9" t="str">
        <f>IFERROR(__xludf.DUMMYFUNCTION("""COMPUTED_VALUE"""),"PANONDI")</f>
        <v>PANONDI</v>
      </c>
      <c r="C817" s="9" t="str">
        <f>IFERROR(__xludf.DUMMYFUNCTION("""COMPUTED_VALUE"""),"NAJIB")</f>
        <v>NAJIB</v>
      </c>
      <c r="D817" s="9" t="str">
        <f>IFERROR(__xludf.DUMMYFUNCTION("""COMPUTED_VALUE"""),"Q.")</f>
        <v>Q.</v>
      </c>
      <c r="E817" s="9" t="str">
        <f>IFERROR(__xludf.DUMMYFUNCTION("""COMPUTED_VALUE"""),"HALED P. PANONDI")</f>
        <v>HALED P. PANONDI</v>
      </c>
      <c r="F817" s="133"/>
      <c r="G817" s="13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60">
        <f t="shared" si="1"/>
        <v>812</v>
      </c>
      <c r="B818" s="9" t="str">
        <f>IFERROR(__xludf.DUMMYFUNCTION("""COMPUTED_VALUE"""),"PANONDI")</f>
        <v>PANONDI</v>
      </c>
      <c r="C818" s="9" t="str">
        <f>IFERROR(__xludf.DUMMYFUNCTION("""COMPUTED_VALUE"""),"HONEY LOVE")</f>
        <v>HONEY LOVE</v>
      </c>
      <c r="D818" s="9" t="str">
        <f>IFERROR(__xludf.DUMMYFUNCTION("""COMPUTED_VALUE"""),"Q.")</f>
        <v>Q.</v>
      </c>
      <c r="E818" s="9" t="str">
        <f>IFERROR(__xludf.DUMMYFUNCTION("""COMPUTED_VALUE"""),"HALED P. PANONDI")</f>
        <v>HALED P. PANONDI</v>
      </c>
      <c r="F818" s="133"/>
      <c r="G818" s="13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60">
        <f t="shared" si="1"/>
        <v>813</v>
      </c>
      <c r="B819" s="9" t="str">
        <f>IFERROR(__xludf.DUMMYFUNCTION("""COMPUTED_VALUE"""),"ALUMBRO")</f>
        <v>ALUMBRO</v>
      </c>
      <c r="C819" s="9" t="str">
        <f>IFERROR(__xludf.DUMMYFUNCTION("""COMPUTED_VALUE"""),"TITUS MATHEW")</f>
        <v>TITUS MATHEW</v>
      </c>
      <c r="D819" s="9"/>
      <c r="E819" s="9" t="str">
        <f>IFERROR(__xludf.DUMMYFUNCTION("""COMPUTED_VALUE"""),"FELIX BRIAN ALUMBRO")</f>
        <v>FELIX BRIAN ALUMBRO</v>
      </c>
      <c r="F819" s="133"/>
      <c r="G819" s="13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60">
        <f t="shared" si="1"/>
        <v>814</v>
      </c>
      <c r="B820" s="9" t="str">
        <f>IFERROR(__xludf.DUMMYFUNCTION("""COMPUTED_VALUE"""),"ALUMBRO")</f>
        <v>ALUMBRO</v>
      </c>
      <c r="C820" s="9" t="str">
        <f>IFERROR(__xludf.DUMMYFUNCTION("""COMPUTED_VALUE"""),"BRIANA JOY")</f>
        <v>BRIANA JOY</v>
      </c>
      <c r="D820" s="9"/>
      <c r="E820" s="9" t="str">
        <f>IFERROR(__xludf.DUMMYFUNCTION("""COMPUTED_VALUE"""),"FELIX BRIAN ALUMBRO")</f>
        <v>FELIX BRIAN ALUMBRO</v>
      </c>
      <c r="F820" s="133" t="str">
        <f>IFERROR(__xludf.DUMMYFUNCTION("""COMPUTED_VALUE"""),"THIRD GEN")</f>
        <v>THIRD GEN</v>
      </c>
      <c r="G820" s="13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60">
        <f t="shared" si="1"/>
        <v>815</v>
      </c>
      <c r="B821" s="9" t="str">
        <f>IFERROR(__xludf.DUMMYFUNCTION("""COMPUTED_VALUE"""),"ALUMBRO")</f>
        <v>ALUMBRO</v>
      </c>
      <c r="C821" s="9" t="str">
        <f>IFERROR(__xludf.DUMMYFUNCTION("""COMPUTED_VALUE"""),"BIANCA AMELIA")</f>
        <v>BIANCA AMELIA</v>
      </c>
      <c r="D821" s="9"/>
      <c r="E821" s="9" t="str">
        <f>IFERROR(__xludf.DUMMYFUNCTION("""COMPUTED_VALUE"""),"FELIX BRIAN ALUMBRO")</f>
        <v>FELIX BRIAN ALUMBRO</v>
      </c>
      <c r="F821" s="133"/>
      <c r="G821" s="13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60">
        <f t="shared" si="1"/>
        <v>816</v>
      </c>
      <c r="B822" s="9" t="str">
        <f>IFERROR(__xludf.DUMMYFUNCTION("""COMPUTED_VALUE"""),"QUIJADO")</f>
        <v>QUIJADO</v>
      </c>
      <c r="C822" s="9" t="str">
        <f>IFERROR(__xludf.DUMMYFUNCTION("""COMPUTED_VALUE"""),"GARIMA ")</f>
        <v>GARIMA </v>
      </c>
      <c r="D822" s="9" t="str">
        <f>IFERROR(__xludf.DUMMYFUNCTION("""COMPUTED_VALUE"""),"E")</f>
        <v>E</v>
      </c>
      <c r="E822" s="9" t="str">
        <f>IFERROR(__xludf.DUMMYFUNCTION("""COMPUTED_VALUE"""),"DOMINGO H. QUIJADO")</f>
        <v>DOMINGO H. QUIJADO</v>
      </c>
      <c r="F822" s="133"/>
      <c r="G822" s="13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60">
        <f t="shared" si="1"/>
        <v>817</v>
      </c>
      <c r="B823" s="9" t="str">
        <f>IFERROR(__xludf.DUMMYFUNCTION("""COMPUTED_VALUE"""),"QUIJADO")</f>
        <v>QUIJADO</v>
      </c>
      <c r="C823" s="9" t="str">
        <f>IFERROR(__xludf.DUMMYFUNCTION("""COMPUTED_VALUE"""),"FLORENCIO ")</f>
        <v>FLORENCIO </v>
      </c>
      <c r="D823" s="9" t="str">
        <f>IFERROR(__xludf.DUMMYFUNCTION("""COMPUTED_VALUE"""),"E")</f>
        <v>E</v>
      </c>
      <c r="E823" s="9" t="str">
        <f>IFERROR(__xludf.DUMMYFUNCTION("""COMPUTED_VALUE"""),"DOMINGO H. QUIJADO")</f>
        <v>DOMINGO H. QUIJADO</v>
      </c>
      <c r="F823" s="133"/>
      <c r="G823" s="13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60">
        <f t="shared" si="1"/>
        <v>818</v>
      </c>
      <c r="B824" s="9" t="str">
        <f>IFERROR(__xludf.DUMMYFUNCTION("""COMPUTED_VALUE"""),"QUIJADO")</f>
        <v>QUIJADO</v>
      </c>
      <c r="C824" s="9" t="str">
        <f>IFERROR(__xludf.DUMMYFUNCTION("""COMPUTED_VALUE"""),"LOVELY MARICEL")</f>
        <v>LOVELY MARICEL</v>
      </c>
      <c r="D824" s="9" t="str">
        <f>IFERROR(__xludf.DUMMYFUNCTION("""COMPUTED_VALUE"""),"E.")</f>
        <v>E.</v>
      </c>
      <c r="E824" s="9" t="str">
        <f>IFERROR(__xludf.DUMMYFUNCTION("""COMPUTED_VALUE"""),"DOMINGO H. QUIJADO")</f>
        <v>DOMINGO H. QUIJADO</v>
      </c>
      <c r="F824" s="133"/>
      <c r="G824" s="13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60">
        <f t="shared" si="1"/>
        <v>819</v>
      </c>
      <c r="B825" s="9" t="str">
        <f>IFERROR(__xludf.DUMMYFUNCTION("""COMPUTED_VALUE"""),"QUIJADO")</f>
        <v>QUIJADO</v>
      </c>
      <c r="C825" s="9" t="str">
        <f>IFERROR(__xludf.DUMMYFUNCTION("""COMPUTED_VALUE"""),"JENYLYN")</f>
        <v>JENYLYN</v>
      </c>
      <c r="D825" s="9" t="str">
        <f>IFERROR(__xludf.DUMMYFUNCTION("""COMPUTED_VALUE"""),"E.")</f>
        <v>E.</v>
      </c>
      <c r="E825" s="9" t="str">
        <f>IFERROR(__xludf.DUMMYFUNCTION("""COMPUTED_VALUE"""),"DOMINGO H. QUIJADO")</f>
        <v>DOMINGO H. QUIJADO</v>
      </c>
      <c r="F825" s="133"/>
      <c r="G825" s="13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60">
        <f t="shared" si="1"/>
        <v>820</v>
      </c>
      <c r="B826" s="9" t="str">
        <f>IFERROR(__xludf.DUMMYFUNCTION("""COMPUTED_VALUE"""),"QUIJADO")</f>
        <v>QUIJADO</v>
      </c>
      <c r="C826" s="9" t="str">
        <f>IFERROR(__xludf.DUMMYFUNCTION("""COMPUTED_VALUE"""),"DOMINGO")</f>
        <v>DOMINGO</v>
      </c>
      <c r="D826" s="9" t="str">
        <f>IFERROR(__xludf.DUMMYFUNCTION("""COMPUTED_VALUE"""),"E.")</f>
        <v>E.</v>
      </c>
      <c r="E826" s="9" t="str">
        <f>IFERROR(__xludf.DUMMYFUNCTION("""COMPUTED_VALUE"""),"DOMINGO H. QUIJADO")</f>
        <v>DOMINGO H. QUIJADO</v>
      </c>
      <c r="F826" s="133"/>
      <c r="G826" s="13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60">
        <f t="shared" si="1"/>
        <v>821</v>
      </c>
      <c r="B827" s="9" t="str">
        <f>IFERROR(__xludf.DUMMYFUNCTION("""COMPUTED_VALUE"""),"QUIJADO")</f>
        <v>QUIJADO</v>
      </c>
      <c r="C827" s="9" t="str">
        <f>IFERROR(__xludf.DUMMYFUNCTION("""COMPUTED_VALUE"""),"MARIJANE JOY ")</f>
        <v>MARIJANE JOY </v>
      </c>
      <c r="D827" s="9" t="str">
        <f>IFERROR(__xludf.DUMMYFUNCTION("""COMPUTED_VALUE"""),"E.")</f>
        <v>E.</v>
      </c>
      <c r="E827" s="9" t="str">
        <f>IFERROR(__xludf.DUMMYFUNCTION("""COMPUTED_VALUE"""),"DOMINGO H. QUIJADO")</f>
        <v>DOMINGO H. QUIJADO</v>
      </c>
      <c r="F827" s="133"/>
      <c r="G827" s="13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60">
        <f t="shared" si="1"/>
        <v>822</v>
      </c>
      <c r="B828" s="9" t="str">
        <f>IFERROR(__xludf.DUMMYFUNCTION("""COMPUTED_VALUE"""),"NACASABUG")</f>
        <v>NACASABUG</v>
      </c>
      <c r="C828" s="9" t="str">
        <f>IFERROR(__xludf.DUMMYFUNCTION("""COMPUTED_VALUE"""),"BEBYHEN")</f>
        <v>BEBYHEN</v>
      </c>
      <c r="D828" s="9" t="str">
        <f>IFERROR(__xludf.DUMMYFUNCTION("""COMPUTED_VALUE"""),"C.")</f>
        <v>C.</v>
      </c>
      <c r="E828" s="9" t="str">
        <f>IFERROR(__xludf.DUMMYFUNCTION("""COMPUTED_VALUE"""),"MIKAELA ZHAYNE C. CACERES")</f>
        <v>MIKAELA ZHAYNE C. CACERES</v>
      </c>
      <c r="F828" s="133"/>
      <c r="G828" s="13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60">
        <f t="shared" si="1"/>
        <v>823</v>
      </c>
      <c r="B829" s="9" t="str">
        <f>IFERROR(__xludf.DUMMYFUNCTION("""COMPUTED_VALUE"""),"NAKASABUG")</f>
        <v>NAKASABUG</v>
      </c>
      <c r="C829" s="9" t="str">
        <f>IFERROR(__xludf.DUMMYFUNCTION("""COMPUTED_VALUE"""),"YHENBER")</f>
        <v>YHENBER</v>
      </c>
      <c r="D829" s="9" t="str">
        <f>IFERROR(__xludf.DUMMYFUNCTION("""COMPUTED_VALUE"""),"C.")</f>
        <v>C.</v>
      </c>
      <c r="E829" s="9" t="str">
        <f>IFERROR(__xludf.DUMMYFUNCTION("""COMPUTED_VALUE"""),"MIKAELA ZHAYNE C. CACERES")</f>
        <v>MIKAELA ZHAYNE C. CACERES</v>
      </c>
      <c r="F829" s="133"/>
      <c r="G829" s="13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60">
        <f t="shared" si="1"/>
        <v>824</v>
      </c>
      <c r="B830" s="9" t="str">
        <f>IFERROR(__xludf.DUMMYFUNCTION("""COMPUTED_VALUE"""),"GAMER")</f>
        <v>GAMER</v>
      </c>
      <c r="C830" s="9" t="str">
        <f>IFERROR(__xludf.DUMMYFUNCTION("""COMPUTED_VALUE"""),"DANIEL HUGH")</f>
        <v>DANIEL HUGH</v>
      </c>
      <c r="D830" s="9" t="str">
        <f>IFERROR(__xludf.DUMMYFUNCTION("""COMPUTED_VALUE"""),"R.")</f>
        <v>R.</v>
      </c>
      <c r="E830" s="9" t="str">
        <f>IFERROR(__xludf.DUMMYFUNCTION("""COMPUTED_VALUE"""),"MARIA AGNES G. RAAGAS")</f>
        <v>MARIA AGNES G. RAAGAS</v>
      </c>
      <c r="F830" s="133"/>
      <c r="G830" s="13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60">
        <f t="shared" si="1"/>
        <v>825</v>
      </c>
      <c r="B831" s="9" t="str">
        <f>IFERROR(__xludf.DUMMYFUNCTION("""COMPUTED_VALUE"""),"SALAZAR")</f>
        <v>SALAZAR</v>
      </c>
      <c r="C831" s="9" t="str">
        <f>IFERROR(__xludf.DUMMYFUNCTION("""COMPUTED_VALUE"""),"NICOLE ")</f>
        <v>NICOLE </v>
      </c>
      <c r="D831" s="9"/>
      <c r="E831" s="9" t="str">
        <f>IFERROR(__xludf.DUMMYFUNCTION("""COMPUTED_VALUE"""),"RANDY C. BAÑADERA")</f>
        <v>RANDY C. BAÑADERA</v>
      </c>
      <c r="F831" s="133"/>
      <c r="G831" s="13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60">
        <f t="shared" si="1"/>
        <v>826</v>
      </c>
      <c r="B832" s="9" t="str">
        <f>IFERROR(__xludf.DUMMYFUNCTION("""COMPUTED_VALUE"""),"BAÑADERA")</f>
        <v>BAÑADERA</v>
      </c>
      <c r="C832" s="9" t="str">
        <f>IFERROR(__xludf.DUMMYFUNCTION("""COMPUTED_VALUE"""),"BAÑADERA")</f>
        <v>BAÑADERA</v>
      </c>
      <c r="D832" s="9"/>
      <c r="E832" s="9" t="str">
        <f>IFERROR(__xludf.DUMMYFUNCTION("""COMPUTED_VALUE"""),"RANDY C. BAÑADERA")</f>
        <v>RANDY C. BAÑADERA</v>
      </c>
      <c r="F832" s="133"/>
      <c r="G832" s="13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60">
        <f t="shared" si="1"/>
        <v>827</v>
      </c>
      <c r="B833" s="9" t="str">
        <f>IFERROR(__xludf.DUMMYFUNCTION("""COMPUTED_VALUE"""),"VILLARINO")</f>
        <v>VILLARINO</v>
      </c>
      <c r="C833" s="9" t="str">
        <f>IFERROR(__xludf.DUMMYFUNCTION("""COMPUTED_VALUE"""),"ANGELO ")</f>
        <v>ANGELO </v>
      </c>
      <c r="D833" s="9"/>
      <c r="E833" s="9" t="str">
        <f>IFERROR(__xludf.DUMMYFUNCTION("""COMPUTED_VALUE"""),"AILEEN S. VILLARINO")</f>
        <v>AILEEN S. VILLARINO</v>
      </c>
      <c r="F833" s="133"/>
      <c r="G833" s="13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60">
        <f t="shared" si="1"/>
        <v>828</v>
      </c>
      <c r="B834" s="9" t="str">
        <f>IFERROR(__xludf.DUMMYFUNCTION("""COMPUTED_VALUE"""),"BAÑADERA")</f>
        <v>BAÑADERA</v>
      </c>
      <c r="C834" s="9" t="str">
        <f>IFERROR(__xludf.DUMMYFUNCTION("""COMPUTED_VALUE"""),"NEVIELYN")</f>
        <v>NEVIELYN</v>
      </c>
      <c r="D834" s="9"/>
      <c r="E834" s="9" t="str">
        <f>IFERROR(__xludf.DUMMYFUNCTION("""COMPUTED_VALUE"""),"AILEEN S. VILLARINO")</f>
        <v>AILEEN S. VILLARINO</v>
      </c>
      <c r="F834" s="133"/>
      <c r="G834" s="13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60">
        <f t="shared" si="1"/>
        <v>829</v>
      </c>
      <c r="B835" s="9" t="str">
        <f>IFERROR(__xludf.DUMMYFUNCTION("""COMPUTED_VALUE"""),"SALAZAR")</f>
        <v>SALAZAR</v>
      </c>
      <c r="C835" s="9" t="str">
        <f>IFERROR(__xludf.DUMMYFUNCTION("""COMPUTED_VALUE"""),"ANA LIZA")</f>
        <v>ANA LIZA</v>
      </c>
      <c r="D835" s="9"/>
      <c r="E835" s="9" t="str">
        <f>IFERROR(__xludf.DUMMYFUNCTION("""COMPUTED_VALUE"""),"EMY SALAZAR AGUILA")</f>
        <v>EMY SALAZAR AGUILA</v>
      </c>
      <c r="F835" s="133"/>
      <c r="G835" s="13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60">
        <f t="shared" si="1"/>
        <v>830</v>
      </c>
      <c r="B836" s="9" t="str">
        <f>IFERROR(__xludf.DUMMYFUNCTION("""COMPUTED_VALUE"""),"ABUIA JR.")</f>
        <v>ABUIA JR.</v>
      </c>
      <c r="C836" s="9" t="str">
        <f>IFERROR(__xludf.DUMMYFUNCTION("""COMPUTED_VALUE"""),"EDWARDO")</f>
        <v>EDWARDO</v>
      </c>
      <c r="D836" s="9"/>
      <c r="E836" s="9" t="str">
        <f>IFERROR(__xludf.DUMMYFUNCTION("""COMPUTED_VALUE"""),"EMY SALAZAR AGUILA")</f>
        <v>EMY SALAZAR AGUILA</v>
      </c>
      <c r="F836" s="133"/>
      <c r="G836" s="13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60">
        <f t="shared" si="1"/>
        <v>831</v>
      </c>
      <c r="B837" s="9" t="str">
        <f>IFERROR(__xludf.DUMMYFUNCTION("""COMPUTED_VALUE"""),"STAHL")</f>
        <v>STAHL</v>
      </c>
      <c r="C837" s="9" t="str">
        <f>IFERROR(__xludf.DUMMYFUNCTION("""COMPUTED_VALUE"""),"GEROGINA RUBIE")</f>
        <v>GEROGINA RUBIE</v>
      </c>
      <c r="D837" s="9" t="str">
        <f>IFERROR(__xludf.DUMMYFUNCTION("""COMPUTED_VALUE"""),"B.")</f>
        <v>B.</v>
      </c>
      <c r="E837" s="9" t="str">
        <f>IFERROR(__xludf.DUMMYFUNCTION("""COMPUTED_VALUE"""),"RUBY BAÑADERA")</f>
        <v>RUBY BAÑADERA</v>
      </c>
      <c r="F837" s="133"/>
      <c r="G837" s="13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60">
        <f t="shared" si="1"/>
        <v>832</v>
      </c>
      <c r="B838" s="9" t="str">
        <f>IFERROR(__xludf.DUMMYFUNCTION("""COMPUTED_VALUE"""),"STAHL")</f>
        <v>STAHL</v>
      </c>
      <c r="C838" s="9" t="str">
        <f>IFERROR(__xludf.DUMMYFUNCTION("""COMPUTED_VALUE"""),"JORGE WILHELM VON ")</f>
        <v>JORGE WILHELM VON </v>
      </c>
      <c r="D838" s="9" t="str">
        <f>IFERROR(__xludf.DUMMYFUNCTION("""COMPUTED_VALUE"""),"B.")</f>
        <v>B.</v>
      </c>
      <c r="E838" s="9" t="str">
        <f>IFERROR(__xludf.DUMMYFUNCTION("""COMPUTED_VALUE"""),"RUBY BAÑADERA")</f>
        <v>RUBY BAÑADERA</v>
      </c>
      <c r="F838" s="133"/>
      <c r="G838" s="13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60">
        <f t="shared" si="1"/>
        <v>833</v>
      </c>
      <c r="B839" s="9" t="str">
        <f>IFERROR(__xludf.DUMMYFUNCTION("""COMPUTED_VALUE"""),"SALINAS JR.")</f>
        <v>SALINAS JR.</v>
      </c>
      <c r="C839" s="9" t="str">
        <f>IFERROR(__xludf.DUMMYFUNCTION("""COMPUTED_VALUE"""),"HERMIE")</f>
        <v>HERMIE</v>
      </c>
      <c r="D839" s="9"/>
      <c r="E839" s="9" t="str">
        <f>IFERROR(__xludf.DUMMYFUNCTION("""COMPUTED_VALUE"""),"HERMINIGILDO N SALINAS")</f>
        <v>HERMINIGILDO N SALINAS</v>
      </c>
      <c r="F839" s="133"/>
      <c r="G839" s="13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60">
        <f t="shared" si="1"/>
        <v>834</v>
      </c>
      <c r="B840" s="9" t="str">
        <f>IFERROR(__xludf.DUMMYFUNCTION("""COMPUTED_VALUE"""),"SALINAS")</f>
        <v>SALINAS</v>
      </c>
      <c r="C840" s="9" t="str">
        <f>IFERROR(__xludf.DUMMYFUNCTION("""COMPUTED_VALUE"""),"MA. NEMESIA")</f>
        <v>MA. NEMESIA</v>
      </c>
      <c r="D840" s="9"/>
      <c r="E840" s="9" t="str">
        <f>IFERROR(__xludf.DUMMYFUNCTION("""COMPUTED_VALUE"""),"HERMINIGILDO N SALINAS")</f>
        <v>HERMINIGILDO N SALINAS</v>
      </c>
      <c r="F840" s="133"/>
      <c r="G840" s="13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60">
        <f t="shared" si="1"/>
        <v>835</v>
      </c>
      <c r="B841" s="9" t="str">
        <f>IFERROR(__xludf.DUMMYFUNCTION("""COMPUTED_VALUE"""),"SALINAS")</f>
        <v>SALINAS</v>
      </c>
      <c r="C841" s="9" t="str">
        <f>IFERROR(__xludf.DUMMYFUNCTION("""COMPUTED_VALUE"""),"OLIVIA")</f>
        <v>OLIVIA</v>
      </c>
      <c r="D841" s="9"/>
      <c r="E841" s="9" t="str">
        <f>IFERROR(__xludf.DUMMYFUNCTION("""COMPUTED_VALUE"""),"HERMINIGILDO N SALINAS")</f>
        <v>HERMINIGILDO N SALINAS</v>
      </c>
      <c r="F841" s="133"/>
      <c r="G841" s="13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60">
        <f t="shared" si="1"/>
        <v>836</v>
      </c>
      <c r="B842" s="9" t="str">
        <f>IFERROR(__xludf.DUMMYFUNCTION("""COMPUTED_VALUE"""),"NADALO")</f>
        <v>NADALO</v>
      </c>
      <c r="C842" s="9" t="str">
        <f>IFERROR(__xludf.DUMMYFUNCTION("""COMPUTED_VALUE"""),"SYDNEY")</f>
        <v>SYDNEY</v>
      </c>
      <c r="D842" s="9"/>
      <c r="E842" s="9" t="str">
        <f>IFERROR(__xludf.DUMMYFUNCTION("""COMPUTED_VALUE"""),"FRANCIS RICHARDSON")</f>
        <v>FRANCIS RICHARDSON</v>
      </c>
      <c r="F842" s="133"/>
      <c r="G842" s="13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60">
        <f t="shared" si="1"/>
        <v>837</v>
      </c>
      <c r="B843" s="9" t="str">
        <f>IFERROR(__xludf.DUMMYFUNCTION("""COMPUTED_VALUE"""),"NADALO")</f>
        <v>NADALO</v>
      </c>
      <c r="C843" s="9" t="str">
        <f>IFERROR(__xludf.DUMMYFUNCTION("""COMPUTED_VALUE"""),"ABBY GAE")</f>
        <v>ABBY GAE</v>
      </c>
      <c r="D843" s="9"/>
      <c r="E843" s="9" t="str">
        <f>IFERROR(__xludf.DUMMYFUNCTION("""COMPUTED_VALUE"""),"FRANCIS RICHARDSON")</f>
        <v>FRANCIS RICHARDSON</v>
      </c>
      <c r="F843" s="133"/>
      <c r="G843" s="13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60">
        <f t="shared" si="1"/>
        <v>838</v>
      </c>
      <c r="B844" s="9" t="str">
        <f>IFERROR(__xludf.DUMMYFUNCTION("""COMPUTED_VALUE"""),"NADALO")</f>
        <v>NADALO</v>
      </c>
      <c r="C844" s="9" t="str">
        <f>IFERROR(__xludf.DUMMYFUNCTION("""COMPUTED_VALUE"""),"TRIXIE IVON")</f>
        <v>TRIXIE IVON</v>
      </c>
      <c r="D844" s="9"/>
      <c r="E844" s="9" t="str">
        <f>IFERROR(__xludf.DUMMYFUNCTION("""COMPUTED_VALUE"""),"FRANCIS RICHARDSON")</f>
        <v>FRANCIS RICHARDSON</v>
      </c>
      <c r="F844" s="133"/>
      <c r="G844" s="13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60">
        <f t="shared" si="1"/>
        <v>839</v>
      </c>
      <c r="B845" s="9" t="str">
        <f>IFERROR(__xludf.DUMMYFUNCTION("""COMPUTED_VALUE"""),"CABER")</f>
        <v>CABER</v>
      </c>
      <c r="C845" s="9" t="str">
        <f>IFERROR(__xludf.DUMMYFUNCTION("""COMPUTED_VALUE"""),"GLENN")</f>
        <v>GLENN</v>
      </c>
      <c r="D845" s="9"/>
      <c r="E845" s="9" t="str">
        <f>IFERROR(__xludf.DUMMYFUNCTION("""COMPUTED_VALUE"""),"ANTONIO CABER")</f>
        <v>ANTONIO CABER</v>
      </c>
      <c r="F845" s="133"/>
      <c r="G845" s="13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60">
        <f t="shared" si="1"/>
        <v>840</v>
      </c>
      <c r="B846" s="9" t="str">
        <f>IFERROR(__xludf.DUMMYFUNCTION("""COMPUTED_VALUE"""),"CABER")</f>
        <v>CABER</v>
      </c>
      <c r="C846" s="9" t="str">
        <f>IFERROR(__xludf.DUMMYFUNCTION("""COMPUTED_VALUE"""),"ERICA")</f>
        <v>ERICA</v>
      </c>
      <c r="D846" s="9"/>
      <c r="E846" s="9" t="str">
        <f>IFERROR(__xludf.DUMMYFUNCTION("""COMPUTED_VALUE"""),"ANTONIO CABER")</f>
        <v>ANTONIO CABER</v>
      </c>
      <c r="F846" s="133"/>
      <c r="G846" s="13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60">
        <f t="shared" si="1"/>
        <v>841</v>
      </c>
      <c r="B847" s="9" t="str">
        <f>IFERROR(__xludf.DUMMYFUNCTION("""COMPUTED_VALUE"""),"CABER")</f>
        <v>CABER</v>
      </c>
      <c r="C847" s="9" t="str">
        <f>IFERROR(__xludf.DUMMYFUNCTION("""COMPUTED_VALUE"""),"TRICIA")</f>
        <v>TRICIA</v>
      </c>
      <c r="D847" s="9"/>
      <c r="E847" s="9" t="str">
        <f>IFERROR(__xludf.DUMMYFUNCTION("""COMPUTED_VALUE"""),"ANTONIO CABER")</f>
        <v>ANTONIO CABER</v>
      </c>
      <c r="F847" s="133"/>
      <c r="G847" s="13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60">
        <f t="shared" si="1"/>
        <v>842</v>
      </c>
      <c r="B848" s="9" t="str">
        <f>IFERROR(__xludf.DUMMYFUNCTION("""COMPUTED_VALUE"""),"CABER")</f>
        <v>CABER</v>
      </c>
      <c r="C848" s="9" t="str">
        <f>IFERROR(__xludf.DUMMYFUNCTION("""COMPUTED_VALUE"""),"STACEE")</f>
        <v>STACEE</v>
      </c>
      <c r="D848" s="9"/>
      <c r="E848" s="9" t="str">
        <f>IFERROR(__xludf.DUMMYFUNCTION("""COMPUTED_VALUE"""),"GLENN CABER")</f>
        <v>GLENN CABER</v>
      </c>
      <c r="F848" s="133"/>
      <c r="G848" s="13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60">
        <f t="shared" si="1"/>
        <v>843</v>
      </c>
      <c r="B849" s="9" t="str">
        <f>IFERROR(__xludf.DUMMYFUNCTION("""COMPUTED_VALUE"""),"MADRAZO")</f>
        <v>MADRAZO</v>
      </c>
      <c r="C849" s="9" t="str">
        <f>IFERROR(__xludf.DUMMYFUNCTION("""COMPUTED_VALUE"""),"JHON KIRK PAATRICK ")</f>
        <v>JHON KIRK PAATRICK </v>
      </c>
      <c r="D849" s="9"/>
      <c r="E849" s="9" t="str">
        <f>IFERROR(__xludf.DUMMYFUNCTION("""COMPUTED_VALUE"""),"FREDERICK HERRERA BALILE")</f>
        <v>FREDERICK HERRERA BALILE</v>
      </c>
      <c r="F849" s="133"/>
      <c r="G849" s="13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60">
        <f t="shared" si="1"/>
        <v>844</v>
      </c>
      <c r="B850" s="9" t="str">
        <f>IFERROR(__xludf.DUMMYFUNCTION("""COMPUTED_VALUE"""),"BALILE")</f>
        <v>BALILE</v>
      </c>
      <c r="C850" s="9" t="str">
        <f>IFERROR(__xludf.DUMMYFUNCTION("""COMPUTED_VALUE"""),"JANDELMAR")</f>
        <v>JANDELMAR</v>
      </c>
      <c r="D850" s="9"/>
      <c r="E850" s="9" t="str">
        <f>IFERROR(__xludf.DUMMYFUNCTION("""COMPUTED_VALUE"""),"FREDERICK HERRERA BALILE")</f>
        <v>FREDERICK HERRERA BALILE</v>
      </c>
      <c r="F850" s="133"/>
      <c r="G850" s="13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60">
        <f t="shared" si="1"/>
        <v>845</v>
      </c>
      <c r="B851" s="9" t="str">
        <f>IFERROR(__xludf.DUMMYFUNCTION("""COMPUTED_VALUE"""),"BORJA")</f>
        <v>BORJA</v>
      </c>
      <c r="C851" s="9" t="str">
        <f>IFERROR(__xludf.DUMMYFUNCTION("""COMPUTED_VALUE"""),"ALLYSA JANE")</f>
        <v>ALLYSA JANE</v>
      </c>
      <c r="D851" s="9"/>
      <c r="E851" s="9" t="str">
        <f>IFERROR(__xludf.DUMMYFUNCTION("""COMPUTED_VALUE"""),"FREDERICK HERRERA BALILE")</f>
        <v>FREDERICK HERRERA BALILE</v>
      </c>
      <c r="F851" s="133"/>
      <c r="G851" s="13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60">
        <f t="shared" si="1"/>
        <v>846</v>
      </c>
      <c r="B852" s="9" t="str">
        <f>IFERROR(__xludf.DUMMYFUNCTION("""COMPUTED_VALUE"""),"ARANDIA")</f>
        <v>ARANDIA</v>
      </c>
      <c r="C852" s="9" t="str">
        <f>IFERROR(__xludf.DUMMYFUNCTION("""COMPUTED_VALUE"""),"GLENNEL")</f>
        <v>GLENNEL</v>
      </c>
      <c r="D852" s="9"/>
      <c r="E852" s="9" t="str">
        <f>IFERROR(__xludf.DUMMYFUNCTION("""COMPUTED_VALUE"""),"FREDERICK HERRERA BALILE")</f>
        <v>FREDERICK HERRERA BALILE</v>
      </c>
      <c r="F852" s="133"/>
      <c r="G852" s="13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60">
        <f t="shared" si="1"/>
        <v>847</v>
      </c>
      <c r="B853" s="9" t="str">
        <f>IFERROR(__xludf.DUMMYFUNCTION("""COMPUTED_VALUE"""),"LEONEDO")</f>
        <v>LEONEDO</v>
      </c>
      <c r="C853" s="9" t="str">
        <f>IFERROR(__xludf.DUMMYFUNCTION("""COMPUTED_VALUE"""),"WESLEY ")</f>
        <v>WESLEY </v>
      </c>
      <c r="D853" s="9" t="str">
        <f>IFERROR(__xludf.DUMMYFUNCTION("""COMPUTED_VALUE"""),"G.")</f>
        <v>G.</v>
      </c>
      <c r="E853" s="9" t="str">
        <f>IFERROR(__xludf.DUMMYFUNCTION("""COMPUTED_VALUE"""),"WILLIAM M. LEONEDO")</f>
        <v>WILLIAM M. LEONEDO</v>
      </c>
      <c r="F853" s="133"/>
      <c r="G853" s="13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60">
        <f t="shared" si="1"/>
        <v>848</v>
      </c>
      <c r="B854" s="9" t="str">
        <f>IFERROR(__xludf.DUMMYFUNCTION("""COMPUTED_VALUE"""),"LEONEDO")</f>
        <v>LEONEDO</v>
      </c>
      <c r="C854" s="9" t="str">
        <f>IFERROR(__xludf.DUMMYFUNCTION("""COMPUTED_VALUE"""),"SHEMIRA")</f>
        <v>SHEMIRA</v>
      </c>
      <c r="D854" s="9" t="str">
        <f>IFERROR(__xludf.DUMMYFUNCTION("""COMPUTED_VALUE"""),"G.")</f>
        <v>G.</v>
      </c>
      <c r="E854" s="9" t="str">
        <f>IFERROR(__xludf.DUMMYFUNCTION("""COMPUTED_VALUE"""),"WILLIAM M. LEONEDO")</f>
        <v>WILLIAM M. LEONEDO</v>
      </c>
      <c r="F854" s="133"/>
      <c r="G854" s="13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60">
        <f t="shared" si="1"/>
        <v>849</v>
      </c>
      <c r="B855" s="9" t="str">
        <f>IFERROR(__xludf.DUMMYFUNCTION("""COMPUTED_VALUE"""),"LEONEDO")</f>
        <v>LEONEDO</v>
      </c>
      <c r="C855" s="9" t="str">
        <f>IFERROR(__xludf.DUMMYFUNCTION("""COMPUTED_VALUE"""),"SHAYUMI JANF")</f>
        <v>SHAYUMI JANF</v>
      </c>
      <c r="D855" s="9" t="str">
        <f>IFERROR(__xludf.DUMMYFUNCTION("""COMPUTED_VALUE"""),"G.")</f>
        <v>G.</v>
      </c>
      <c r="E855" s="9" t="str">
        <f>IFERROR(__xludf.DUMMYFUNCTION("""COMPUTED_VALUE"""),"WILLIAM M. LEONEDO")</f>
        <v>WILLIAM M. LEONEDO</v>
      </c>
      <c r="F855" s="133"/>
      <c r="G855" s="13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60">
        <f t="shared" si="1"/>
        <v>850</v>
      </c>
      <c r="B856" s="9" t="str">
        <f>IFERROR(__xludf.DUMMYFUNCTION("""COMPUTED_VALUE"""),"PAZ IV")</f>
        <v>PAZ IV</v>
      </c>
      <c r="C856" s="9" t="str">
        <f>IFERROR(__xludf.DUMMYFUNCTION("""COMPUTED_VALUE"""),"ALFONSO BAMBINO")</f>
        <v>ALFONSO BAMBINO</v>
      </c>
      <c r="D856" s="9"/>
      <c r="E856" s="9" t="str">
        <f>IFERROR(__xludf.DUMMYFUNCTION("""COMPUTED_VALUE"""),"BAMBINO P. PAZ")</f>
        <v>BAMBINO P. PAZ</v>
      </c>
      <c r="F856" s="133"/>
      <c r="G856" s="13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60">
        <f t="shared" si="1"/>
        <v>851</v>
      </c>
      <c r="B857" s="9" t="str">
        <f>IFERROR(__xludf.DUMMYFUNCTION("""COMPUTED_VALUE"""),"PAZ II")</f>
        <v>PAZ II</v>
      </c>
      <c r="C857" s="9" t="str">
        <f>IFERROR(__xludf.DUMMYFUNCTION("""COMPUTED_VALUE"""),"RODOLFO BAMBINO")</f>
        <v>RODOLFO BAMBINO</v>
      </c>
      <c r="D857" s="9"/>
      <c r="E857" s="9" t="str">
        <f>IFERROR(__xludf.DUMMYFUNCTION("""COMPUTED_VALUE"""),"BAMBINO P. PAZ")</f>
        <v>BAMBINO P. PAZ</v>
      </c>
      <c r="F857" s="133"/>
      <c r="G857" s="13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60">
        <f t="shared" si="1"/>
        <v>852</v>
      </c>
      <c r="B858" s="9" t="str">
        <f>IFERROR(__xludf.DUMMYFUNCTION("""COMPUTED_VALUE"""),"PAZ")</f>
        <v>PAZ</v>
      </c>
      <c r="C858" s="9" t="str">
        <f>IFERROR(__xludf.DUMMYFUNCTION("""COMPUTED_VALUE"""),"JOYCE ANN")</f>
        <v>JOYCE ANN</v>
      </c>
      <c r="D858" s="9"/>
      <c r="E858" s="9" t="str">
        <f>IFERROR(__xludf.DUMMYFUNCTION("""COMPUTED_VALUE"""),"BAMBINO P. PAZ")</f>
        <v>BAMBINO P. PAZ</v>
      </c>
      <c r="F858" s="133"/>
      <c r="G858" s="13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60">
        <f t="shared" si="1"/>
        <v>853</v>
      </c>
      <c r="B859" s="9" t="str">
        <f>IFERROR(__xludf.DUMMYFUNCTION("""COMPUTED_VALUE"""),"CANAN")</f>
        <v>CANAN</v>
      </c>
      <c r="C859" s="9" t="str">
        <f>IFERROR(__xludf.DUMMYFUNCTION("""COMPUTED_VALUE"""),"CALIE")</f>
        <v>CALIE</v>
      </c>
      <c r="D859" s="9"/>
      <c r="E859" s="9" t="str">
        <f>IFERROR(__xludf.DUMMYFUNCTION("""COMPUTED_VALUE"""),"CEDRIC L. CANAN")</f>
        <v>CEDRIC L. CANAN</v>
      </c>
      <c r="F859" s="133"/>
      <c r="G859" s="13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60">
        <f t="shared" si="1"/>
        <v>854</v>
      </c>
      <c r="B860" s="9" t="str">
        <f>IFERROR(__xludf.DUMMYFUNCTION("""COMPUTED_VALUE"""),"COLINARES")</f>
        <v>COLINARES</v>
      </c>
      <c r="C860" s="9" t="str">
        <f>IFERROR(__xludf.DUMMYFUNCTION("""COMPUTED_VALUE"""),"SACH ENZO P. ")</f>
        <v>SACH ENZO P. </v>
      </c>
      <c r="D860" s="9" t="str">
        <f>IFERROR(__xludf.DUMMYFUNCTION("""COMPUTED_VALUE"""),"P.")</f>
        <v>P.</v>
      </c>
      <c r="E860" s="9" t="str">
        <f>IFERROR(__xludf.DUMMYFUNCTION("""COMPUTED_VALUE"""),"ARNOLD M.  COLINARES")</f>
        <v>ARNOLD M.  COLINARES</v>
      </c>
      <c r="F860" s="133"/>
      <c r="G860" s="13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60">
        <f t="shared" si="1"/>
        <v>855</v>
      </c>
      <c r="B861" s="9" t="str">
        <f>IFERROR(__xludf.DUMMYFUNCTION("""COMPUTED_VALUE"""),"COLINARES")</f>
        <v>COLINARES</v>
      </c>
      <c r="C861" s="9" t="str">
        <f>IFERROR(__xludf.DUMMYFUNCTION("""COMPUTED_VALUE"""),"NATHAN ")</f>
        <v>NATHAN </v>
      </c>
      <c r="D861" s="9" t="str">
        <f>IFERROR(__xludf.DUMMYFUNCTION("""COMPUTED_VALUE"""),"P.")</f>
        <v>P.</v>
      </c>
      <c r="E861" s="9" t="str">
        <f>IFERROR(__xludf.DUMMYFUNCTION("""COMPUTED_VALUE"""),"ARNOLD M.  COLINARES")</f>
        <v>ARNOLD M.  COLINARES</v>
      </c>
      <c r="F861" s="133"/>
      <c r="G861" s="13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60">
        <f t="shared" si="1"/>
        <v>856</v>
      </c>
      <c r="B862" s="9" t="str">
        <f>IFERROR(__xludf.DUMMYFUNCTION("""COMPUTED_VALUE"""),"COLINARES")</f>
        <v>COLINARES</v>
      </c>
      <c r="C862" s="9" t="str">
        <f>IFERROR(__xludf.DUMMYFUNCTION("""COMPUTED_VALUE"""),"ZANE ASHER")</f>
        <v>ZANE ASHER</v>
      </c>
      <c r="D862" s="9" t="str">
        <f>IFERROR(__xludf.DUMMYFUNCTION("""COMPUTED_VALUE"""),"P.")</f>
        <v>P.</v>
      </c>
      <c r="E862" s="9" t="str">
        <f>IFERROR(__xludf.DUMMYFUNCTION("""COMPUTED_VALUE"""),"ARNOLD M.  COLINARES")</f>
        <v>ARNOLD M.  COLINARES</v>
      </c>
      <c r="F862" s="133"/>
      <c r="G862" s="13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60">
        <f t="shared" si="1"/>
        <v>857</v>
      </c>
      <c r="B863" s="9" t="str">
        <f>IFERROR(__xludf.DUMMYFUNCTION("""COMPUTED_VALUE"""),"PAZ")</f>
        <v>PAZ</v>
      </c>
      <c r="C863" s="9" t="str">
        <f>IFERROR(__xludf.DUMMYFUNCTION("""COMPUTED_VALUE"""),"ZAIN AUSTINE ")</f>
        <v>ZAIN AUSTINE </v>
      </c>
      <c r="D863" s="9"/>
      <c r="E863" s="9" t="str">
        <f>IFERROR(__xludf.DUMMYFUNCTION("""COMPUTED_VALUE"""),"RODOLFO BAMBINO L. PAZ II")</f>
        <v>RODOLFO BAMBINO L. PAZ II</v>
      </c>
      <c r="F863" s="133"/>
      <c r="G863" s="13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60">
        <f t="shared" si="1"/>
        <v>858</v>
      </c>
      <c r="B864" s="9" t="str">
        <f>IFERROR(__xludf.DUMMYFUNCTION("""COMPUTED_VALUE"""),"GRANDE")</f>
        <v>GRANDE</v>
      </c>
      <c r="C864" s="9" t="str">
        <f>IFERROR(__xludf.DUMMYFUNCTION("""COMPUTED_VALUE"""),"JARIEL XENA FAYE")</f>
        <v>JARIEL XENA FAYE</v>
      </c>
      <c r="D864" s="9" t="str">
        <f>IFERROR(__xludf.DUMMYFUNCTION("""COMPUTED_VALUE"""),"B.")</f>
        <v>B.</v>
      </c>
      <c r="E864" s="9" t="str">
        <f>IFERROR(__xludf.DUMMYFUNCTION("""COMPUTED_VALUE"""),"GABRIEL B. GRANDE ")</f>
        <v>GABRIEL B. GRANDE </v>
      </c>
      <c r="F864" s="133"/>
      <c r="G864" s="13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60">
        <f t="shared" si="1"/>
        <v>859</v>
      </c>
      <c r="B865" s="9" t="str">
        <f>IFERROR(__xludf.DUMMYFUNCTION("""COMPUTED_VALUE"""),"GRANDE")</f>
        <v>GRANDE</v>
      </c>
      <c r="C865" s="9" t="str">
        <f>IFERROR(__xludf.DUMMYFUNCTION("""COMPUTED_VALUE"""),"GIA ZEPHYRINE ")</f>
        <v>GIA ZEPHYRINE </v>
      </c>
      <c r="D865" s="9" t="str">
        <f>IFERROR(__xludf.DUMMYFUNCTION("""COMPUTED_VALUE"""),"B.")</f>
        <v>B.</v>
      </c>
      <c r="E865" s="9" t="str">
        <f>IFERROR(__xludf.DUMMYFUNCTION("""COMPUTED_VALUE"""),"GABRIEL B. GRANDE ")</f>
        <v>GABRIEL B. GRANDE </v>
      </c>
      <c r="F865" s="133"/>
      <c r="G865" s="13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60">
        <f t="shared" si="1"/>
        <v>860</v>
      </c>
      <c r="B866" s="9" t="str">
        <f>IFERROR(__xludf.DUMMYFUNCTION("""COMPUTED_VALUE"""),"TIN")</f>
        <v>TIN</v>
      </c>
      <c r="C866" s="9" t="str">
        <f>IFERROR(__xludf.DUMMYFUNCTION("""COMPUTED_VALUE"""),"MARY JOYCE")</f>
        <v>MARY JOYCE</v>
      </c>
      <c r="D866" s="9" t="str">
        <f>IFERROR(__xludf.DUMMYFUNCTION("""COMPUTED_VALUE"""),"B.")</f>
        <v>B.</v>
      </c>
      <c r="E866" s="9" t="str">
        <f>IFERROR(__xludf.DUMMYFUNCTION("""COMPUTED_VALUE"""),"VILMA LEONIDO BERTULFO")</f>
        <v>VILMA LEONIDO BERTULFO</v>
      </c>
      <c r="F866" s="133"/>
      <c r="G866" s="13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60">
        <f t="shared" si="1"/>
        <v>861</v>
      </c>
      <c r="B867" s="9" t="str">
        <f>IFERROR(__xludf.DUMMYFUNCTION("""COMPUTED_VALUE"""),"TIN")</f>
        <v>TIN</v>
      </c>
      <c r="C867" s="9" t="str">
        <f>IFERROR(__xludf.DUMMYFUNCTION("""COMPUTED_VALUE"""),"MARY ELIZABETH")</f>
        <v>MARY ELIZABETH</v>
      </c>
      <c r="D867" s="9" t="str">
        <f>IFERROR(__xludf.DUMMYFUNCTION("""COMPUTED_VALUE"""),"B.")</f>
        <v>B.</v>
      </c>
      <c r="E867" s="9" t="str">
        <f>IFERROR(__xludf.DUMMYFUNCTION("""COMPUTED_VALUE"""),"VILMA LEONIDO BERTULFO")</f>
        <v>VILMA LEONIDO BERTULFO</v>
      </c>
      <c r="F867" s="133"/>
      <c r="G867" s="13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60">
        <f t="shared" si="1"/>
        <v>862</v>
      </c>
      <c r="B868" s="9" t="str">
        <f>IFERROR(__xludf.DUMMYFUNCTION("""COMPUTED_VALUE"""),"TIN")</f>
        <v>TIN</v>
      </c>
      <c r="C868" s="9" t="str">
        <f>IFERROR(__xludf.DUMMYFUNCTION("""COMPUTED_VALUE"""),"JEFFERSON")</f>
        <v>JEFFERSON</v>
      </c>
      <c r="D868" s="9" t="str">
        <f>IFERROR(__xludf.DUMMYFUNCTION("""COMPUTED_VALUE"""),"B.")</f>
        <v>B.</v>
      </c>
      <c r="E868" s="9" t="str">
        <f>IFERROR(__xludf.DUMMYFUNCTION("""COMPUTED_VALUE"""),"VILMA LEONIDO BERTULFO")</f>
        <v>VILMA LEONIDO BERTULFO</v>
      </c>
      <c r="F868" s="133"/>
      <c r="G868" s="13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60">
        <f t="shared" si="1"/>
        <v>863</v>
      </c>
      <c r="B869" s="9" t="str">
        <f>IFERROR(__xludf.DUMMYFUNCTION("""COMPUTED_VALUE"""),"TIN")</f>
        <v>TIN</v>
      </c>
      <c r="C869" s="9" t="str">
        <f>IFERROR(__xludf.DUMMYFUNCTION("""COMPUTED_VALUE"""),"JAYDEN")</f>
        <v>JAYDEN</v>
      </c>
      <c r="D869" s="9" t="str">
        <f>IFERROR(__xludf.DUMMYFUNCTION("""COMPUTED_VALUE"""),"B.")</f>
        <v>B.</v>
      </c>
      <c r="E869" s="9" t="str">
        <f>IFERROR(__xludf.DUMMYFUNCTION("""COMPUTED_VALUE"""),"VILMA LEONIDO BERTULFO")</f>
        <v>VILMA LEONIDO BERTULFO</v>
      </c>
      <c r="F869" s="133"/>
      <c r="G869" s="13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60">
        <f t="shared" si="1"/>
        <v>864</v>
      </c>
      <c r="B870" s="9" t="str">
        <f>IFERROR(__xludf.DUMMYFUNCTION("""COMPUTED_VALUE"""),"TIN")</f>
        <v>TIN</v>
      </c>
      <c r="C870" s="9" t="str">
        <f>IFERROR(__xludf.DUMMYFUNCTION("""COMPUTED_VALUE"""),"MARY JANE")</f>
        <v>MARY JANE</v>
      </c>
      <c r="D870" s="9" t="str">
        <f>IFERROR(__xludf.DUMMYFUNCTION("""COMPUTED_VALUE"""),"B.")</f>
        <v>B.</v>
      </c>
      <c r="E870" s="9" t="str">
        <f>IFERROR(__xludf.DUMMYFUNCTION("""COMPUTED_VALUE"""),"VILMA LEONIDO BERTULFO")</f>
        <v>VILMA LEONIDO BERTULFO</v>
      </c>
      <c r="F870" s="133"/>
      <c r="G870" s="13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60">
        <f t="shared" si="1"/>
        <v>865</v>
      </c>
      <c r="B871" s="9" t="str">
        <f>IFERROR(__xludf.DUMMYFUNCTION("""COMPUTED_VALUE"""),"CONOR")</f>
        <v>CONOR</v>
      </c>
      <c r="C871" s="9" t="str">
        <f>IFERROR(__xludf.DUMMYFUNCTION("""COMPUTED_VALUE"""),"CALIE")</f>
        <v>CALIE</v>
      </c>
      <c r="D871" s="9" t="str">
        <f>IFERROR(__xludf.DUMMYFUNCTION("""COMPUTED_VALUE"""),"B.")</f>
        <v>B.</v>
      </c>
      <c r="E871" s="9" t="str">
        <f>IFERROR(__xludf.DUMMYFUNCTION("""COMPUTED_VALUE"""),"VILMA LEONIDO BERTULFO")</f>
        <v>VILMA LEONIDO BERTULFO</v>
      </c>
      <c r="F871" s="133"/>
      <c r="G871" s="13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60">
        <f t="shared" si="1"/>
        <v>866</v>
      </c>
      <c r="B872" s="9" t="str">
        <f>IFERROR(__xludf.DUMMYFUNCTION("""COMPUTED_VALUE"""),"TN")</f>
        <v>TN</v>
      </c>
      <c r="C872" s="9" t="str">
        <f>IFERROR(__xludf.DUMMYFUNCTION("""COMPUTED_VALUE"""),"JOHA VINCENT")</f>
        <v>JOHA VINCENT</v>
      </c>
      <c r="D872" s="9" t="str">
        <f>IFERROR(__xludf.DUMMYFUNCTION("""COMPUTED_VALUE"""),"B.")</f>
        <v>B.</v>
      </c>
      <c r="E872" s="9" t="str">
        <f>IFERROR(__xludf.DUMMYFUNCTION("""COMPUTED_VALUE"""),"VILMA LEONIDO BERTULFO")</f>
        <v>VILMA LEONIDO BERTULFO</v>
      </c>
      <c r="F872" s="133"/>
      <c r="G872" s="13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60">
        <f t="shared" si="1"/>
        <v>867</v>
      </c>
      <c r="B873" s="9" t="str">
        <f>IFERROR(__xludf.DUMMYFUNCTION("""COMPUTED_VALUE"""),"BENIS")</f>
        <v>BENIS</v>
      </c>
      <c r="C873" s="9" t="str">
        <f>IFERROR(__xludf.DUMMYFUNCTION("""COMPUTED_VALUE"""),"MC KENZIE RIOTHERESE")</f>
        <v>MC KENZIE RIOTHERESE</v>
      </c>
      <c r="D873" s="9"/>
      <c r="E873" s="9" t="str">
        <f>IFERROR(__xludf.DUMMYFUNCTION("""COMPUTED_VALUE"""),"KENNETH R. BENIS")</f>
        <v>KENNETH R. BENIS</v>
      </c>
      <c r="F873" s="133"/>
      <c r="G873" s="13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60">
        <f t="shared" si="1"/>
        <v>868</v>
      </c>
      <c r="B874" s="9" t="str">
        <f>IFERROR(__xludf.DUMMYFUNCTION("""COMPUTED_VALUE"""),"BENIS")</f>
        <v>BENIS</v>
      </c>
      <c r="C874" s="9" t="str">
        <f>IFERROR(__xludf.DUMMYFUNCTION("""COMPUTED_VALUE"""),"CLIFFORD KENN")</f>
        <v>CLIFFORD KENN</v>
      </c>
      <c r="D874" s="9"/>
      <c r="E874" s="9" t="str">
        <f>IFERROR(__xludf.DUMMYFUNCTION("""COMPUTED_VALUE"""),"KENNETH R. BENIS")</f>
        <v>KENNETH R. BENIS</v>
      </c>
      <c r="F874" s="133"/>
      <c r="G874" s="13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60">
        <f t="shared" si="1"/>
        <v>869</v>
      </c>
      <c r="B875" s="9" t="str">
        <f>IFERROR(__xludf.DUMMYFUNCTION("""COMPUTED_VALUE"""),"BENIS")</f>
        <v>BENIS</v>
      </c>
      <c r="C875" s="9" t="str">
        <f>IFERROR(__xludf.DUMMYFUNCTION("""COMPUTED_VALUE"""),"KENNETH ")</f>
        <v>KENNETH </v>
      </c>
      <c r="D875" s="9" t="str">
        <f>IFERROR(__xludf.DUMMYFUNCTION("""COMPUTED_VALUE"""),"R.")</f>
        <v>R.</v>
      </c>
      <c r="E875" s="9" t="str">
        <f>IFERROR(__xludf.DUMMYFUNCTION("""COMPUTED_VALUE"""),"RAMON H. BENIS")</f>
        <v>RAMON H. BENIS</v>
      </c>
      <c r="F875" s="133"/>
      <c r="G875" s="13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60">
        <f t="shared" si="1"/>
        <v>870</v>
      </c>
      <c r="B876" s="9" t="str">
        <f>IFERROR(__xludf.DUMMYFUNCTION("""COMPUTED_VALUE"""),"ABROT")</f>
        <v>ABROT</v>
      </c>
      <c r="C876" s="9" t="str">
        <f>IFERROR(__xludf.DUMMYFUNCTION("""COMPUTED_VALUE"""),"ESMAEL ")</f>
        <v>ESMAEL </v>
      </c>
      <c r="D876" s="9" t="str">
        <f>IFERROR(__xludf.DUMMYFUNCTION("""COMPUTED_VALUE"""),"B.")</f>
        <v>B.</v>
      </c>
      <c r="E876" s="9" t="str">
        <f>IFERROR(__xludf.DUMMYFUNCTION("""COMPUTED_VALUE"""),"MARLYN M. BENIS")</f>
        <v>MARLYN M. BENIS</v>
      </c>
      <c r="F876" s="133"/>
      <c r="G876" s="13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60">
        <f t="shared" si="1"/>
        <v>871</v>
      </c>
      <c r="B877" s="9" t="str">
        <f>IFERROR(__xludf.DUMMYFUNCTION("""COMPUTED_VALUE"""),"SORIANO ")</f>
        <v>SORIANO </v>
      </c>
      <c r="C877" s="9" t="str">
        <f>IFERROR(__xludf.DUMMYFUNCTION("""COMPUTED_VALUE"""),"LAMELO")</f>
        <v>LAMELO</v>
      </c>
      <c r="D877" s="9" t="str">
        <f>IFERROR(__xludf.DUMMYFUNCTION("""COMPUTED_VALUE"""),"B.")</f>
        <v>B.</v>
      </c>
      <c r="E877" s="9" t="str">
        <f>IFERROR(__xludf.DUMMYFUNCTION("""COMPUTED_VALUE"""),"AXL JOHN  M. SORIANO")</f>
        <v>AXL JOHN  M. SORIANO</v>
      </c>
      <c r="F877" s="133"/>
      <c r="G877" s="13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60">
        <f t="shared" si="1"/>
        <v>872</v>
      </c>
      <c r="B878" s="9" t="str">
        <f>IFERROR(__xludf.DUMMYFUNCTION("""COMPUTED_VALUE"""),"BENIS")</f>
        <v>BENIS</v>
      </c>
      <c r="C878" s="9" t="str">
        <f>IFERROR(__xludf.DUMMYFUNCTION("""COMPUTED_VALUE"""),"MARICAR")</f>
        <v>MARICAR</v>
      </c>
      <c r="D878" s="9"/>
      <c r="E878" s="9" t="str">
        <f>IFERROR(__xludf.DUMMYFUNCTION("""COMPUTED_VALUE"""),"DANTE H. BENIS ")</f>
        <v>DANTE H. BENIS </v>
      </c>
      <c r="F878" s="133"/>
      <c r="G878" s="13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60">
        <f t="shared" si="1"/>
        <v>873</v>
      </c>
      <c r="B879" s="9" t="str">
        <f>IFERROR(__xludf.DUMMYFUNCTION("""COMPUTED_VALUE"""),"ELLANA ")</f>
        <v>ELLANA </v>
      </c>
      <c r="C879" s="9" t="str">
        <f>IFERROR(__xludf.DUMMYFUNCTION("""COMPUTED_VALUE"""),"DAAHIL")</f>
        <v>DAAHIL</v>
      </c>
      <c r="D879" s="9"/>
      <c r="E879" s="9" t="str">
        <f>IFERROR(__xludf.DUMMYFUNCTION("""COMPUTED_VALUE"""),"CRISTY ELLANA")</f>
        <v>CRISTY ELLANA</v>
      </c>
      <c r="F879" s="133"/>
      <c r="G879" s="13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60">
        <f t="shared" si="1"/>
        <v>874</v>
      </c>
      <c r="B880" s="9" t="str">
        <f>IFERROR(__xludf.DUMMYFUNCTION("""COMPUTED_VALUE"""),"ELLANA ")</f>
        <v>ELLANA </v>
      </c>
      <c r="C880" s="9" t="str">
        <f>IFERROR(__xludf.DUMMYFUNCTION("""COMPUTED_VALUE"""),"GIAN")</f>
        <v>GIAN</v>
      </c>
      <c r="D880" s="9"/>
      <c r="E880" s="9" t="str">
        <f>IFERROR(__xludf.DUMMYFUNCTION("""COMPUTED_VALUE"""),"CRISTY ELLANA")</f>
        <v>CRISTY ELLANA</v>
      </c>
      <c r="F880" s="133"/>
      <c r="G880" s="13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60">
        <f t="shared" si="1"/>
        <v>875</v>
      </c>
      <c r="B881" s="9" t="str">
        <f>IFERROR(__xludf.DUMMYFUNCTION("""COMPUTED_VALUE"""),"ELLANA ")</f>
        <v>ELLANA </v>
      </c>
      <c r="C881" s="9" t="str">
        <f>IFERROR(__xludf.DUMMYFUNCTION("""COMPUTED_VALUE"""),"MAE")</f>
        <v>MAE</v>
      </c>
      <c r="D881" s="9"/>
      <c r="E881" s="9" t="str">
        <f>IFERROR(__xludf.DUMMYFUNCTION("""COMPUTED_VALUE"""),"CRISTY ELLANA")</f>
        <v>CRISTY ELLANA</v>
      </c>
      <c r="F881" s="133"/>
      <c r="G881" s="13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60">
        <f t="shared" si="1"/>
        <v>876</v>
      </c>
      <c r="B882" s="9" t="str">
        <f>IFERROR(__xludf.DUMMYFUNCTION("""COMPUTED_VALUE"""),"ELLANA ")</f>
        <v>ELLANA </v>
      </c>
      <c r="C882" s="9" t="str">
        <f>IFERROR(__xludf.DUMMYFUNCTION("""COMPUTED_VALUE"""),"JANY")</f>
        <v>JANY</v>
      </c>
      <c r="D882" s="9"/>
      <c r="E882" s="9" t="str">
        <f>IFERROR(__xludf.DUMMYFUNCTION("""COMPUTED_VALUE"""),"CRISTY ELLANA")</f>
        <v>CRISTY ELLANA</v>
      </c>
      <c r="F882" s="133"/>
      <c r="G882" s="13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60">
        <f t="shared" si="1"/>
        <v>877</v>
      </c>
      <c r="B883" s="9" t="str">
        <f>IFERROR(__xludf.DUMMYFUNCTION("""COMPUTED_VALUE"""),"ELLANA ")</f>
        <v>ELLANA </v>
      </c>
      <c r="C883" s="9" t="str">
        <f>IFERROR(__xludf.DUMMYFUNCTION("""COMPUTED_VALUE"""),"RICHARD")</f>
        <v>RICHARD</v>
      </c>
      <c r="D883" s="9"/>
      <c r="E883" s="9" t="str">
        <f>IFERROR(__xludf.DUMMYFUNCTION("""COMPUTED_VALUE"""),"LAZARO ELLANA")</f>
        <v>LAZARO ELLANA</v>
      </c>
      <c r="F883" s="133"/>
      <c r="G883" s="13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60">
        <f t="shared" si="1"/>
        <v>878</v>
      </c>
      <c r="B884" s="9" t="str">
        <f>IFERROR(__xludf.DUMMYFUNCTION("""COMPUTED_VALUE"""),"ELLANA ")</f>
        <v>ELLANA </v>
      </c>
      <c r="C884" s="9" t="str">
        <f>IFERROR(__xludf.DUMMYFUNCTION("""COMPUTED_VALUE"""),"MARICEL")</f>
        <v>MARICEL</v>
      </c>
      <c r="D884" s="9"/>
      <c r="E884" s="9" t="str">
        <f>IFERROR(__xludf.DUMMYFUNCTION("""COMPUTED_VALUE"""),"LAZARO ELLANA")</f>
        <v>LAZARO ELLANA</v>
      </c>
      <c r="F884" s="133"/>
      <c r="G884" s="13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60">
        <f t="shared" si="1"/>
        <v>879</v>
      </c>
      <c r="B885" s="9" t="str">
        <f>IFERROR(__xludf.DUMMYFUNCTION("""COMPUTED_VALUE"""),"BENIGNO")</f>
        <v>BENIGNO</v>
      </c>
      <c r="C885" s="9" t="str">
        <f>IFERROR(__xludf.DUMMYFUNCTION("""COMPUTED_VALUE"""),"JAMES")</f>
        <v>JAMES</v>
      </c>
      <c r="D885" s="9"/>
      <c r="E885" s="9" t="str">
        <f>IFERROR(__xludf.DUMMYFUNCTION("""COMPUTED_VALUE"""),"ELIZABETH BENIGNO")</f>
        <v>ELIZABETH BENIGNO</v>
      </c>
      <c r="F885" s="133"/>
      <c r="G885" s="13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60">
        <f t="shared" si="1"/>
        <v>880</v>
      </c>
      <c r="B886" s="9" t="str">
        <f>IFERROR(__xludf.DUMMYFUNCTION("""COMPUTED_VALUE"""),"BENIGNO")</f>
        <v>BENIGNO</v>
      </c>
      <c r="C886" s="9" t="str">
        <f>IFERROR(__xludf.DUMMYFUNCTION("""COMPUTED_VALUE"""),"ARNOLD")</f>
        <v>ARNOLD</v>
      </c>
      <c r="D886" s="9"/>
      <c r="E886" s="9" t="str">
        <f>IFERROR(__xludf.DUMMYFUNCTION("""COMPUTED_VALUE"""),"ELIZABETH BENIGNO")</f>
        <v>ELIZABETH BENIGNO</v>
      </c>
      <c r="F886" s="133"/>
      <c r="G886" s="13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60">
        <f t="shared" si="1"/>
        <v>881</v>
      </c>
      <c r="B887" s="9" t="str">
        <f>IFERROR(__xludf.DUMMYFUNCTION("""COMPUTED_VALUE"""),"NIEVES")</f>
        <v>NIEVES</v>
      </c>
      <c r="C887" s="9" t="str">
        <f>IFERROR(__xludf.DUMMYFUNCTION("""COMPUTED_VALUE"""),"JL ")</f>
        <v>JL </v>
      </c>
      <c r="D887" s="9"/>
      <c r="E887" s="9" t="str">
        <f>IFERROR(__xludf.DUMMYFUNCTION("""COMPUTED_VALUE"""),"JAMES BENIGNO")</f>
        <v>JAMES BENIGNO</v>
      </c>
      <c r="F887" s="133"/>
      <c r="G887" s="13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60">
        <f t="shared" si="1"/>
        <v>882</v>
      </c>
      <c r="B888" s="9" t="str">
        <f>IFERROR(__xludf.DUMMYFUNCTION("""COMPUTED_VALUE"""),"NIEVES")</f>
        <v>NIEVES</v>
      </c>
      <c r="C888" s="9" t="str">
        <f>IFERROR(__xludf.DUMMYFUNCTION("""COMPUTED_VALUE"""),"LJ")</f>
        <v>LJ</v>
      </c>
      <c r="D888" s="9"/>
      <c r="E888" s="9" t="str">
        <f>IFERROR(__xludf.DUMMYFUNCTION("""COMPUTED_VALUE"""),"JAMES BENIGNO")</f>
        <v>JAMES BENIGNO</v>
      </c>
      <c r="F888" s="133"/>
      <c r="G888" s="13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60">
        <f t="shared" si="1"/>
        <v>883</v>
      </c>
      <c r="B889" s="9" t="str">
        <f>IFERROR(__xludf.DUMMYFUNCTION("""COMPUTED_VALUE"""),"NIEVES")</f>
        <v>NIEVES</v>
      </c>
      <c r="C889" s="9" t="str">
        <f>IFERROR(__xludf.DUMMYFUNCTION("""COMPUTED_VALUE"""),"JILLIAN")</f>
        <v>JILLIAN</v>
      </c>
      <c r="D889" s="9"/>
      <c r="E889" s="9" t="str">
        <f>IFERROR(__xludf.DUMMYFUNCTION("""COMPUTED_VALUE"""),"JAMES BENIGNO")</f>
        <v>JAMES BENIGNO</v>
      </c>
      <c r="F889" s="133"/>
      <c r="G889" s="13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60">
        <f t="shared" si="1"/>
        <v>884</v>
      </c>
      <c r="B890" s="9" t="str">
        <f>IFERROR(__xludf.DUMMYFUNCTION("""COMPUTED_VALUE"""),"PALABAY")</f>
        <v>PALABAY</v>
      </c>
      <c r="C890" s="9" t="str">
        <f>IFERROR(__xludf.DUMMYFUNCTION("""COMPUTED_VALUE"""),"ZAILIL")</f>
        <v>ZAILIL</v>
      </c>
      <c r="D890" s="9"/>
      <c r="E890" s="9" t="str">
        <f>IFERROR(__xludf.DUMMYFUNCTION("""COMPUTED_VALUE"""),"BENJIE PALABAY")</f>
        <v>BENJIE PALABAY</v>
      </c>
      <c r="F890" s="133"/>
      <c r="G890" s="13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60">
        <f t="shared" si="1"/>
        <v>885</v>
      </c>
      <c r="B891" s="9" t="str">
        <f>IFERROR(__xludf.DUMMYFUNCTION("""COMPUTED_VALUE"""),"PALABAY ")</f>
        <v>PALABAY </v>
      </c>
      <c r="C891" s="9" t="str">
        <f>IFERROR(__xludf.DUMMYFUNCTION("""COMPUTED_VALUE"""),"MARICAR")</f>
        <v>MARICAR</v>
      </c>
      <c r="D891" s="9"/>
      <c r="E891" s="9" t="str">
        <f>IFERROR(__xludf.DUMMYFUNCTION("""COMPUTED_VALUE"""),"MARILOU PALABAY")</f>
        <v>MARILOU PALABAY</v>
      </c>
      <c r="F891" s="133"/>
      <c r="G891" s="13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60">
        <f t="shared" si="1"/>
        <v>886</v>
      </c>
      <c r="B892" s="9" t="str">
        <f>IFERROR(__xludf.DUMMYFUNCTION("""COMPUTED_VALUE"""),"NAVAL ")</f>
        <v>NAVAL </v>
      </c>
      <c r="C892" s="9" t="str">
        <f>IFERROR(__xludf.DUMMYFUNCTION("""COMPUTED_VALUE"""),"ALIYAH JORAH ")</f>
        <v>ALIYAH JORAH </v>
      </c>
      <c r="D892" s="9" t="str">
        <f>IFERROR(__xludf.DUMMYFUNCTION("""COMPUTED_VALUE"""),"F.")</f>
        <v>F.</v>
      </c>
      <c r="E892" s="9" t="str">
        <f>IFERROR(__xludf.DUMMYFUNCTION("""COMPUTED_VALUE"""),"JON NAVAL ")</f>
        <v>JON NAVAL </v>
      </c>
      <c r="F892" s="133"/>
      <c r="G892" s="13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60">
        <f t="shared" si="1"/>
        <v>887</v>
      </c>
      <c r="B893" s="9" t="str">
        <f>IFERROR(__xludf.DUMMYFUNCTION("""COMPUTED_VALUE"""),"NAVAL ")</f>
        <v>NAVAL </v>
      </c>
      <c r="C893" s="9" t="str">
        <f>IFERROR(__xludf.DUMMYFUNCTION("""COMPUTED_VALUE"""),"ARJON YMIGO ")</f>
        <v>ARJON YMIGO </v>
      </c>
      <c r="D893" s="9" t="str">
        <f>IFERROR(__xludf.DUMMYFUNCTION("""COMPUTED_VALUE"""),"F.")</f>
        <v>F.</v>
      </c>
      <c r="E893" s="9" t="str">
        <f>IFERROR(__xludf.DUMMYFUNCTION("""COMPUTED_VALUE"""),"JON NAVAL ")</f>
        <v>JON NAVAL </v>
      </c>
      <c r="F893" s="133"/>
      <c r="G893" s="13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60">
        <f t="shared" si="1"/>
        <v>888</v>
      </c>
      <c r="B894" s="9" t="str">
        <f>IFERROR(__xludf.DUMMYFUNCTION("""COMPUTED_VALUE"""),"CANTIMBUHAN")</f>
        <v>CANTIMBUHAN</v>
      </c>
      <c r="C894" s="9" t="str">
        <f>IFERROR(__xludf.DUMMYFUNCTION("""COMPUTED_VALUE"""),"JAREN")</f>
        <v>JAREN</v>
      </c>
      <c r="D894" s="9"/>
      <c r="E894" s="9" t="str">
        <f>IFERROR(__xludf.DUMMYFUNCTION("""COMPUTED_VALUE"""),"RHENZ CANTIMBUHAN")</f>
        <v>RHENZ CANTIMBUHAN</v>
      </c>
      <c r="F894" s="133"/>
      <c r="G894" s="13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60">
        <f t="shared" si="1"/>
        <v>889</v>
      </c>
      <c r="B895" s="9" t="str">
        <f>IFERROR(__xludf.DUMMYFUNCTION("""COMPUTED_VALUE"""),"CANTIMBUHAN0 JR.")</f>
        <v>CANTIMBUHAN0 JR.</v>
      </c>
      <c r="C895" s="9" t="str">
        <f>IFERROR(__xludf.DUMMYFUNCTION("""COMPUTED_VALUE"""),"RHENZ")</f>
        <v>RHENZ</v>
      </c>
      <c r="D895" s="9"/>
      <c r="E895" s="9" t="str">
        <f>IFERROR(__xludf.DUMMYFUNCTION("""COMPUTED_VALUE"""),"RHENZ CANTIMBUHAN")</f>
        <v>RHENZ CANTIMBUHAN</v>
      </c>
      <c r="F895" s="133"/>
      <c r="G895" s="13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60">
        <f t="shared" si="1"/>
        <v>890</v>
      </c>
      <c r="B896" s="9" t="str">
        <f>IFERROR(__xludf.DUMMYFUNCTION("""COMPUTED_VALUE"""),"CANTIMBUHAN")</f>
        <v>CANTIMBUHAN</v>
      </c>
      <c r="C896" s="9" t="str">
        <f>IFERROR(__xludf.DUMMYFUNCTION("""COMPUTED_VALUE"""),"JACKY ZNEHR")</f>
        <v>JACKY ZNEHR</v>
      </c>
      <c r="D896" s="9"/>
      <c r="E896" s="9" t="str">
        <f>IFERROR(__xludf.DUMMYFUNCTION("""COMPUTED_VALUE"""),"RHENZ CANTIMBUHAN")</f>
        <v>RHENZ CANTIMBUHAN</v>
      </c>
      <c r="F896" s="133"/>
      <c r="G896" s="13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60">
        <f t="shared" si="1"/>
        <v>891</v>
      </c>
      <c r="B897" s="9" t="str">
        <f>IFERROR(__xludf.DUMMYFUNCTION("""COMPUTED_VALUE"""),"CANTIMBUHAN")</f>
        <v>CANTIMBUHAN</v>
      </c>
      <c r="C897" s="9" t="str">
        <f>IFERROR(__xludf.DUMMYFUNCTION("""COMPUTED_VALUE"""),"ALLONA")</f>
        <v>ALLONA</v>
      </c>
      <c r="D897" s="9"/>
      <c r="E897" s="9" t="str">
        <f>IFERROR(__xludf.DUMMYFUNCTION("""COMPUTED_VALUE"""),"RHENZ CANTIMBUHAN")</f>
        <v>RHENZ CANTIMBUHAN</v>
      </c>
      <c r="F897" s="133"/>
      <c r="G897" s="13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60">
        <f t="shared" si="1"/>
        <v>892</v>
      </c>
      <c r="B898" s="9" t="str">
        <f>IFERROR(__xludf.DUMMYFUNCTION("""COMPUTED_VALUE"""),"CANTIMBUHAN")</f>
        <v>CANTIMBUHAN</v>
      </c>
      <c r="C898" s="9" t="str">
        <f>IFERROR(__xludf.DUMMYFUNCTION("""COMPUTED_VALUE"""),"AMYLOU HART")</f>
        <v>AMYLOU HART</v>
      </c>
      <c r="D898" s="9"/>
      <c r="E898" s="9" t="str">
        <f>IFERROR(__xludf.DUMMYFUNCTION("""COMPUTED_VALUE"""),"RHENZ CANTIMBUHAN")</f>
        <v>RHENZ CANTIMBUHAN</v>
      </c>
      <c r="F898" s="133"/>
      <c r="G898" s="13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60">
        <f t="shared" si="1"/>
        <v>893</v>
      </c>
      <c r="B899" s="9" t="str">
        <f>IFERROR(__xludf.DUMMYFUNCTION("""COMPUTED_VALUE"""),"CANTIMBUHAN")</f>
        <v>CANTIMBUHAN</v>
      </c>
      <c r="C899" s="9" t="str">
        <f>IFERROR(__xludf.DUMMYFUNCTION("""COMPUTED_VALUE"""),"QUINN YASHI")</f>
        <v>QUINN YASHI</v>
      </c>
      <c r="D899" s="9"/>
      <c r="E899" s="9" t="str">
        <f>IFERROR(__xludf.DUMMYFUNCTION("""COMPUTED_VALUE"""),"RHENZ CANTIMBUHAN")</f>
        <v>RHENZ CANTIMBUHAN</v>
      </c>
      <c r="F899" s="133"/>
      <c r="G899" s="13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60">
        <f t="shared" si="1"/>
        <v>894</v>
      </c>
      <c r="B900" s="9" t="str">
        <f>IFERROR(__xludf.DUMMYFUNCTION("""COMPUTED_VALUE"""),"CANTIMBUHAN")</f>
        <v>CANTIMBUHAN</v>
      </c>
      <c r="C900" s="9" t="str">
        <f>IFERROR(__xludf.DUMMYFUNCTION("""COMPUTED_VALUE"""),"EVANDER EIGHT")</f>
        <v>EVANDER EIGHT</v>
      </c>
      <c r="D900" s="9"/>
      <c r="E900" s="9" t="str">
        <f>IFERROR(__xludf.DUMMYFUNCTION("""COMPUTED_VALUE"""),"RHENZ CANTIMBUHAN")</f>
        <v>RHENZ CANTIMBUHAN</v>
      </c>
      <c r="F900" s="133"/>
      <c r="G900" s="13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60">
        <f t="shared" si="1"/>
        <v>895</v>
      </c>
      <c r="B901" s="9" t="str">
        <f>IFERROR(__xludf.DUMMYFUNCTION("""COMPUTED_VALUE"""),"BUSCAGAN")</f>
        <v>BUSCAGAN</v>
      </c>
      <c r="C901" s="9" t="str">
        <f>IFERROR(__xludf.DUMMYFUNCTION("""COMPUTED_VALUE"""),"JEMILSON")</f>
        <v>JEMILSON</v>
      </c>
      <c r="D901" s="9"/>
      <c r="E901" s="9" t="str">
        <f>IFERROR(__xludf.DUMMYFUNCTION("""COMPUTED_VALUE"""),"RAMIL BUSCAGAN")</f>
        <v>RAMIL BUSCAGAN</v>
      </c>
      <c r="F901" s="133"/>
      <c r="G901" s="13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60">
        <f t="shared" si="1"/>
        <v>896</v>
      </c>
      <c r="B902" s="9" t="str">
        <f>IFERROR(__xludf.DUMMYFUNCTION("""COMPUTED_VALUE"""),"BUSCAGAN")</f>
        <v>BUSCAGAN</v>
      </c>
      <c r="C902" s="9" t="str">
        <f>IFERROR(__xludf.DUMMYFUNCTION("""COMPUTED_VALUE"""),"JENSON")</f>
        <v>JENSON</v>
      </c>
      <c r="D902" s="9"/>
      <c r="E902" s="9" t="str">
        <f>IFERROR(__xludf.DUMMYFUNCTION("""COMPUTED_VALUE"""),"RAMIL BUSCAGAN")</f>
        <v>RAMIL BUSCAGAN</v>
      </c>
      <c r="F902" s="133"/>
      <c r="G902" s="13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60">
        <f t="shared" si="1"/>
        <v>897</v>
      </c>
      <c r="B903" s="9" t="str">
        <f>IFERROR(__xludf.DUMMYFUNCTION("""COMPUTED_VALUE"""),"ACUZAR")</f>
        <v>ACUZAR</v>
      </c>
      <c r="C903" s="9" t="str">
        <f>IFERROR(__xludf.DUMMYFUNCTION("""COMPUTED_VALUE"""),"JANE NICLE")</f>
        <v>JANE NICLE</v>
      </c>
      <c r="D903" s="9"/>
      <c r="E903" s="9" t="str">
        <f>IFERROR(__xludf.DUMMYFUNCTION("""COMPUTED_VALUE"""),"NEIL MATEO ")</f>
        <v>NEIL MATEO </v>
      </c>
      <c r="F903" s="133"/>
      <c r="G903" s="13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60">
        <f t="shared" si="1"/>
        <v>898</v>
      </c>
      <c r="B904" s="9" t="str">
        <f>IFERROR(__xludf.DUMMYFUNCTION("""COMPUTED_VALUE"""),"ACUZAR")</f>
        <v>ACUZAR</v>
      </c>
      <c r="C904" s="9" t="str">
        <f>IFERROR(__xludf.DUMMYFUNCTION("""COMPUTED_VALUE"""),"JOHN MATHEW")</f>
        <v>JOHN MATHEW</v>
      </c>
      <c r="D904" s="9"/>
      <c r="E904" s="9" t="str">
        <f>IFERROR(__xludf.DUMMYFUNCTION("""COMPUTED_VALUE"""),"NEIL MATEO ")</f>
        <v>NEIL MATEO </v>
      </c>
      <c r="F904" s="133"/>
      <c r="G904" s="13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60">
        <f t="shared" si="1"/>
        <v>899</v>
      </c>
      <c r="B905" s="9" t="str">
        <f>IFERROR(__xludf.DUMMYFUNCTION("""COMPUTED_VALUE"""),"ACUZAR")</f>
        <v>ACUZAR</v>
      </c>
      <c r="C905" s="9" t="str">
        <f>IFERROR(__xludf.DUMMYFUNCTION("""COMPUTED_VALUE"""),"MONICA MAE")</f>
        <v>MONICA MAE</v>
      </c>
      <c r="D905" s="9"/>
      <c r="E905" s="9" t="str">
        <f>IFERROR(__xludf.DUMMYFUNCTION("""COMPUTED_VALUE"""),"NEIL MATEO ")</f>
        <v>NEIL MATEO </v>
      </c>
      <c r="F905" s="133"/>
      <c r="G905" s="13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60">
        <f t="shared" si="1"/>
        <v>900</v>
      </c>
      <c r="B906" s="9" t="str">
        <f>IFERROR(__xludf.DUMMYFUNCTION("""COMPUTED_VALUE"""),"ACUZAR")</f>
        <v>ACUZAR</v>
      </c>
      <c r="C906" s="9" t="str">
        <f>IFERROR(__xludf.DUMMYFUNCTION("""COMPUTED_VALUE"""),"TRIXIE JOYCE ")</f>
        <v>TRIXIE JOYCE </v>
      </c>
      <c r="D906" s="9"/>
      <c r="E906" s="9" t="str">
        <f>IFERROR(__xludf.DUMMYFUNCTION("""COMPUTED_VALUE"""),"NEIL MATEO ")</f>
        <v>NEIL MATEO </v>
      </c>
      <c r="F906" s="133"/>
      <c r="G906" s="13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60">
        <f t="shared" si="1"/>
        <v>901</v>
      </c>
      <c r="B907" s="9" t="str">
        <f>IFERROR(__xludf.DUMMYFUNCTION("""COMPUTED_VALUE"""),"TAN")</f>
        <v>TAN</v>
      </c>
      <c r="C907" s="9" t="str">
        <f>IFERROR(__xludf.DUMMYFUNCTION("""COMPUTED_VALUE"""),"ARTHUR")</f>
        <v>ARTHUR</v>
      </c>
      <c r="D907" s="9"/>
      <c r="E907" s="9" t="str">
        <f>IFERROR(__xludf.DUMMYFUNCTION("""COMPUTED_VALUE"""),"LOLOTA E. WIEL")</f>
        <v>LOLOTA E. WIEL</v>
      </c>
      <c r="F907" s="133"/>
      <c r="G907" s="13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60">
        <f t="shared" si="1"/>
        <v>902</v>
      </c>
      <c r="B908" s="9" t="str">
        <f>IFERROR(__xludf.DUMMYFUNCTION("""COMPUTED_VALUE"""),"TAN")</f>
        <v>TAN</v>
      </c>
      <c r="C908" s="9" t="str">
        <f>IFERROR(__xludf.DUMMYFUNCTION("""COMPUTED_VALUE"""),"JEFFRY")</f>
        <v>JEFFRY</v>
      </c>
      <c r="D908" s="9"/>
      <c r="E908" s="9" t="str">
        <f>IFERROR(__xludf.DUMMYFUNCTION("""COMPUTED_VALUE"""),"LOLOTA E. WIEL")</f>
        <v>LOLOTA E. WIEL</v>
      </c>
      <c r="F908" s="133"/>
      <c r="G908" s="13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60">
        <f t="shared" si="1"/>
        <v>903</v>
      </c>
      <c r="B909" s="9" t="str">
        <f>IFERROR(__xludf.DUMMYFUNCTION("""COMPUTED_VALUE"""),"DUQUIATAN")</f>
        <v>DUQUIATAN</v>
      </c>
      <c r="C909" s="9" t="str">
        <f>IFERROR(__xludf.DUMMYFUNCTION("""COMPUTED_VALUE"""),"JAMESON")</f>
        <v>JAMESON</v>
      </c>
      <c r="D909" s="9"/>
      <c r="E909" s="9" t="str">
        <f>IFERROR(__xludf.DUMMYFUNCTION("""COMPUTED_VALUE"""),"LOLOTA E. WIEL")</f>
        <v>LOLOTA E. WIEL</v>
      </c>
      <c r="F909" s="133"/>
      <c r="G909" s="13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60">
        <f t="shared" si="1"/>
        <v>904</v>
      </c>
      <c r="B910" s="9" t="str">
        <f>IFERROR(__xludf.DUMMYFUNCTION("""COMPUTED_VALUE"""),"TAN")</f>
        <v>TAN</v>
      </c>
      <c r="C910" s="9" t="str">
        <f>IFERROR(__xludf.DUMMYFUNCTION("""COMPUTED_VALUE"""),"MARISSA")</f>
        <v>MARISSA</v>
      </c>
      <c r="D910" s="9"/>
      <c r="E910" s="9" t="str">
        <f>IFERROR(__xludf.DUMMYFUNCTION("""COMPUTED_VALUE"""),"LOLOTA E. WIEL")</f>
        <v>LOLOTA E. WIEL</v>
      </c>
      <c r="F910" s="133"/>
      <c r="G910" s="13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60">
        <f t="shared" si="1"/>
        <v>905</v>
      </c>
      <c r="B911" s="9" t="str">
        <f>IFERROR(__xludf.DUMMYFUNCTION("""COMPUTED_VALUE"""),"SOLIS")</f>
        <v>SOLIS</v>
      </c>
      <c r="C911" s="9" t="str">
        <f>IFERROR(__xludf.DUMMYFUNCTION("""COMPUTED_VALUE"""),"BHIEJAY")</f>
        <v>BHIEJAY</v>
      </c>
      <c r="D911" s="9"/>
      <c r="E911" s="9" t="str">
        <f>IFERROR(__xludf.DUMMYFUNCTION("""COMPUTED_VALUE"""),"JOHN SOLIS")</f>
        <v>JOHN SOLIS</v>
      </c>
      <c r="F911" s="133"/>
      <c r="G911" s="13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60">
        <f t="shared" si="1"/>
        <v>906</v>
      </c>
      <c r="B912" s="9" t="str">
        <f>IFERROR(__xludf.DUMMYFUNCTION("""COMPUTED_VALUE"""),"SOLIS")</f>
        <v>SOLIS</v>
      </c>
      <c r="C912" s="9" t="str">
        <f>IFERROR(__xludf.DUMMYFUNCTION("""COMPUTED_VALUE"""),"KRISTELLE MAE")</f>
        <v>KRISTELLE MAE</v>
      </c>
      <c r="D912" s="9"/>
      <c r="E912" s="9" t="str">
        <f>IFERROR(__xludf.DUMMYFUNCTION("""COMPUTED_VALUE"""),"JOHN SOLIS")</f>
        <v>JOHN SOLIS</v>
      </c>
      <c r="F912" s="133"/>
      <c r="G912" s="13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60">
        <f t="shared" si="1"/>
        <v>907</v>
      </c>
      <c r="B913" s="9" t="str">
        <f>IFERROR(__xludf.DUMMYFUNCTION("""COMPUTED_VALUE"""),"SOLIS")</f>
        <v>SOLIS</v>
      </c>
      <c r="C913" s="9" t="str">
        <f>IFERROR(__xludf.DUMMYFUNCTION("""COMPUTED_VALUE"""),"KLEA")</f>
        <v>KLEA</v>
      </c>
      <c r="D913" s="9"/>
      <c r="E913" s="9" t="str">
        <f>IFERROR(__xludf.DUMMYFUNCTION("""COMPUTED_VALUE"""),"JOHN SOLIS")</f>
        <v>JOHN SOLIS</v>
      </c>
      <c r="F913" s="133"/>
      <c r="G913" s="13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60">
        <f t="shared" si="1"/>
        <v>908</v>
      </c>
      <c r="B914" s="9" t="str">
        <f>IFERROR(__xludf.DUMMYFUNCTION("""COMPUTED_VALUE"""),"PERDON")</f>
        <v>PERDON</v>
      </c>
      <c r="C914" s="9" t="str">
        <f>IFERROR(__xludf.DUMMYFUNCTION("""COMPUTED_VALUE"""),"MIA")</f>
        <v>MIA</v>
      </c>
      <c r="D914" s="9"/>
      <c r="E914" s="9" t="str">
        <f>IFERROR(__xludf.DUMMYFUNCTION("""COMPUTED_VALUE"""),"PHILIP PERDON")</f>
        <v>PHILIP PERDON</v>
      </c>
      <c r="F914" s="133"/>
      <c r="G914" s="13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60">
        <f t="shared" si="1"/>
        <v>909</v>
      </c>
      <c r="B915" s="9" t="str">
        <f>IFERROR(__xludf.DUMMYFUNCTION("""COMPUTED_VALUE"""),"PERDON")</f>
        <v>PERDON</v>
      </c>
      <c r="C915" s="9" t="str">
        <f>IFERROR(__xludf.DUMMYFUNCTION("""COMPUTED_VALUE"""),"ELIJAH")</f>
        <v>ELIJAH</v>
      </c>
      <c r="D915" s="9"/>
      <c r="E915" s="9" t="str">
        <f>IFERROR(__xludf.DUMMYFUNCTION("""COMPUTED_VALUE"""),"PHILIP PERDON")</f>
        <v>PHILIP PERDON</v>
      </c>
      <c r="F915" s="133"/>
      <c r="G915" s="13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60">
        <f t="shared" si="1"/>
        <v>910</v>
      </c>
      <c r="B916" s="9" t="str">
        <f>IFERROR(__xludf.DUMMYFUNCTION("""COMPUTED_VALUE"""),"MOLINA")</f>
        <v>MOLINA</v>
      </c>
      <c r="C916" s="9" t="str">
        <f>IFERROR(__xludf.DUMMYFUNCTION("""COMPUTED_VALUE"""),"ANTHONY JR.")</f>
        <v>ANTHONY JR.</v>
      </c>
      <c r="D916" s="9" t="str">
        <f>IFERROR(__xludf.DUMMYFUNCTION("""COMPUTED_VALUE"""),"V")</f>
        <v>V</v>
      </c>
      <c r="E916" s="9" t="str">
        <f>IFERROR(__xludf.DUMMYFUNCTION("""COMPUTED_VALUE"""),"ANTHONY C MOLINA")</f>
        <v>ANTHONY C MOLINA</v>
      </c>
      <c r="F916" s="133"/>
      <c r="G916" s="13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60">
        <f t="shared" si="1"/>
        <v>911</v>
      </c>
      <c r="B917" s="9" t="str">
        <f>IFERROR(__xludf.DUMMYFUNCTION("""COMPUTED_VALUE"""),"MOLINA")</f>
        <v>MOLINA</v>
      </c>
      <c r="C917" s="9" t="str">
        <f>IFERROR(__xludf.DUMMYFUNCTION("""COMPUTED_VALUE"""),"KEILORD TOM")</f>
        <v>KEILORD TOM</v>
      </c>
      <c r="D917" s="9" t="str">
        <f>IFERROR(__xludf.DUMMYFUNCTION("""COMPUTED_VALUE"""),"V")</f>
        <v>V</v>
      </c>
      <c r="E917" s="9" t="str">
        <f>IFERROR(__xludf.DUMMYFUNCTION("""COMPUTED_VALUE"""),"ANTHONY C MOLINA")</f>
        <v>ANTHONY C MOLINA</v>
      </c>
      <c r="F917" s="133"/>
      <c r="G917" s="13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60">
        <f t="shared" si="1"/>
        <v>912</v>
      </c>
      <c r="B918" s="9" t="str">
        <f>IFERROR(__xludf.DUMMYFUNCTION("""COMPUTED_VALUE"""),"MOLINA")</f>
        <v>MOLINA</v>
      </c>
      <c r="C918" s="9" t="str">
        <f>IFERROR(__xludf.DUMMYFUNCTION("""COMPUTED_VALUE"""),"CRYSTAL ANN")</f>
        <v>CRYSTAL ANN</v>
      </c>
      <c r="D918" s="9" t="str">
        <f>IFERROR(__xludf.DUMMYFUNCTION("""COMPUTED_VALUE"""),"V")</f>
        <v>V</v>
      </c>
      <c r="E918" s="9" t="str">
        <f>IFERROR(__xludf.DUMMYFUNCTION("""COMPUTED_VALUE"""),"ANTHONY C MOLINA")</f>
        <v>ANTHONY C MOLINA</v>
      </c>
      <c r="F918" s="133"/>
      <c r="G918" s="13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60">
        <f t="shared" si="1"/>
        <v>913</v>
      </c>
      <c r="B919" s="9" t="str">
        <f>IFERROR(__xludf.DUMMYFUNCTION("""COMPUTED_VALUE"""),"QUIAMBAO")</f>
        <v>QUIAMBAO</v>
      </c>
      <c r="C919" s="9" t="str">
        <f>IFERROR(__xludf.DUMMYFUNCTION("""COMPUTED_VALUE"""),"LUCAS ELIJA")</f>
        <v>LUCAS ELIJA</v>
      </c>
      <c r="D919" s="9"/>
      <c r="E919" s="9" t="str">
        <f>IFERROR(__xludf.DUMMYFUNCTION("""COMPUTED_VALUE"""),"JIMWELL QUIAMBAO")</f>
        <v>JIMWELL QUIAMBAO</v>
      </c>
      <c r="F919" s="133"/>
      <c r="G919" s="13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60">
        <f t="shared" si="1"/>
        <v>914</v>
      </c>
      <c r="B920" s="9" t="str">
        <f>IFERROR(__xludf.DUMMYFUNCTION("""COMPUTED_VALUE"""),"CALAWIN")</f>
        <v>CALAWIN</v>
      </c>
      <c r="C920" s="9" t="str">
        <f>IFERROR(__xludf.DUMMYFUNCTION("""COMPUTED_VALUE"""),"ALEXIS THRISTAN")</f>
        <v>ALEXIS THRISTAN</v>
      </c>
      <c r="D920" s="9" t="str">
        <f>IFERROR(__xludf.DUMMYFUNCTION("""COMPUTED_VALUE"""),"V")</f>
        <v>V</v>
      </c>
      <c r="E920" s="9" t="str">
        <f>IFERROR(__xludf.DUMMYFUNCTION("""COMPUTED_VALUE"""),"ROMEO V CALAWIN")</f>
        <v>ROMEO V CALAWIN</v>
      </c>
      <c r="F920" s="133"/>
      <c r="G920" s="13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60">
        <f t="shared" si="1"/>
        <v>915</v>
      </c>
      <c r="B921" s="9" t="str">
        <f>IFERROR(__xludf.DUMMYFUNCTION("""COMPUTED_VALUE"""),"CALAWIN")</f>
        <v>CALAWIN</v>
      </c>
      <c r="C921" s="9" t="str">
        <f>IFERROR(__xludf.DUMMYFUNCTION("""COMPUTED_VALUE"""),"ALEXANDRA")</f>
        <v>ALEXANDRA</v>
      </c>
      <c r="D921" s="9" t="str">
        <f>IFERROR(__xludf.DUMMYFUNCTION("""COMPUTED_VALUE"""),"V")</f>
        <v>V</v>
      </c>
      <c r="E921" s="9" t="str">
        <f>IFERROR(__xludf.DUMMYFUNCTION("""COMPUTED_VALUE"""),"ROMEO V CALAWIN")</f>
        <v>ROMEO V CALAWIN</v>
      </c>
      <c r="F921" s="133"/>
      <c r="G921" s="13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60">
        <f t="shared" si="1"/>
        <v>916</v>
      </c>
      <c r="B922" s="9" t="str">
        <f>IFERROR(__xludf.DUMMYFUNCTION("""COMPUTED_VALUE"""),"GUILLEN")</f>
        <v>GUILLEN</v>
      </c>
      <c r="C922" s="9" t="str">
        <f>IFERROR(__xludf.DUMMYFUNCTION("""COMPUTED_VALUE"""),"CJ")</f>
        <v>CJ</v>
      </c>
      <c r="D922" s="9"/>
      <c r="E922" s="9" t="str">
        <f>IFERROR(__xludf.DUMMYFUNCTION("""COMPUTED_VALUE"""),"ARTURO RIVERA")</f>
        <v>ARTURO RIVERA</v>
      </c>
      <c r="F922" s="133"/>
      <c r="G922" s="13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60">
        <f t="shared" si="1"/>
        <v>917</v>
      </c>
      <c r="B923" s="9" t="str">
        <f>IFERROR(__xludf.DUMMYFUNCTION("""COMPUTED_VALUE"""),"GUTIERREZ")</f>
        <v>GUTIERREZ</v>
      </c>
      <c r="C923" s="9" t="str">
        <f>IFERROR(__xludf.DUMMYFUNCTION("""COMPUTED_VALUE"""),"JAMES BRYAN")</f>
        <v>JAMES BRYAN</v>
      </c>
      <c r="D923" s="9"/>
      <c r="E923" s="9" t="str">
        <f>IFERROR(__xludf.DUMMYFUNCTION("""COMPUTED_VALUE"""),"FLORENTINA GUTIERREZ")</f>
        <v>FLORENTINA GUTIERREZ</v>
      </c>
      <c r="F923" s="133"/>
      <c r="G923" s="13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60">
        <f t="shared" si="1"/>
        <v>918</v>
      </c>
      <c r="B924" s="9" t="str">
        <f>IFERROR(__xludf.DUMMYFUNCTION("""COMPUTED_VALUE"""),"GUTIERREZ")</f>
        <v>GUTIERREZ</v>
      </c>
      <c r="C924" s="9" t="str">
        <f>IFERROR(__xludf.DUMMYFUNCTION("""COMPUTED_VALUE"""),"ANGEL MAE")</f>
        <v>ANGEL MAE</v>
      </c>
      <c r="D924" s="9"/>
      <c r="E924" s="9" t="str">
        <f>IFERROR(__xludf.DUMMYFUNCTION("""COMPUTED_VALUE"""),"FLORENTINA GUTIERREZ")</f>
        <v>FLORENTINA GUTIERREZ</v>
      </c>
      <c r="F924" s="133"/>
      <c r="G924" s="13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60">
        <f t="shared" si="1"/>
        <v>919</v>
      </c>
      <c r="B925" s="9" t="str">
        <f>IFERROR(__xludf.DUMMYFUNCTION("""COMPUTED_VALUE"""),"DESPABELADERAS")</f>
        <v>DESPABELADERAS</v>
      </c>
      <c r="C925" s="9" t="str">
        <f>IFERROR(__xludf.DUMMYFUNCTION("""COMPUTED_VALUE"""),"GAB")</f>
        <v>GAB</v>
      </c>
      <c r="D925" s="9"/>
      <c r="E925" s="9" t="str">
        <f>IFERROR(__xludf.DUMMYFUNCTION("""COMPUTED_VALUE"""),"AL DESPABELADERAS")</f>
        <v>AL DESPABELADERAS</v>
      </c>
      <c r="F925" s="133"/>
      <c r="G925" s="13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60">
        <f t="shared" si="1"/>
        <v>920</v>
      </c>
      <c r="B926" s="9" t="str">
        <f>IFERROR(__xludf.DUMMYFUNCTION("""COMPUTED_VALUE"""),"DESPABELADERAS")</f>
        <v>DESPABELADERAS</v>
      </c>
      <c r="C926" s="9" t="str">
        <f>IFERROR(__xludf.DUMMYFUNCTION("""COMPUTED_VALUE"""),"SUAY")</f>
        <v>SUAY</v>
      </c>
      <c r="D926" s="9"/>
      <c r="E926" s="9" t="str">
        <f>IFERROR(__xludf.DUMMYFUNCTION("""COMPUTED_VALUE"""),"LORENZO DESPABELADERAS")</f>
        <v>LORENZO DESPABELADERAS</v>
      </c>
      <c r="F926" s="133"/>
      <c r="G926" s="13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60">
        <f t="shared" si="1"/>
        <v>921</v>
      </c>
      <c r="B927" s="9" t="str">
        <f>IFERROR(__xludf.DUMMYFUNCTION("""COMPUTED_VALUE"""),"DESPABELADERAS")</f>
        <v>DESPABELADERAS</v>
      </c>
      <c r="C927" s="9" t="str">
        <f>IFERROR(__xludf.DUMMYFUNCTION("""COMPUTED_VALUE"""),"LIAM")</f>
        <v>LIAM</v>
      </c>
      <c r="D927" s="9"/>
      <c r="E927" s="9" t="str">
        <f>IFERROR(__xludf.DUMMYFUNCTION("""COMPUTED_VALUE"""),"LORENZO DESPABELADERAS")</f>
        <v>LORENZO DESPABELADERAS</v>
      </c>
      <c r="F927" s="133"/>
      <c r="G927" s="13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60">
        <f t="shared" si="1"/>
        <v>922</v>
      </c>
      <c r="B928" s="9" t="str">
        <f>IFERROR(__xludf.DUMMYFUNCTION("""COMPUTED_VALUE"""),"DESPABELADERAS")</f>
        <v>DESPABELADERAS</v>
      </c>
      <c r="C928" s="9" t="str">
        <f>IFERROR(__xludf.DUMMYFUNCTION("""COMPUTED_VALUE"""),"JOHN OBAMA")</f>
        <v>JOHN OBAMA</v>
      </c>
      <c r="D928" s="9"/>
      <c r="E928" s="9" t="str">
        <f>IFERROR(__xludf.DUMMYFUNCTION("""COMPUTED_VALUE"""),"ELIZA DESPABELADERAS")</f>
        <v>ELIZA DESPABELADERAS</v>
      </c>
      <c r="F928" s="133"/>
      <c r="G928" s="13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60">
        <f t="shared" si="1"/>
        <v>923</v>
      </c>
      <c r="B929" s="9" t="str">
        <f>IFERROR(__xludf.DUMMYFUNCTION("""COMPUTED_VALUE"""),"OCAMPO")</f>
        <v>OCAMPO</v>
      </c>
      <c r="C929" s="9" t="str">
        <f>IFERROR(__xludf.DUMMYFUNCTION("""COMPUTED_VALUE"""),"SEAN LUAN")</f>
        <v>SEAN LUAN</v>
      </c>
      <c r="D929" s="9" t="str">
        <f>IFERROR(__xludf.DUMMYFUNCTION("""COMPUTED_VALUE"""),"S")</f>
        <v>S</v>
      </c>
      <c r="E929" s="9" t="str">
        <f>IFERROR(__xludf.DUMMYFUNCTION("""COMPUTED_VALUE"""),"LETTE S OCAMPO")</f>
        <v>LETTE S OCAMPO</v>
      </c>
      <c r="F929" s="133"/>
      <c r="G929" s="13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60">
        <f t="shared" si="1"/>
        <v>924</v>
      </c>
      <c r="B930" s="9" t="str">
        <f>IFERROR(__xludf.DUMMYFUNCTION("""COMPUTED_VALUE"""),"CARRASCO")</f>
        <v>CARRASCO</v>
      </c>
      <c r="C930" s="9" t="str">
        <f>IFERROR(__xludf.DUMMYFUNCTION("""COMPUTED_VALUE"""),"MITZI ELLINE")</f>
        <v>MITZI ELLINE</v>
      </c>
      <c r="D930" s="9" t="str">
        <f>IFERROR(__xludf.DUMMYFUNCTION("""COMPUTED_VALUE"""),"L")</f>
        <v>L</v>
      </c>
      <c r="E930" s="9" t="str">
        <f>IFERROR(__xludf.DUMMYFUNCTION("""COMPUTED_VALUE"""),"VENERANDO D CARRASCO")</f>
        <v>VENERANDO D CARRASCO</v>
      </c>
      <c r="F930" s="133"/>
      <c r="G930" s="13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60">
        <f t="shared" si="1"/>
        <v>925</v>
      </c>
      <c r="B931" s="9" t="str">
        <f>IFERROR(__xludf.DUMMYFUNCTION("""COMPUTED_VALUE"""),"PUSING")</f>
        <v>PUSING</v>
      </c>
      <c r="C931" s="9" t="str">
        <f>IFERROR(__xludf.DUMMYFUNCTION("""COMPUTED_VALUE"""),"UNO")</f>
        <v>UNO</v>
      </c>
      <c r="D931" s="9"/>
      <c r="E931" s="9" t="str">
        <f>IFERROR(__xludf.DUMMYFUNCTION("""COMPUTED_VALUE"""),"JULUIS R PUSING")</f>
        <v>JULUIS R PUSING</v>
      </c>
      <c r="F931" s="133"/>
      <c r="G931" s="13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60">
        <f t="shared" si="1"/>
        <v>926</v>
      </c>
      <c r="B932" s="9" t="str">
        <f>IFERROR(__xludf.DUMMYFUNCTION("""COMPUTED_VALUE"""),"JUSTINIANO")</f>
        <v>JUSTINIANO</v>
      </c>
      <c r="C932" s="9" t="str">
        <f>IFERROR(__xludf.DUMMYFUNCTION("""COMPUTED_VALUE"""),"KHEANNA")</f>
        <v>KHEANNA</v>
      </c>
      <c r="D932" s="9"/>
      <c r="E932" s="9" t="str">
        <f>IFERROR(__xludf.DUMMYFUNCTION("""COMPUTED_VALUE"""),"JHON JOSEPH JUSTINIANO")</f>
        <v>JHON JOSEPH JUSTINIANO</v>
      </c>
      <c r="F932" s="133"/>
      <c r="G932" s="13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60">
        <f t="shared" si="1"/>
        <v>927</v>
      </c>
      <c r="B933" s="9" t="str">
        <f>IFERROR(__xludf.DUMMYFUNCTION("""COMPUTED_VALUE"""),"PAGUDAR")</f>
        <v>PAGUDAR</v>
      </c>
      <c r="C933" s="9" t="str">
        <f>IFERROR(__xludf.DUMMYFUNCTION("""COMPUTED_VALUE"""),"SOPHIA KAITLYN")</f>
        <v>SOPHIA KAITLYN</v>
      </c>
      <c r="D933" s="9"/>
      <c r="E933" s="9" t="str">
        <f>IFERROR(__xludf.DUMMYFUNCTION("""COMPUTED_VALUE"""),"DARWIN C PAGUDAR")</f>
        <v>DARWIN C PAGUDAR</v>
      </c>
      <c r="F933" s="133"/>
      <c r="G933" s="13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60">
        <f t="shared" si="1"/>
        <v>928</v>
      </c>
      <c r="B934" s="9" t="str">
        <f>IFERROR(__xludf.DUMMYFUNCTION("""COMPUTED_VALUE"""),"CALAWIN")</f>
        <v>CALAWIN</v>
      </c>
      <c r="C934" s="9" t="str">
        <f>IFERROR(__xludf.DUMMYFUNCTION("""COMPUTED_VALUE"""),"MARNA")</f>
        <v>MARNA</v>
      </c>
      <c r="D934" s="9"/>
      <c r="E934" s="9" t="str">
        <f>IFERROR(__xludf.DUMMYFUNCTION("""COMPUTED_VALUE"""),"RENATO CALAWIN")</f>
        <v>RENATO CALAWIN</v>
      </c>
      <c r="F934" s="133"/>
      <c r="G934" s="13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60">
        <f t="shared" si="1"/>
        <v>929</v>
      </c>
      <c r="B935" s="9" t="str">
        <f>IFERROR(__xludf.DUMMYFUNCTION("""COMPUTED_VALUE"""),"CALAWIN")</f>
        <v>CALAWIN</v>
      </c>
      <c r="C935" s="9" t="str">
        <f>IFERROR(__xludf.DUMMYFUNCTION("""COMPUTED_VALUE"""),"JONATHAN")</f>
        <v>JONATHAN</v>
      </c>
      <c r="D935" s="9"/>
      <c r="E935" s="9" t="str">
        <f>IFERROR(__xludf.DUMMYFUNCTION("""COMPUTED_VALUE"""),"MAYLA CALAWIN")</f>
        <v>MAYLA CALAWIN</v>
      </c>
      <c r="F935" s="133"/>
      <c r="G935" s="13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60">
        <f t="shared" si="1"/>
        <v>930</v>
      </c>
      <c r="B936" s="9" t="str">
        <f>IFERROR(__xludf.DUMMYFUNCTION("""COMPUTED_VALUE"""),"CALAWIN")</f>
        <v>CALAWIN</v>
      </c>
      <c r="C936" s="9" t="str">
        <f>IFERROR(__xludf.DUMMYFUNCTION("""COMPUTED_VALUE"""),"JOSHUA")</f>
        <v>JOSHUA</v>
      </c>
      <c r="D936" s="9"/>
      <c r="E936" s="9" t="str">
        <f>IFERROR(__xludf.DUMMYFUNCTION("""COMPUTED_VALUE"""),"MAYLA CALAWIN")</f>
        <v>MAYLA CALAWIN</v>
      </c>
      <c r="F936" s="133"/>
      <c r="G936" s="13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60">
        <f t="shared" si="1"/>
        <v>931</v>
      </c>
      <c r="B937" s="9" t="str">
        <f>IFERROR(__xludf.DUMMYFUNCTION("""COMPUTED_VALUE"""),"CALAWIN")</f>
        <v>CALAWIN</v>
      </c>
      <c r="C937" s="9" t="str">
        <f>IFERROR(__xludf.DUMMYFUNCTION("""COMPUTED_VALUE"""),"JONAS")</f>
        <v>JONAS</v>
      </c>
      <c r="D937" s="9"/>
      <c r="E937" s="9" t="str">
        <f>IFERROR(__xludf.DUMMYFUNCTION("""COMPUTED_VALUE"""),"MAYLA CALAWIN")</f>
        <v>MAYLA CALAWIN</v>
      </c>
      <c r="F937" s="133"/>
      <c r="G937" s="13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60">
        <f t="shared" si="1"/>
        <v>932</v>
      </c>
      <c r="B938" s="9" t="str">
        <f>IFERROR(__xludf.DUMMYFUNCTION("""COMPUTED_VALUE"""),"CRISOSTOMO")</f>
        <v>CRISOSTOMO</v>
      </c>
      <c r="C938" s="9" t="str">
        <f>IFERROR(__xludf.DUMMYFUNCTION("""COMPUTED_VALUE"""),"TRACY MAE")</f>
        <v>TRACY MAE</v>
      </c>
      <c r="D938" s="9"/>
      <c r="E938" s="9" t="str">
        <f>IFERROR(__xludf.DUMMYFUNCTION("""COMPUTED_VALUE"""),"REBECCA CRISOSTOMO")</f>
        <v>REBECCA CRISOSTOMO</v>
      </c>
      <c r="F938" s="133"/>
      <c r="G938" s="13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60">
        <f t="shared" si="1"/>
        <v>933</v>
      </c>
      <c r="B939" s="9" t="str">
        <f>IFERROR(__xludf.DUMMYFUNCTION("""COMPUTED_VALUE"""),"ARAMBULO")</f>
        <v>ARAMBULO</v>
      </c>
      <c r="C939" s="9" t="str">
        <f>IFERROR(__xludf.DUMMYFUNCTION("""COMPUTED_VALUE"""),"JANNA")</f>
        <v>JANNA</v>
      </c>
      <c r="D939" s="9"/>
      <c r="E939" s="9" t="str">
        <f>IFERROR(__xludf.DUMMYFUNCTION("""COMPUTED_VALUE"""),"JAYJAY ARAMBULO")</f>
        <v>JAYJAY ARAMBULO</v>
      </c>
      <c r="F939" s="133"/>
      <c r="G939" s="13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60">
        <f t="shared" si="1"/>
        <v>934</v>
      </c>
      <c r="B940" s="9" t="str">
        <f>IFERROR(__xludf.DUMMYFUNCTION("""COMPUTED_VALUE"""),"LLAMES")</f>
        <v>LLAMES</v>
      </c>
      <c r="C940" s="9" t="str">
        <f>IFERROR(__xludf.DUMMYFUNCTION("""COMPUTED_VALUE"""),"PRECIOUS ")</f>
        <v>PRECIOUS </v>
      </c>
      <c r="D940" s="9"/>
      <c r="E940" s="9" t="str">
        <f>IFERROR(__xludf.DUMMYFUNCTION("""COMPUTED_VALUE"""),"EDGAR LLAMES")</f>
        <v>EDGAR LLAMES</v>
      </c>
      <c r="F940" s="133"/>
      <c r="G940" s="13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60">
        <f t="shared" si="1"/>
        <v>935</v>
      </c>
      <c r="B941" s="9" t="str">
        <f>IFERROR(__xludf.DUMMYFUNCTION("""COMPUTED_VALUE"""),"LLAMES")</f>
        <v>LLAMES</v>
      </c>
      <c r="C941" s="9" t="str">
        <f>IFERROR(__xludf.DUMMYFUNCTION("""COMPUTED_VALUE"""),"CATHERINE")</f>
        <v>CATHERINE</v>
      </c>
      <c r="D941" s="9"/>
      <c r="E941" s="9" t="str">
        <f>IFERROR(__xludf.DUMMYFUNCTION("""COMPUTED_VALUE"""),"EDGAR LLAMES")</f>
        <v>EDGAR LLAMES</v>
      </c>
      <c r="F941" s="133"/>
      <c r="G941" s="13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60">
        <f t="shared" si="1"/>
        <v>936</v>
      </c>
      <c r="B942" s="9" t="str">
        <f>IFERROR(__xludf.DUMMYFUNCTION("""COMPUTED_VALUE"""),"LLAMES")</f>
        <v>LLAMES</v>
      </c>
      <c r="C942" s="9" t="str">
        <f>IFERROR(__xludf.DUMMYFUNCTION("""COMPUTED_VALUE"""),"DALE GARNETH")</f>
        <v>DALE GARNETH</v>
      </c>
      <c r="D942" s="9"/>
      <c r="E942" s="9" t="str">
        <f>IFERROR(__xludf.DUMMYFUNCTION("""COMPUTED_VALUE"""),"EDGAR LLAMES")</f>
        <v>EDGAR LLAMES</v>
      </c>
      <c r="F942" s="133"/>
      <c r="G942" s="13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60">
        <f t="shared" si="1"/>
        <v>937</v>
      </c>
      <c r="B943" s="9" t="str">
        <f>IFERROR(__xludf.DUMMYFUNCTION("""COMPUTED_VALUE"""),"BATAC")</f>
        <v>BATAC</v>
      </c>
      <c r="C943" s="9" t="str">
        <f>IFERROR(__xludf.DUMMYFUNCTION("""COMPUTED_VALUE"""),"MARY GRACE ")</f>
        <v>MARY GRACE </v>
      </c>
      <c r="D943" s="9"/>
      <c r="E943" s="9" t="str">
        <f>IFERROR(__xludf.DUMMYFUNCTION("""COMPUTED_VALUE"""),"RICHARD BATAC")</f>
        <v>RICHARD BATAC</v>
      </c>
      <c r="F943" s="133"/>
      <c r="G943" s="13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60">
        <f t="shared" si="1"/>
        <v>938</v>
      </c>
      <c r="B944" s="9" t="str">
        <f>IFERROR(__xludf.DUMMYFUNCTION("""COMPUTED_VALUE"""),"BATAC")</f>
        <v>BATAC</v>
      </c>
      <c r="C944" s="9" t="str">
        <f>IFERROR(__xludf.DUMMYFUNCTION("""COMPUTED_VALUE"""),"JOHN DANE")</f>
        <v>JOHN DANE</v>
      </c>
      <c r="D944" s="9"/>
      <c r="E944" s="9" t="str">
        <f>IFERROR(__xludf.DUMMYFUNCTION("""COMPUTED_VALUE"""),"RICHARD BATAC")</f>
        <v>RICHARD BATAC</v>
      </c>
      <c r="F944" s="133"/>
      <c r="G944" s="13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60">
        <f t="shared" si="1"/>
        <v>939</v>
      </c>
      <c r="B945" s="9" t="str">
        <f>IFERROR(__xludf.DUMMYFUNCTION("""COMPUTED_VALUE"""),"AVILES")</f>
        <v>AVILES</v>
      </c>
      <c r="C945" s="9" t="str">
        <f>IFERROR(__xludf.DUMMYFUNCTION("""COMPUTED_VALUE"""),"KIAN")</f>
        <v>KIAN</v>
      </c>
      <c r="D945" s="9"/>
      <c r="E945" s="9" t="str">
        <f>IFERROR(__xludf.DUMMYFUNCTION("""COMPUTED_VALUE"""),"JOHN PATRICK LLAMES")</f>
        <v>JOHN PATRICK LLAMES</v>
      </c>
      <c r="F945" s="133"/>
      <c r="G945" s="13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60">
        <f t="shared" si="1"/>
        <v>940</v>
      </c>
      <c r="B946" s="9" t="str">
        <f>IFERROR(__xludf.DUMMYFUNCTION("""COMPUTED_VALUE"""),"BARBULO")</f>
        <v>BARBULO</v>
      </c>
      <c r="C946" s="9" t="str">
        <f>IFERROR(__xludf.DUMMYFUNCTION("""COMPUTED_VALUE"""),"ELISHA FAITH")</f>
        <v>ELISHA FAITH</v>
      </c>
      <c r="D946" s="9"/>
      <c r="E946" s="9" t="str">
        <f>IFERROR(__xludf.DUMMYFUNCTION("""COMPUTED_VALUE"""),"ERWIN BARBULO")</f>
        <v>ERWIN BARBULO</v>
      </c>
      <c r="F946" s="133"/>
      <c r="G946" s="13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60">
        <f t="shared" si="1"/>
        <v>941</v>
      </c>
      <c r="B947" s="9" t="str">
        <f>IFERROR(__xludf.DUMMYFUNCTION("""COMPUTED_VALUE"""),"BATAC")</f>
        <v>BATAC</v>
      </c>
      <c r="C947" s="9" t="str">
        <f>IFERROR(__xludf.DUMMYFUNCTION("""COMPUTED_VALUE"""),"TYLER KLAY")</f>
        <v>TYLER KLAY</v>
      </c>
      <c r="D947" s="9"/>
      <c r="E947" s="9" t="str">
        <f>IFERROR(__xludf.DUMMYFUNCTION("""COMPUTED_VALUE"""),"JOHN PAUL BATAC")</f>
        <v>JOHN PAUL BATAC</v>
      </c>
      <c r="F947" s="133"/>
      <c r="G947" s="13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60">
        <f t="shared" si="1"/>
        <v>942</v>
      </c>
      <c r="B948" s="9" t="str">
        <f>IFERROR(__xludf.DUMMYFUNCTION("""COMPUTED_VALUE"""),"LLAMES")</f>
        <v>LLAMES</v>
      </c>
      <c r="C948" s="9" t="str">
        <f>IFERROR(__xludf.DUMMYFUNCTION("""COMPUTED_VALUE"""),"MARICRIS")</f>
        <v>MARICRIS</v>
      </c>
      <c r="D948" s="9"/>
      <c r="E948" s="9" t="str">
        <f>IFERROR(__xludf.DUMMYFUNCTION("""COMPUTED_VALUE"""),"MALVINA LLAMES")</f>
        <v>MALVINA LLAMES</v>
      </c>
      <c r="F948" s="133"/>
      <c r="G948" s="133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60">
        <f t="shared" si="1"/>
        <v>943</v>
      </c>
      <c r="B949" s="9" t="str">
        <f>IFERROR(__xludf.DUMMYFUNCTION("""COMPUTED_VALUE"""),"LLAMES")</f>
        <v>LLAMES</v>
      </c>
      <c r="C949" s="9" t="str">
        <f>IFERROR(__xludf.DUMMYFUNCTION("""COMPUTED_VALUE"""),"THIRDY")</f>
        <v>THIRDY</v>
      </c>
      <c r="D949" s="9"/>
      <c r="E949" s="9" t="str">
        <f>IFERROR(__xludf.DUMMYFUNCTION("""COMPUTED_VALUE"""),"MALVINA LLAMES")</f>
        <v>MALVINA LLAMES</v>
      </c>
      <c r="F949" s="133"/>
      <c r="G949" s="133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60">
        <f t="shared" si="1"/>
        <v>944</v>
      </c>
      <c r="B950" s="9" t="str">
        <f>IFERROR(__xludf.DUMMYFUNCTION("""COMPUTED_VALUE"""),"CALAWIN")</f>
        <v>CALAWIN</v>
      </c>
      <c r="C950" s="9" t="str">
        <f>IFERROR(__xludf.DUMMYFUNCTION("""COMPUTED_VALUE"""),"MONA")</f>
        <v>MONA</v>
      </c>
      <c r="D950" s="9"/>
      <c r="E950" s="9" t="str">
        <f>IFERROR(__xludf.DUMMYFUNCTION("""COMPUTED_VALUE"""),"ARNANDO CLAWIN")</f>
        <v>ARNANDO CLAWIN</v>
      </c>
      <c r="F950" s="133"/>
      <c r="G950" s="133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60">
        <f t="shared" si="1"/>
        <v>945</v>
      </c>
      <c r="B951" s="9" t="str">
        <f>IFERROR(__xludf.DUMMYFUNCTION("""COMPUTED_VALUE"""),"CALAWIN")</f>
        <v>CALAWIN</v>
      </c>
      <c r="C951" s="9" t="str">
        <f>IFERROR(__xludf.DUMMYFUNCTION("""COMPUTED_VALUE"""),"AJ")</f>
        <v>AJ</v>
      </c>
      <c r="D951" s="9"/>
      <c r="E951" s="9" t="str">
        <f>IFERROR(__xludf.DUMMYFUNCTION("""COMPUTED_VALUE"""),"MONALIZA CALAWIN")</f>
        <v>MONALIZA CALAWIN</v>
      </c>
      <c r="F951" s="133"/>
      <c r="G951" s="133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60">
        <f t="shared" si="1"/>
        <v>946</v>
      </c>
      <c r="B952" s="9" t="str">
        <f>IFERROR(__xludf.DUMMYFUNCTION("""COMPUTED_VALUE"""),"OLAES")</f>
        <v>OLAES</v>
      </c>
      <c r="C952" s="9" t="str">
        <f>IFERROR(__xludf.DUMMYFUNCTION("""COMPUTED_VALUE"""),"JUZTIN ALFRED")</f>
        <v>JUZTIN ALFRED</v>
      </c>
      <c r="D952" s="9" t="str">
        <f>IFERROR(__xludf.DUMMYFUNCTION("""COMPUTED_VALUE"""),"V")</f>
        <v>V</v>
      </c>
      <c r="E952" s="9" t="str">
        <f>IFERROR(__xludf.DUMMYFUNCTION("""COMPUTED_VALUE"""),"NORBERTO B OLAES")</f>
        <v>NORBERTO B OLAES</v>
      </c>
      <c r="F952" s="133"/>
      <c r="G952" s="133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60">
        <f t="shared" si="1"/>
        <v>947</v>
      </c>
      <c r="B953" s="9" t="str">
        <f>IFERROR(__xludf.DUMMYFUNCTION("""COMPUTED_VALUE"""),"ESCUDERO")</f>
        <v>ESCUDERO</v>
      </c>
      <c r="C953" s="9" t="str">
        <f>IFERROR(__xludf.DUMMYFUNCTION("""COMPUTED_VALUE"""),"KIARA LORRAINE")</f>
        <v>KIARA LORRAINE</v>
      </c>
      <c r="D953" s="9"/>
      <c r="E953" s="9" t="str">
        <f>IFERROR(__xludf.DUMMYFUNCTION("""COMPUTED_VALUE"""),"JERWIN ESCUDERO")</f>
        <v>JERWIN ESCUDERO</v>
      </c>
      <c r="F953" s="133"/>
      <c r="G953" s="133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60">
        <f t="shared" si="1"/>
        <v>948</v>
      </c>
      <c r="B954" s="9" t="str">
        <f>IFERROR(__xludf.DUMMYFUNCTION("""COMPUTED_VALUE"""),"ESCUDERO")</f>
        <v>ESCUDERO</v>
      </c>
      <c r="C954" s="9" t="str">
        <f>IFERROR(__xludf.DUMMYFUNCTION("""COMPUTED_VALUE"""),"CLARISSE")</f>
        <v>CLARISSE</v>
      </c>
      <c r="D954" s="9"/>
      <c r="E954" s="9" t="str">
        <f>IFERROR(__xludf.DUMMYFUNCTION("""COMPUTED_VALUE"""),"JERWIN ESCUDERO")</f>
        <v>JERWIN ESCUDERO</v>
      </c>
      <c r="F954" s="133"/>
      <c r="G954" s="133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60">
        <f t="shared" si="1"/>
        <v>949</v>
      </c>
      <c r="B955" s="9" t="str">
        <f>IFERROR(__xludf.DUMMYFUNCTION("""COMPUTED_VALUE"""),"ESCUDERO")</f>
        <v>ESCUDERO</v>
      </c>
      <c r="C955" s="9" t="str">
        <f>IFERROR(__xludf.DUMMYFUNCTION("""COMPUTED_VALUE"""),"MATHEW")</f>
        <v>MATHEW</v>
      </c>
      <c r="D955" s="9" t="str">
        <f>IFERROR(__xludf.DUMMYFUNCTION("""COMPUTED_VALUE"""),"A")</f>
        <v>A</v>
      </c>
      <c r="E955" s="9" t="str">
        <f>IFERROR(__xludf.DUMMYFUNCTION("""COMPUTED_VALUE"""),"JOE CARLO ESCUDERO")</f>
        <v>JOE CARLO ESCUDERO</v>
      </c>
      <c r="F955" s="133"/>
      <c r="G955" s="133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60">
        <f t="shared" si="1"/>
        <v>950</v>
      </c>
      <c r="B956" s="9" t="str">
        <f>IFERROR(__xludf.DUMMYFUNCTION("""COMPUTED_VALUE"""),"ESCUDERO")</f>
        <v>ESCUDERO</v>
      </c>
      <c r="C956" s="9" t="str">
        <f>IFERROR(__xludf.DUMMYFUNCTION("""COMPUTED_VALUE"""),"CHRISTOPHER")</f>
        <v>CHRISTOPHER</v>
      </c>
      <c r="D956" s="9" t="str">
        <f>IFERROR(__xludf.DUMMYFUNCTION("""COMPUTED_VALUE"""),"A")</f>
        <v>A</v>
      </c>
      <c r="E956" s="9" t="str">
        <f>IFERROR(__xludf.DUMMYFUNCTION("""COMPUTED_VALUE"""),"JOE CARLO ESCUDERO")</f>
        <v>JOE CARLO ESCUDERO</v>
      </c>
      <c r="F956" s="133"/>
      <c r="G956" s="133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60">
        <f t="shared" si="1"/>
        <v>951</v>
      </c>
      <c r="B957" s="9" t="str">
        <f>IFERROR(__xludf.DUMMYFUNCTION("""COMPUTED_VALUE"""),"ESCUDERO")</f>
        <v>ESCUDERO</v>
      </c>
      <c r="C957" s="9" t="str">
        <f>IFERROR(__xludf.DUMMYFUNCTION("""COMPUTED_VALUE"""),"RILEY")</f>
        <v>RILEY</v>
      </c>
      <c r="D957" s="9" t="str">
        <f>IFERROR(__xludf.DUMMYFUNCTION("""COMPUTED_VALUE"""),"A")</f>
        <v>A</v>
      </c>
      <c r="E957" s="9" t="str">
        <f>IFERROR(__xludf.DUMMYFUNCTION("""COMPUTED_VALUE"""),"JOE CARLO ESCUDERO")</f>
        <v>JOE CARLO ESCUDERO</v>
      </c>
      <c r="F957" s="133"/>
      <c r="G957" s="133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60">
        <f t="shared" si="1"/>
        <v>952</v>
      </c>
      <c r="B958" s="9" t="str">
        <f>IFERROR(__xludf.DUMMYFUNCTION("""COMPUTED_VALUE"""),"FULONG")</f>
        <v>FULONG</v>
      </c>
      <c r="C958" s="9" t="str">
        <f>IFERROR(__xludf.DUMMYFUNCTION("""COMPUTED_VALUE"""),"AMARAH ZEUE")</f>
        <v>AMARAH ZEUE</v>
      </c>
      <c r="D958" s="9" t="str">
        <f>IFERROR(__xludf.DUMMYFUNCTION("""COMPUTED_VALUE"""),"E")</f>
        <v>E</v>
      </c>
      <c r="E958" s="9" t="str">
        <f>IFERROR(__xludf.DUMMYFUNCTION("""COMPUTED_VALUE"""),"ARWILL FULONG")</f>
        <v>ARWILL FULONG</v>
      </c>
      <c r="F958" s="133"/>
      <c r="G958" s="133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60">
        <f t="shared" si="1"/>
        <v>953</v>
      </c>
      <c r="B959" s="9" t="str">
        <f>IFERROR(__xludf.DUMMYFUNCTION("""COMPUTED_VALUE"""),"ESCUDERO")</f>
        <v>ESCUDERO</v>
      </c>
      <c r="C959" s="9" t="str">
        <f>IFERROR(__xludf.DUMMYFUNCTION("""COMPUTED_VALUE"""),"ZACQUES GREY")</f>
        <v>ZACQUES GREY</v>
      </c>
      <c r="D959" s="9"/>
      <c r="E959" s="9" t="str">
        <f>IFERROR(__xludf.DUMMYFUNCTION("""COMPUTED_VALUE"""),"MARIEL ESCUDERO")</f>
        <v>MARIEL ESCUDERO</v>
      </c>
      <c r="F959" s="133"/>
      <c r="G959" s="133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60">
        <f t="shared" si="1"/>
        <v>954</v>
      </c>
      <c r="B960" s="9" t="str">
        <f>IFERROR(__xludf.DUMMYFUNCTION("""COMPUTED_VALUE"""),"ARANETA")</f>
        <v>ARANETA</v>
      </c>
      <c r="C960" s="9" t="str">
        <f>IFERROR(__xludf.DUMMYFUNCTION("""COMPUTED_VALUE"""),"RAFAEL")</f>
        <v>RAFAEL</v>
      </c>
      <c r="D960" s="9"/>
      <c r="E960" s="9" t="str">
        <f>IFERROR(__xludf.DUMMYFUNCTION("""COMPUTED_VALUE"""),"JOE CARLO ESCUDERO")</f>
        <v>JOE CARLO ESCUDERO</v>
      </c>
      <c r="F960" s="133"/>
      <c r="G960" s="133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60">
        <f t="shared" si="1"/>
        <v>955</v>
      </c>
      <c r="B961" s="9" t="str">
        <f>IFERROR(__xludf.DUMMYFUNCTION("""COMPUTED_VALUE"""),"ARANETA")</f>
        <v>ARANETA</v>
      </c>
      <c r="C961" s="9" t="str">
        <f>IFERROR(__xludf.DUMMYFUNCTION("""COMPUTED_VALUE"""),"CHRISITINE")</f>
        <v>CHRISITINE</v>
      </c>
      <c r="D961" s="9"/>
      <c r="E961" s="9" t="str">
        <f>IFERROR(__xludf.DUMMYFUNCTION("""COMPUTED_VALUE"""),"JOE CARLO ESCUDERO")</f>
        <v>JOE CARLO ESCUDERO</v>
      </c>
      <c r="F961" s="133"/>
      <c r="G961" s="133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60">
        <f t="shared" si="1"/>
        <v>956</v>
      </c>
      <c r="B962" s="9" t="str">
        <f>IFERROR(__xludf.DUMMYFUNCTION("""COMPUTED_VALUE"""),"ESCUDERO")</f>
        <v>ESCUDERO</v>
      </c>
      <c r="C962" s="9" t="str">
        <f>IFERROR(__xludf.DUMMYFUNCTION("""COMPUTED_VALUE"""),"LUKE SEBASTIAN")</f>
        <v>LUKE SEBASTIAN</v>
      </c>
      <c r="D962" s="9"/>
      <c r="E962" s="9" t="str">
        <f>IFERROR(__xludf.DUMMYFUNCTION("""COMPUTED_VALUE"""),"JOE CARLO ESCUDERO")</f>
        <v>JOE CARLO ESCUDERO</v>
      </c>
      <c r="F962" s="133"/>
      <c r="G962" s="133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60">
        <f t="shared" si="1"/>
        <v>957</v>
      </c>
      <c r="B963" s="9" t="str">
        <f>IFERROR(__xludf.DUMMYFUNCTION("""COMPUTED_VALUE"""),"ESCUDERO")</f>
        <v>ESCUDERO</v>
      </c>
      <c r="C963" s="9" t="str">
        <f>IFERROR(__xludf.DUMMYFUNCTION("""COMPUTED_VALUE"""),"JOHN MATHEW")</f>
        <v>JOHN MATHEW</v>
      </c>
      <c r="D963" s="9"/>
      <c r="E963" s="9" t="str">
        <f>IFERROR(__xludf.DUMMYFUNCTION("""COMPUTED_VALUE"""),"JOE CARLO ESCUDERO")</f>
        <v>JOE CARLO ESCUDERO</v>
      </c>
      <c r="F963" s="133"/>
      <c r="G963" s="133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60">
        <f t="shared" si="1"/>
        <v>958</v>
      </c>
      <c r="B964" s="9" t="str">
        <f>IFERROR(__xludf.DUMMYFUNCTION("""COMPUTED_VALUE"""),"ESCUDERO")</f>
        <v>ESCUDERO</v>
      </c>
      <c r="C964" s="9" t="str">
        <f>IFERROR(__xludf.DUMMYFUNCTION("""COMPUTED_VALUE"""),"JEAN RILIA")</f>
        <v>JEAN RILIA</v>
      </c>
      <c r="D964" s="9"/>
      <c r="E964" s="9" t="str">
        <f>IFERROR(__xludf.DUMMYFUNCTION("""COMPUTED_VALUE"""),"JOE CARLO ESCUDERO")</f>
        <v>JOE CARLO ESCUDERO</v>
      </c>
      <c r="F964" s="133"/>
      <c r="G964" s="133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60">
        <f t="shared" si="1"/>
        <v>959</v>
      </c>
      <c r="B965" s="9" t="str">
        <f>IFERROR(__xludf.DUMMYFUNCTION("""COMPUTED_VALUE"""),"PEÑA")</f>
        <v>PEÑA</v>
      </c>
      <c r="C965" s="9" t="str">
        <f>IFERROR(__xludf.DUMMYFUNCTION("""COMPUTED_VALUE"""),"DANICA EUNICE")</f>
        <v>DANICA EUNICE</v>
      </c>
      <c r="D965" s="9" t="str">
        <f>IFERROR(__xludf.DUMMYFUNCTION("""COMPUTED_VALUE"""),"L")</f>
        <v>L</v>
      </c>
      <c r="E965" s="9" t="str">
        <f>IFERROR(__xludf.DUMMYFUNCTION("""COMPUTED_VALUE"""),"TENSON B. PEÑA")</f>
        <v>TENSON B. PEÑA</v>
      </c>
      <c r="F965" s="133"/>
      <c r="G965" s="133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60">
        <f t="shared" si="1"/>
        <v>960</v>
      </c>
      <c r="B966" s="9" t="str">
        <f>IFERROR(__xludf.DUMMYFUNCTION("""COMPUTED_VALUE"""),"PEÑA")</f>
        <v>PEÑA</v>
      </c>
      <c r="C966" s="9" t="str">
        <f>IFERROR(__xludf.DUMMYFUNCTION("""COMPUTED_VALUE"""),"JOHN DAVID")</f>
        <v>JOHN DAVID</v>
      </c>
      <c r="D966" s="9" t="str">
        <f>IFERROR(__xludf.DUMMYFUNCTION("""COMPUTED_VALUE"""),"L")</f>
        <v>L</v>
      </c>
      <c r="E966" s="9" t="str">
        <f>IFERROR(__xludf.DUMMYFUNCTION("""COMPUTED_VALUE"""),"TENSON B. PEÑA")</f>
        <v>TENSON B. PEÑA</v>
      </c>
      <c r="F966" s="133"/>
      <c r="G966" s="133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60">
        <f t="shared" si="1"/>
        <v>961</v>
      </c>
      <c r="B967" s="9" t="str">
        <f>IFERROR(__xludf.DUMMYFUNCTION("""COMPUTED_VALUE"""),"PEÑA")</f>
        <v>PEÑA</v>
      </c>
      <c r="C967" s="9" t="str">
        <f>IFERROR(__xludf.DUMMYFUNCTION("""COMPUTED_VALUE"""),"JAMES DENVER")</f>
        <v>JAMES DENVER</v>
      </c>
      <c r="D967" s="9" t="str">
        <f>IFERROR(__xludf.DUMMYFUNCTION("""COMPUTED_VALUE"""),"L")</f>
        <v>L</v>
      </c>
      <c r="E967" s="9" t="str">
        <f>IFERROR(__xludf.DUMMYFUNCTION("""COMPUTED_VALUE"""),"TENSON B. PEÑA")</f>
        <v>TENSON B. PEÑA</v>
      </c>
      <c r="F967" s="133"/>
      <c r="G967" s="133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60">
        <f t="shared" si="1"/>
        <v>962</v>
      </c>
      <c r="B968" s="9" t="str">
        <f>IFERROR(__xludf.DUMMYFUNCTION("""COMPUTED_VALUE"""),"PEÑA")</f>
        <v>PEÑA</v>
      </c>
      <c r="C968" s="9" t="str">
        <f>IFERROR(__xludf.DUMMYFUNCTION("""COMPUTED_VALUE"""),"DIANA ELLICE")</f>
        <v>DIANA ELLICE</v>
      </c>
      <c r="D968" s="9" t="str">
        <f>IFERROR(__xludf.DUMMYFUNCTION("""COMPUTED_VALUE"""),"L")</f>
        <v>L</v>
      </c>
      <c r="E968" s="9" t="str">
        <f>IFERROR(__xludf.DUMMYFUNCTION("""COMPUTED_VALUE"""),"TENSON B. PEÑA")</f>
        <v>TENSON B. PEÑA</v>
      </c>
      <c r="F968" s="133"/>
      <c r="G968" s="133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60">
        <f t="shared" si="1"/>
        <v>963</v>
      </c>
      <c r="B969" s="9" t="str">
        <f>IFERROR(__xludf.DUMMYFUNCTION("""COMPUTED_VALUE"""),"LAURAYA")</f>
        <v>LAURAYA</v>
      </c>
      <c r="C969" s="9" t="str">
        <f>IFERROR(__xludf.DUMMYFUNCTION("""COMPUTED_VALUE"""),"JERICHO")</f>
        <v>JERICHO</v>
      </c>
      <c r="D969" s="9"/>
      <c r="E969" s="9" t="str">
        <f>IFERROR(__xludf.DUMMYFUNCTION("""COMPUTED_VALUE"""),"ROMEO LAURAYA")</f>
        <v>ROMEO LAURAYA</v>
      </c>
      <c r="F969" s="133"/>
      <c r="G969" s="133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60">
        <f t="shared" si="1"/>
        <v>964</v>
      </c>
      <c r="B970" s="9" t="str">
        <f>IFERROR(__xludf.DUMMYFUNCTION("""COMPUTED_VALUE"""),"LAURAYA")</f>
        <v>LAURAYA</v>
      </c>
      <c r="C970" s="9" t="str">
        <f>IFERROR(__xludf.DUMMYFUNCTION("""COMPUTED_VALUE"""),"PRINCESS")</f>
        <v>PRINCESS</v>
      </c>
      <c r="D970" s="9"/>
      <c r="E970" s="9" t="str">
        <f>IFERROR(__xludf.DUMMYFUNCTION("""COMPUTED_VALUE"""),"ROMEO LAURAYA")</f>
        <v>ROMEO LAURAYA</v>
      </c>
      <c r="F970" s="133"/>
      <c r="G970" s="133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60">
        <f t="shared" si="1"/>
        <v>965</v>
      </c>
      <c r="B971" s="9" t="str">
        <f>IFERROR(__xludf.DUMMYFUNCTION("""COMPUTED_VALUE"""),"LAURAYA")</f>
        <v>LAURAYA</v>
      </c>
      <c r="C971" s="9" t="str">
        <f>IFERROR(__xludf.DUMMYFUNCTION("""COMPUTED_VALUE"""),"JENNY")</f>
        <v>JENNY</v>
      </c>
      <c r="D971" s="9"/>
      <c r="E971" s="9" t="str">
        <f>IFERROR(__xludf.DUMMYFUNCTION("""COMPUTED_VALUE"""),"ROMEO LAURAYA")</f>
        <v>ROMEO LAURAYA</v>
      </c>
      <c r="F971" s="133"/>
      <c r="G971" s="133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60">
        <f t="shared" si="1"/>
        <v>966</v>
      </c>
      <c r="B972" s="9" t="str">
        <f>IFERROR(__xludf.DUMMYFUNCTION("""COMPUTED_VALUE"""),"ESCOBAR")</f>
        <v>ESCOBAR</v>
      </c>
      <c r="C972" s="9" t="str">
        <f>IFERROR(__xludf.DUMMYFUNCTION("""COMPUTED_VALUE"""),"ZACHARY")</f>
        <v>ZACHARY</v>
      </c>
      <c r="D972" s="9"/>
      <c r="E972" s="9" t="str">
        <f>IFERROR(__xludf.DUMMYFUNCTION("""COMPUTED_VALUE"""),"MARIEL ESCUDERO")</f>
        <v>MARIEL ESCUDERO</v>
      </c>
      <c r="F972" s="133"/>
      <c r="G972" s="133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60">
        <f t="shared" si="1"/>
        <v>967</v>
      </c>
      <c r="B973" s="9" t="str">
        <f>IFERROR(__xludf.DUMMYFUNCTION("""COMPUTED_VALUE"""),"LAURAYA")</f>
        <v>LAURAYA</v>
      </c>
      <c r="C973" s="9" t="str">
        <f>IFERROR(__xludf.DUMMYFUNCTION("""COMPUTED_VALUE"""),"SAN EDRC")</f>
        <v>SAN EDRC</v>
      </c>
      <c r="D973" s="9"/>
      <c r="E973" s="9" t="str">
        <f>IFERROR(__xludf.DUMMYFUNCTION("""COMPUTED_VALUE"""),"JOSHUA LAURAYA")</f>
        <v>JOSHUA LAURAYA</v>
      </c>
      <c r="F973" s="133"/>
      <c r="G973" s="133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60">
        <f t="shared" si="1"/>
        <v>968</v>
      </c>
      <c r="B974" s="9" t="str">
        <f>IFERROR(__xludf.DUMMYFUNCTION("""COMPUTED_VALUE"""),"GALLARDO")</f>
        <v>GALLARDO</v>
      </c>
      <c r="C974" s="9" t="str">
        <f>IFERROR(__xludf.DUMMYFUNCTION("""COMPUTED_VALUE"""),"IVAN")</f>
        <v>IVAN</v>
      </c>
      <c r="D974" s="9" t="str">
        <f>IFERROR(__xludf.DUMMYFUNCTION("""COMPUTED_VALUE"""),"L")</f>
        <v>L</v>
      </c>
      <c r="E974" s="9" t="str">
        <f>IFERROR(__xludf.DUMMYFUNCTION("""COMPUTED_VALUE"""),"ALEJANDRO G GALLARDO JR. ")</f>
        <v>ALEJANDRO G GALLARDO JR. </v>
      </c>
      <c r="F974" s="133"/>
      <c r="G974" s="133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60">
        <f t="shared" si="1"/>
        <v>969</v>
      </c>
      <c r="B975" s="9" t="str">
        <f>IFERROR(__xludf.DUMMYFUNCTION("""COMPUTED_VALUE"""),"GALLARDO")</f>
        <v>GALLARDO</v>
      </c>
      <c r="C975" s="9" t="str">
        <f>IFERROR(__xludf.DUMMYFUNCTION("""COMPUTED_VALUE"""),"DANE BERT")</f>
        <v>DANE BERT</v>
      </c>
      <c r="D975" s="9" t="str">
        <f>IFERROR(__xludf.DUMMYFUNCTION("""COMPUTED_VALUE"""),"L")</f>
        <v>L</v>
      </c>
      <c r="E975" s="9" t="str">
        <f>IFERROR(__xludf.DUMMYFUNCTION("""COMPUTED_VALUE"""),"ALEJANDRO G GALLARDO JR. ")</f>
        <v>ALEJANDRO G GALLARDO JR. </v>
      </c>
      <c r="F975" s="133"/>
      <c r="G975" s="133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60">
        <f t="shared" si="1"/>
        <v>970</v>
      </c>
      <c r="B976" s="9" t="str">
        <f>IFERROR(__xludf.DUMMYFUNCTION("""COMPUTED_VALUE"""),"GALLARDO")</f>
        <v>GALLARDO</v>
      </c>
      <c r="C976" s="9" t="str">
        <f>IFERROR(__xludf.DUMMYFUNCTION("""COMPUTED_VALUE"""),"DALE ANDREW")</f>
        <v>DALE ANDREW</v>
      </c>
      <c r="D976" s="9" t="str">
        <f>IFERROR(__xludf.DUMMYFUNCTION("""COMPUTED_VALUE"""),"L")</f>
        <v>L</v>
      </c>
      <c r="E976" s="9" t="str">
        <f>IFERROR(__xludf.DUMMYFUNCTION("""COMPUTED_VALUE"""),"ALEJANDRO G GALLARDO JR. ")</f>
        <v>ALEJANDRO G GALLARDO JR. </v>
      </c>
      <c r="F976" s="133"/>
      <c r="G976" s="133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60">
        <f t="shared" si="1"/>
        <v>971</v>
      </c>
      <c r="B977" s="9" t="str">
        <f>IFERROR(__xludf.DUMMYFUNCTION("""COMPUTED_VALUE"""),"GALLARDO")</f>
        <v>GALLARDO</v>
      </c>
      <c r="C977" s="9" t="str">
        <f>IFERROR(__xludf.DUMMYFUNCTION("""COMPUTED_VALUE"""),"DEIB JAMESON")</f>
        <v>DEIB JAMESON</v>
      </c>
      <c r="D977" s="9" t="str">
        <f>IFERROR(__xludf.DUMMYFUNCTION("""COMPUTED_VALUE"""),"L")</f>
        <v>L</v>
      </c>
      <c r="E977" s="9" t="str">
        <f>IFERROR(__xludf.DUMMYFUNCTION("""COMPUTED_VALUE"""),"ALEJANDRO G GALLARDO JR. ")</f>
        <v>ALEJANDRO G GALLARDO JR. </v>
      </c>
      <c r="F977" s="133"/>
      <c r="G977" s="133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60">
        <f t="shared" si="1"/>
        <v>972</v>
      </c>
      <c r="B978" s="9" t="str">
        <f>IFERROR(__xludf.DUMMYFUNCTION("""COMPUTED_VALUE"""),"SANTIAGO ")</f>
        <v>SANTIAGO </v>
      </c>
      <c r="C978" s="9" t="str">
        <f>IFERROR(__xludf.DUMMYFUNCTION("""COMPUTED_VALUE"""),"CALVIN")</f>
        <v>CALVIN</v>
      </c>
      <c r="D978" s="9"/>
      <c r="E978" s="9" t="str">
        <f>IFERROR(__xludf.DUMMYFUNCTION("""COMPUTED_VALUE"""),"JOVER SANTIAGO")</f>
        <v>JOVER SANTIAGO</v>
      </c>
      <c r="F978" s="133"/>
      <c r="G978" s="133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60">
        <f t="shared" si="1"/>
        <v>973</v>
      </c>
      <c r="B979" s="9" t="str">
        <f>IFERROR(__xludf.DUMMYFUNCTION("""COMPUTED_VALUE"""),"ATAJAR")</f>
        <v>ATAJAR</v>
      </c>
      <c r="C979" s="9" t="str">
        <f>IFERROR(__xludf.DUMMYFUNCTION("""COMPUTED_VALUE"""),"MIEL")</f>
        <v>MIEL</v>
      </c>
      <c r="D979" s="9"/>
      <c r="E979" s="9" t="str">
        <f>IFERROR(__xludf.DUMMYFUNCTION("""COMPUTED_VALUE"""),"ROMEL G ATAJAR")</f>
        <v>ROMEL G ATAJAR</v>
      </c>
      <c r="F979" s="133"/>
      <c r="G979" s="133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60">
        <f t="shared" si="1"/>
        <v>974</v>
      </c>
      <c r="B980" s="9" t="str">
        <f>IFERROR(__xludf.DUMMYFUNCTION("""COMPUTED_VALUE"""),"ATAJAR")</f>
        <v>ATAJAR</v>
      </c>
      <c r="C980" s="9" t="str">
        <f>IFERROR(__xludf.DUMMYFUNCTION("""COMPUTED_VALUE"""),"ZACK")</f>
        <v>ZACK</v>
      </c>
      <c r="D980" s="9"/>
      <c r="E980" s="9" t="str">
        <f>IFERROR(__xludf.DUMMYFUNCTION("""COMPUTED_VALUE"""),"ROMEL G ATAJAR")</f>
        <v>ROMEL G ATAJAR</v>
      </c>
      <c r="F980" s="133"/>
      <c r="G980" s="133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60">
        <f t="shared" si="1"/>
        <v>975</v>
      </c>
      <c r="B981" s="9" t="str">
        <f>IFERROR(__xludf.DUMMYFUNCTION("""COMPUTED_VALUE"""),"GALLARDO")</f>
        <v>GALLARDO</v>
      </c>
      <c r="C981" s="9" t="str">
        <f>IFERROR(__xludf.DUMMYFUNCTION("""COMPUTED_VALUE"""),"BLAINE GAVEEN")</f>
        <v>BLAINE GAVEEN</v>
      </c>
      <c r="D981" s="9"/>
      <c r="E981" s="9" t="str">
        <f>IFERROR(__xludf.DUMMYFUNCTION("""COMPUTED_VALUE"""),"BENIDICT L GALLARDO")</f>
        <v>BENIDICT L GALLARDO</v>
      </c>
      <c r="F981" s="133"/>
      <c r="G981" s="133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60">
        <f t="shared" si="1"/>
        <v>976</v>
      </c>
      <c r="B982" s="9" t="str">
        <f>IFERROR(__xludf.DUMMYFUNCTION("""COMPUTED_VALUE"""),"PEDRO ")</f>
        <v>PEDRO </v>
      </c>
      <c r="C982" s="9" t="str">
        <f>IFERROR(__xludf.DUMMYFUNCTION("""COMPUTED_VALUE"""),"ELAINE MARIVIC")</f>
        <v>ELAINE MARIVIC</v>
      </c>
      <c r="D982" s="9"/>
      <c r="E982" s="9" t="str">
        <f>IFERROR(__xludf.DUMMYFUNCTION("""COMPUTED_VALUE"""),"EDNA D BARCO")</f>
        <v>EDNA D BARCO</v>
      </c>
      <c r="F982" s="133"/>
      <c r="G982" s="133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60">
        <f t="shared" si="1"/>
        <v>977</v>
      </c>
      <c r="B983" s="9" t="str">
        <f>IFERROR(__xludf.DUMMYFUNCTION("""COMPUTED_VALUE"""),"ACUZAR")</f>
        <v>ACUZAR</v>
      </c>
      <c r="C983" s="9" t="str">
        <f>IFERROR(__xludf.DUMMYFUNCTION("""COMPUTED_VALUE"""),"JETRO")</f>
        <v>JETRO</v>
      </c>
      <c r="D983" s="9"/>
      <c r="E983" s="9" t="str">
        <f>IFERROR(__xludf.DUMMYFUNCTION("""COMPUTED_VALUE"""),"JEFF BECK M. ACUZAR")</f>
        <v>JEFF BECK M. ACUZAR</v>
      </c>
      <c r="F983" s="133"/>
      <c r="G983" s="133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60">
        <f t="shared" si="1"/>
        <v>978</v>
      </c>
      <c r="B984" s="9" t="str">
        <f>IFERROR(__xludf.DUMMYFUNCTION("""COMPUTED_VALUE"""),"ACUZAR")</f>
        <v>ACUZAR</v>
      </c>
      <c r="C984" s="9" t="str">
        <f>IFERROR(__xludf.DUMMYFUNCTION("""COMPUTED_VALUE"""),"ATHEA")</f>
        <v>ATHEA</v>
      </c>
      <c r="D984" s="9"/>
      <c r="E984" s="9" t="str">
        <f>IFERROR(__xludf.DUMMYFUNCTION("""COMPUTED_VALUE"""),"JEFF BECK M. ACUZAR")</f>
        <v>JEFF BECK M. ACUZAR</v>
      </c>
      <c r="F984" s="133"/>
      <c r="G984" s="133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60">
        <f t="shared" si="1"/>
        <v>979</v>
      </c>
      <c r="B985" s="9" t="str">
        <f>IFERROR(__xludf.DUMMYFUNCTION("""COMPUTED_VALUE"""),"ACUZAR")</f>
        <v>ACUZAR</v>
      </c>
      <c r="C985" s="9" t="str">
        <f>IFERROR(__xludf.DUMMYFUNCTION("""COMPUTED_VALUE"""),"AETHAN")</f>
        <v>AETHAN</v>
      </c>
      <c r="D985" s="9"/>
      <c r="E985" s="9" t="str">
        <f>IFERROR(__xludf.DUMMYFUNCTION("""COMPUTED_VALUE"""),"JEFF BECK M. ACUZAR")</f>
        <v>JEFF BECK M. ACUZAR</v>
      </c>
      <c r="F985" s="133"/>
      <c r="G985" s="133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60">
        <f t="shared" si="1"/>
        <v>980</v>
      </c>
      <c r="B986" s="9" t="str">
        <f>IFERROR(__xludf.DUMMYFUNCTION("""COMPUTED_VALUE"""),"UNABIA")</f>
        <v>UNABIA</v>
      </c>
      <c r="C986" s="9" t="str">
        <f>IFERROR(__xludf.DUMMYFUNCTION("""COMPUTED_VALUE"""),"SAYMON")</f>
        <v>SAYMON</v>
      </c>
      <c r="D986" s="9"/>
      <c r="E986" s="9" t="str">
        <f>IFERROR(__xludf.DUMMYFUNCTION("""COMPUTED_VALUE"""),"LEONARDO UNABIA")</f>
        <v>LEONARDO UNABIA</v>
      </c>
      <c r="F986" s="133"/>
      <c r="G986" s="133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60">
        <f t="shared" si="1"/>
        <v>981</v>
      </c>
      <c r="B987" s="9" t="str">
        <f>IFERROR(__xludf.DUMMYFUNCTION("""COMPUTED_VALUE"""),"UNABIA")</f>
        <v>UNABIA</v>
      </c>
      <c r="C987" s="9" t="str">
        <f>IFERROR(__xludf.DUMMYFUNCTION("""COMPUTED_VALUE"""),"SAYRO")</f>
        <v>SAYRO</v>
      </c>
      <c r="D987" s="9"/>
      <c r="E987" s="9" t="str">
        <f>IFERROR(__xludf.DUMMYFUNCTION("""COMPUTED_VALUE"""),"LEONARDO UNABIA")</f>
        <v>LEONARDO UNABIA</v>
      </c>
      <c r="F987" s="133"/>
      <c r="G987" s="133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60">
        <f t="shared" si="1"/>
        <v>982</v>
      </c>
      <c r="B988" s="9" t="str">
        <f>IFERROR(__xludf.DUMMYFUNCTION("""COMPUTED_VALUE"""),"CALAWIN")</f>
        <v>CALAWIN</v>
      </c>
      <c r="C988" s="9" t="str">
        <f>IFERROR(__xludf.DUMMYFUNCTION("""COMPUTED_VALUE"""),"SHIELA MARIE")</f>
        <v>SHIELA MARIE</v>
      </c>
      <c r="D988" s="9"/>
      <c r="E988" s="9" t="str">
        <f>IFERROR(__xludf.DUMMYFUNCTION("""COMPUTED_VALUE"""),"MA. TERESA CALAWIN")</f>
        <v>MA. TERESA CALAWIN</v>
      </c>
      <c r="F988" s="133"/>
      <c r="G988" s="133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60">
        <f t="shared" si="1"/>
        <v>983</v>
      </c>
      <c r="B989" s="9" t="str">
        <f>IFERROR(__xludf.DUMMYFUNCTION("""COMPUTED_VALUE"""),"CALAWIN ")</f>
        <v>CALAWIN </v>
      </c>
      <c r="C989" s="9" t="str">
        <f>IFERROR(__xludf.DUMMYFUNCTION("""COMPUTED_VALUE"""),"MARION FAYE")</f>
        <v>MARION FAYE</v>
      </c>
      <c r="D989" s="9"/>
      <c r="E989" s="9" t="str">
        <f>IFERROR(__xludf.DUMMYFUNCTION("""COMPUTED_VALUE"""),"MA. TERESA CALAWIN")</f>
        <v>MA. TERESA CALAWIN</v>
      </c>
      <c r="F989" s="133"/>
      <c r="G989" s="133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60">
        <f t="shared" si="1"/>
        <v>984</v>
      </c>
      <c r="B990" s="9" t="str">
        <f>IFERROR(__xludf.DUMMYFUNCTION("""COMPUTED_VALUE"""),"SAMONTE")</f>
        <v>SAMONTE</v>
      </c>
      <c r="C990" s="9" t="str">
        <f>IFERROR(__xludf.DUMMYFUNCTION("""COMPUTED_VALUE"""),"MARY JOY")</f>
        <v>MARY JOY</v>
      </c>
      <c r="D990" s="9"/>
      <c r="E990" s="9" t="str">
        <f>IFERROR(__xludf.DUMMYFUNCTION("""COMPUTED_VALUE"""),"MA. VICTORIA SAMONTE")</f>
        <v>MA. VICTORIA SAMONTE</v>
      </c>
      <c r="F990" s="133"/>
      <c r="G990" s="133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60">
        <f t="shared" si="1"/>
        <v>985</v>
      </c>
      <c r="B991" s="9" t="str">
        <f>IFERROR(__xludf.DUMMYFUNCTION("""COMPUTED_VALUE"""),"SAMONTE ")</f>
        <v>SAMONTE </v>
      </c>
      <c r="C991" s="9" t="str">
        <f>IFERROR(__xludf.DUMMYFUNCTION("""COMPUTED_VALUE"""),"MICHAEL")</f>
        <v>MICHAEL</v>
      </c>
      <c r="D991" s="9"/>
      <c r="E991" s="9" t="str">
        <f>IFERROR(__xludf.DUMMYFUNCTION("""COMPUTED_VALUE"""),"MA. VICTORIA SAMONTE")</f>
        <v>MA. VICTORIA SAMONTE</v>
      </c>
      <c r="F991" s="133"/>
      <c r="G991" s="133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60">
        <f t="shared" si="1"/>
        <v>986</v>
      </c>
      <c r="B992" s="9" t="str">
        <f>IFERROR(__xludf.DUMMYFUNCTION("""COMPUTED_VALUE"""),"SAMONTE")</f>
        <v>SAMONTE</v>
      </c>
      <c r="C992" s="9" t="str">
        <f>IFERROR(__xludf.DUMMYFUNCTION("""COMPUTED_VALUE"""),"DANIEL KLEIN")</f>
        <v>DANIEL KLEIN</v>
      </c>
      <c r="D992" s="9"/>
      <c r="E992" s="9" t="str">
        <f>IFERROR(__xludf.DUMMYFUNCTION("""COMPUTED_VALUE"""),"MA. VICTORIA SAMONTE")</f>
        <v>MA. VICTORIA SAMONTE</v>
      </c>
      <c r="F992" s="133"/>
      <c r="G992" s="133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60">
        <f t="shared" si="1"/>
        <v>987</v>
      </c>
      <c r="B993" s="9" t="str">
        <f>IFERROR(__xludf.DUMMYFUNCTION("""COMPUTED_VALUE"""),"LLENO")</f>
        <v>LLENO</v>
      </c>
      <c r="C993" s="9" t="str">
        <f>IFERROR(__xludf.DUMMYFUNCTION("""COMPUTED_VALUE"""),"MA. CECILIA")</f>
        <v>MA. CECILIA</v>
      </c>
      <c r="D993" s="9"/>
      <c r="E993" s="9" t="str">
        <f>IFERROR(__xludf.DUMMYFUNCTION("""COMPUTED_VALUE"""),"ADORACION LLENO")</f>
        <v>ADORACION LLENO</v>
      </c>
      <c r="F993" s="133"/>
      <c r="G993" s="133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60">
        <f t="shared" si="1"/>
        <v>988</v>
      </c>
      <c r="B994" s="9" t="str">
        <f>IFERROR(__xludf.DUMMYFUNCTION("""COMPUTED_VALUE"""),"LLENO")</f>
        <v>LLENO</v>
      </c>
      <c r="C994" s="9" t="str">
        <f>IFERROR(__xludf.DUMMYFUNCTION("""COMPUTED_VALUE"""),"CLEMEN RAY")</f>
        <v>CLEMEN RAY</v>
      </c>
      <c r="D994" s="9"/>
      <c r="E994" s="9" t="str">
        <f>IFERROR(__xludf.DUMMYFUNCTION("""COMPUTED_VALUE"""),"CLEMENTE LLENO JR")</f>
        <v>CLEMENTE LLENO JR</v>
      </c>
      <c r="F994" s="133"/>
      <c r="G994" s="133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60">
        <f t="shared" si="1"/>
        <v>989</v>
      </c>
      <c r="B995" s="9" t="str">
        <f>IFERROR(__xludf.DUMMYFUNCTION("""COMPUTED_VALUE"""),"CALAWIN")</f>
        <v>CALAWIN</v>
      </c>
      <c r="C995" s="9" t="str">
        <f>IFERROR(__xludf.DUMMYFUNCTION("""COMPUTED_VALUE"""),"VINCE MAVERICK")</f>
        <v>VINCE MAVERICK</v>
      </c>
      <c r="D995" s="9"/>
      <c r="E995" s="9" t="str">
        <f>IFERROR(__xludf.DUMMYFUNCTION("""COMPUTED_VALUE"""),"MARY ANN CALAWIN")</f>
        <v>MARY ANN CALAWIN</v>
      </c>
      <c r="F995" s="133"/>
      <c r="G995" s="133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60">
        <f t="shared" si="1"/>
        <v>990</v>
      </c>
      <c r="B996" s="9" t="str">
        <f>IFERROR(__xludf.DUMMYFUNCTION("""COMPUTED_VALUE"""),"DE FELIX")</f>
        <v>DE FELIX</v>
      </c>
      <c r="C996" s="9" t="str">
        <f>IFERROR(__xludf.DUMMYFUNCTION("""COMPUTED_VALUE"""),"RIHIANNA")</f>
        <v>RIHIANNA</v>
      </c>
      <c r="D996" s="9" t="str">
        <f>IFERROR(__xludf.DUMMYFUNCTION("""COMPUTED_VALUE"""),"G")</f>
        <v>G</v>
      </c>
      <c r="E996" s="9" t="str">
        <f>IFERROR(__xludf.DUMMYFUNCTION("""COMPUTED_VALUE"""),"ROGER DE FELIX")</f>
        <v>ROGER DE FELIX</v>
      </c>
      <c r="F996" s="133"/>
      <c r="G996" s="133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60">
        <f t="shared" si="1"/>
        <v>991</v>
      </c>
      <c r="B997" s="9" t="str">
        <f>IFERROR(__xludf.DUMMYFUNCTION("""COMPUTED_VALUE"""),"LLARIN")</f>
        <v>LLARIN</v>
      </c>
      <c r="C997" s="9" t="str">
        <f>IFERROR(__xludf.DUMMYFUNCTION("""COMPUTED_VALUE"""),"ALANA JELARIEN")</f>
        <v>ALANA JELARIEN</v>
      </c>
      <c r="D997" s="9"/>
      <c r="E997" s="9" t="str">
        <f>IFERROR(__xludf.DUMMYFUNCTION("""COMPUTED_VALUE"""),"WARREN T LLARIN")</f>
        <v>WARREN T LLARIN</v>
      </c>
      <c r="F997" s="133"/>
      <c r="G997" s="133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60">
        <f t="shared" si="1"/>
        <v>992</v>
      </c>
      <c r="B998" s="9" t="str">
        <f>IFERROR(__xludf.DUMMYFUNCTION("""COMPUTED_VALUE"""),"CRISTOBAL")</f>
        <v>CRISTOBAL</v>
      </c>
      <c r="C998" s="9" t="str">
        <f>IFERROR(__xludf.DUMMYFUNCTION("""COMPUTED_VALUE"""),"YOJ AERIELLE")</f>
        <v>YOJ AERIELLE</v>
      </c>
      <c r="D998" s="9" t="str">
        <f>IFERROR(__xludf.DUMMYFUNCTION("""COMPUTED_VALUE"""),"D")</f>
        <v>D</v>
      </c>
      <c r="E998" s="9" t="str">
        <f>IFERROR(__xludf.DUMMYFUNCTION("""COMPUTED_VALUE"""),"ANJO A CRISTOBAL")</f>
        <v>ANJO A CRISTOBAL</v>
      </c>
      <c r="F998" s="133"/>
      <c r="G998" s="133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60">
        <f t="shared" si="1"/>
        <v>993</v>
      </c>
      <c r="B999" s="9" t="str">
        <f>IFERROR(__xludf.DUMMYFUNCTION("""COMPUTED_VALUE"""),"CRISTOBAL")</f>
        <v>CRISTOBAL</v>
      </c>
      <c r="C999" s="9" t="str">
        <f>IFERROR(__xludf.DUMMYFUNCTION("""COMPUTED_VALUE"""),"YUKI AERIELLE")</f>
        <v>YUKI AERIELLE</v>
      </c>
      <c r="D999" s="9" t="str">
        <f>IFERROR(__xludf.DUMMYFUNCTION("""COMPUTED_VALUE"""),"D")</f>
        <v>D</v>
      </c>
      <c r="E999" s="9" t="str">
        <f>IFERROR(__xludf.DUMMYFUNCTION("""COMPUTED_VALUE"""),"ANJO A CRISTOBAL")</f>
        <v>ANJO A CRISTOBAL</v>
      </c>
      <c r="F999" s="133"/>
      <c r="G999" s="133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60">
        <f t="shared" si="1"/>
        <v>994</v>
      </c>
      <c r="B1000" s="9" t="str">
        <f>IFERROR(__xludf.DUMMYFUNCTION("""COMPUTED_VALUE"""),"DE FELIX")</f>
        <v>DE FELIX</v>
      </c>
      <c r="C1000" s="9" t="str">
        <f>IFERROR(__xludf.DUMMYFUNCTION("""COMPUTED_VALUE"""),"MICO")</f>
        <v>MICO</v>
      </c>
      <c r="D1000" s="9" t="str">
        <f>IFERROR(__xludf.DUMMYFUNCTION("""COMPUTED_VALUE"""),"B")</f>
        <v>B</v>
      </c>
      <c r="E1000" s="9" t="str">
        <f>IFERROR(__xludf.DUMMYFUNCTION("""COMPUTED_VALUE"""),"CELEDONIIO C. DE FELIX")</f>
        <v>CELEDONIIO C. DE FELIX</v>
      </c>
      <c r="F1000" s="133"/>
      <c r="G1000" s="133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60"/>
      <c r="B1001" s="9" t="str">
        <f>IFERROR(__xludf.DUMMYFUNCTION("""COMPUTED_VALUE"""),"DE FELIX")</f>
        <v>DE FELIX</v>
      </c>
      <c r="C1001" s="9" t="str">
        <f>IFERROR(__xludf.DUMMYFUNCTION("""COMPUTED_VALUE"""),"AERON")</f>
        <v>AERON</v>
      </c>
      <c r="D1001" s="9" t="str">
        <f>IFERROR(__xludf.DUMMYFUNCTION("""COMPUTED_VALUE"""),"B")</f>
        <v>B</v>
      </c>
      <c r="E1001" s="9" t="str">
        <f>IFERROR(__xludf.DUMMYFUNCTION("""COMPUTED_VALUE"""),"CELEDONIIO C. DE FELIX")</f>
        <v>CELEDONIIO C. DE FELIX</v>
      </c>
      <c r="F1001" s="133"/>
      <c r="G1001" s="133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60"/>
      <c r="B1002" s="9" t="str">
        <f>IFERROR(__xludf.DUMMYFUNCTION("""COMPUTED_VALUE"""),"DE FELIX")</f>
        <v>DE FELIX</v>
      </c>
      <c r="C1002" s="9" t="str">
        <f>IFERROR(__xludf.DUMMYFUNCTION("""COMPUTED_VALUE"""),"RAYMOND")</f>
        <v>RAYMOND</v>
      </c>
      <c r="D1002" s="9" t="str">
        <f>IFERROR(__xludf.DUMMYFUNCTION("""COMPUTED_VALUE"""),"B")</f>
        <v>B</v>
      </c>
      <c r="E1002" s="9" t="str">
        <f>IFERROR(__xludf.DUMMYFUNCTION("""COMPUTED_VALUE"""),"CELEDONIIO C. DE FELIX")</f>
        <v>CELEDONIIO C. DE FELIX</v>
      </c>
      <c r="F1002" s="133"/>
      <c r="G1002" s="133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60"/>
      <c r="B1003" s="9" t="str">
        <f>IFERROR(__xludf.DUMMYFUNCTION("""COMPUTED_VALUE"""),"STO TOMAS ")</f>
        <v>STO TOMAS </v>
      </c>
      <c r="C1003" s="9" t="str">
        <f>IFERROR(__xludf.DUMMYFUNCTION("""COMPUTED_VALUE"""),"BRYAN")</f>
        <v>BRYAN</v>
      </c>
      <c r="D1003" s="9"/>
      <c r="E1003" s="9" t="str">
        <f>IFERROR(__xludf.DUMMYFUNCTION("""COMPUTED_VALUE"""),"LODIVINA ESTRELLA")</f>
        <v>LODIVINA ESTRELLA</v>
      </c>
      <c r="F1003" s="133"/>
      <c r="G1003" s="133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60"/>
      <c r="B1004" s="9" t="str">
        <f>IFERROR(__xludf.DUMMYFUNCTION("""COMPUTED_VALUE"""),"DELA CRUZ")</f>
        <v>DELA CRUZ</v>
      </c>
      <c r="C1004" s="9" t="str">
        <f>IFERROR(__xludf.DUMMYFUNCTION("""COMPUTED_VALUE"""),"WEHTY")</f>
        <v>WEHTY</v>
      </c>
      <c r="D1004" s="9"/>
      <c r="E1004" s="9" t="str">
        <f>IFERROR(__xludf.DUMMYFUNCTION("""COMPUTED_VALUE"""),"JOWEL DELA CRUZ")</f>
        <v>JOWEL DELA CRUZ</v>
      </c>
      <c r="F1004" s="133"/>
      <c r="G1004" s="133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60"/>
      <c r="B1005" s="9" t="str">
        <f>IFERROR(__xludf.DUMMYFUNCTION("""COMPUTED_VALUE"""),"NARIO")</f>
        <v>NARIO</v>
      </c>
      <c r="C1005" s="9" t="str">
        <f>IFERROR(__xludf.DUMMYFUNCTION("""COMPUTED_VALUE"""),"JAMAICA SHEENE")</f>
        <v>JAMAICA SHEENE</v>
      </c>
      <c r="D1005" s="9"/>
      <c r="E1005" s="9" t="str">
        <f>IFERROR(__xludf.DUMMYFUNCTION("""COMPUTED_VALUE"""),"JOHN JOSEPH B NARIO")</f>
        <v>JOHN JOSEPH B NARIO</v>
      </c>
      <c r="F1005" s="133"/>
      <c r="G1005" s="133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60"/>
      <c r="B1006" s="9" t="str">
        <f>IFERROR(__xludf.DUMMYFUNCTION("""COMPUTED_VALUE"""),"NARIO")</f>
        <v>NARIO</v>
      </c>
      <c r="C1006" s="9" t="str">
        <f>IFERROR(__xludf.DUMMYFUNCTION("""COMPUTED_VALUE"""),"JASMINE FAITH")</f>
        <v>JASMINE FAITH</v>
      </c>
      <c r="D1006" s="9"/>
      <c r="E1006" s="9" t="str">
        <f>IFERROR(__xludf.DUMMYFUNCTION("""COMPUTED_VALUE"""),"JOHN JOSEPH B NARIO")</f>
        <v>JOHN JOSEPH B NARIO</v>
      </c>
      <c r="F1006" s="133"/>
      <c r="G1006" s="133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60"/>
      <c r="B1007" s="9" t="str">
        <f>IFERROR(__xludf.DUMMYFUNCTION("""COMPUTED_VALUE"""),"CRUZ")</f>
        <v>CRUZ</v>
      </c>
      <c r="C1007" s="9" t="str">
        <f>IFERROR(__xludf.DUMMYFUNCTION("""COMPUTED_VALUE"""),"JHONRAY")</f>
        <v>JHONRAY</v>
      </c>
      <c r="D1007" s="9"/>
      <c r="E1007" s="9" t="str">
        <f>IFERROR(__xludf.DUMMYFUNCTION("""COMPUTED_VALUE"""),"JHONLET CASTRO")</f>
        <v>JHONLET CASTRO</v>
      </c>
      <c r="F1007" s="133"/>
      <c r="G1007" s="133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60"/>
      <c r="B1008" s="9" t="str">
        <f>IFERROR(__xludf.DUMMYFUNCTION("""COMPUTED_VALUE"""),"CRUZ")</f>
        <v>CRUZ</v>
      </c>
      <c r="C1008" s="9" t="str">
        <f>IFERROR(__xludf.DUMMYFUNCTION("""COMPUTED_VALUE"""),"JUSTINE")</f>
        <v>JUSTINE</v>
      </c>
      <c r="D1008" s="9"/>
      <c r="E1008" s="9" t="str">
        <f>IFERROR(__xludf.DUMMYFUNCTION("""COMPUTED_VALUE"""),"JHONLET CASTRO")</f>
        <v>JHONLET CASTRO</v>
      </c>
      <c r="F1008" s="133"/>
      <c r="G1008" s="133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60"/>
      <c r="B1009" s="9" t="str">
        <f>IFERROR(__xludf.DUMMYFUNCTION("""COMPUTED_VALUE"""),"CASTRO ")</f>
        <v>CASTRO </v>
      </c>
      <c r="C1009" s="9" t="str">
        <f>IFERROR(__xludf.DUMMYFUNCTION("""COMPUTED_VALUE"""),"YHAEL")</f>
        <v>YHAEL</v>
      </c>
      <c r="D1009" s="9"/>
      <c r="E1009" s="9" t="str">
        <f>IFERROR(__xludf.DUMMYFUNCTION("""COMPUTED_VALUE"""),"JHONLET CASTRO")</f>
        <v>JHONLET CASTRO</v>
      </c>
      <c r="F1009" s="133"/>
      <c r="G1009" s="133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60"/>
      <c r="B1010" s="9" t="str">
        <f>IFERROR(__xludf.DUMMYFUNCTION("""COMPUTED_VALUE"""),"CASTRO ")</f>
        <v>CASTRO </v>
      </c>
      <c r="C1010" s="9" t="str">
        <f>IFERROR(__xludf.DUMMYFUNCTION("""COMPUTED_VALUE"""),"YHURI")</f>
        <v>YHURI</v>
      </c>
      <c r="D1010" s="9"/>
      <c r="E1010" s="9" t="str">
        <f>IFERROR(__xludf.DUMMYFUNCTION("""COMPUTED_VALUE"""),"JHONLET CASTRO")</f>
        <v>JHONLET CASTRO</v>
      </c>
      <c r="F1010" s="133"/>
      <c r="G1010" s="133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60"/>
      <c r="B1011" s="9" t="str">
        <f>IFERROR(__xludf.DUMMYFUNCTION("""COMPUTED_VALUE"""),"UMALI")</f>
        <v>UMALI</v>
      </c>
      <c r="C1011" s="9" t="str">
        <f>IFERROR(__xludf.DUMMYFUNCTION("""COMPUTED_VALUE"""),"MELVIN JOHN")</f>
        <v>MELVIN JOHN</v>
      </c>
      <c r="D1011" s="9"/>
      <c r="E1011" s="9" t="str">
        <f>IFERROR(__xludf.DUMMYFUNCTION("""COMPUTED_VALUE"""),"MALVIN UMALI")</f>
        <v>MALVIN UMALI</v>
      </c>
      <c r="F1011" s="133"/>
      <c r="G1011" s="133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60"/>
      <c r="B1012" s="9" t="str">
        <f>IFERROR(__xludf.DUMMYFUNCTION("""COMPUTED_VALUE"""),"LABRO")</f>
        <v>LABRO</v>
      </c>
      <c r="C1012" s="9" t="str">
        <f>IFERROR(__xludf.DUMMYFUNCTION("""COMPUTED_VALUE"""),"JOHN MARK")</f>
        <v>JOHN MARK</v>
      </c>
      <c r="D1012" s="9"/>
      <c r="E1012" s="9" t="str">
        <f>IFERROR(__xludf.DUMMYFUNCTION("""COMPUTED_VALUE"""),"MA LUIZA LABRO")</f>
        <v>MA LUIZA LABRO</v>
      </c>
      <c r="F1012" s="133"/>
      <c r="G1012" s="133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60"/>
      <c r="B1013" s="9" t="str">
        <f>IFERROR(__xludf.DUMMYFUNCTION("""COMPUTED_VALUE"""),"ASTHON")</f>
        <v>ASTHON</v>
      </c>
      <c r="C1013" s="9" t="str">
        <f>IFERROR(__xludf.DUMMYFUNCTION("""COMPUTED_VALUE"""),"KING")</f>
        <v>KING</v>
      </c>
      <c r="D1013" s="9"/>
      <c r="E1013" s="9" t="str">
        <f>IFERROR(__xludf.DUMMYFUNCTION("""COMPUTED_VALUE"""),"ROZALDO ADRIANO")</f>
        <v>ROZALDO ADRIANO</v>
      </c>
      <c r="F1013" s="133"/>
      <c r="G1013" s="133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60"/>
      <c r="B1014" s="9" t="str">
        <f>IFERROR(__xludf.DUMMYFUNCTION("""COMPUTED_VALUE"""),"ADRIANO")</f>
        <v>ADRIANO</v>
      </c>
      <c r="C1014" s="9" t="str">
        <f>IFERROR(__xludf.DUMMYFUNCTION("""COMPUTED_VALUE"""),"PRINCE")</f>
        <v>PRINCE</v>
      </c>
      <c r="D1014" s="9"/>
      <c r="E1014" s="9" t="str">
        <f>IFERROR(__xludf.DUMMYFUNCTION("""COMPUTED_VALUE"""),"ROZALDO ADRIANO")</f>
        <v>ROZALDO ADRIANO</v>
      </c>
      <c r="F1014" s="133"/>
      <c r="G1014" s="133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60"/>
      <c r="B1015" s="9" t="str">
        <f>IFERROR(__xludf.DUMMYFUNCTION("""COMPUTED_VALUE"""),"DUMAHACIAS")</f>
        <v>DUMAHACIAS</v>
      </c>
      <c r="C1015" s="9" t="str">
        <f>IFERROR(__xludf.DUMMYFUNCTION("""COMPUTED_VALUE"""),"JUSTINE")</f>
        <v>JUSTINE</v>
      </c>
      <c r="D1015" s="9"/>
      <c r="E1015" s="9" t="str">
        <f>IFERROR(__xludf.DUMMYFUNCTION("""COMPUTED_VALUE"""),"TERESITA CORTEZANO")</f>
        <v>TERESITA CORTEZANO</v>
      </c>
      <c r="F1015" s="133"/>
      <c r="G1015" s="133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60"/>
      <c r="B1016" s="9" t="str">
        <f>IFERROR(__xludf.DUMMYFUNCTION("""COMPUTED_VALUE"""),"NUDO ")</f>
        <v>NUDO </v>
      </c>
      <c r="C1016" s="9" t="str">
        <f>IFERROR(__xludf.DUMMYFUNCTION("""COMPUTED_VALUE"""),"JORDAN")</f>
        <v>JORDAN</v>
      </c>
      <c r="D1016" s="9"/>
      <c r="E1016" s="9" t="str">
        <f>IFERROR(__xludf.DUMMYFUNCTION("""COMPUTED_VALUE"""),"REGINA NUDO")</f>
        <v>REGINA NUDO</v>
      </c>
      <c r="F1016" s="133"/>
      <c r="G1016" s="133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60"/>
      <c r="B1017" s="9" t="str">
        <f>IFERROR(__xludf.DUMMYFUNCTION("""COMPUTED_VALUE"""),"IGAO")</f>
        <v>IGAO</v>
      </c>
      <c r="C1017" s="9" t="str">
        <f>IFERROR(__xludf.DUMMYFUNCTION("""COMPUTED_VALUE"""),"LORDIE FERGIN")</f>
        <v>LORDIE FERGIN</v>
      </c>
      <c r="D1017" s="9" t="str">
        <f>IFERROR(__xludf.DUMMYFUNCTION("""COMPUTED_VALUE"""),"V")</f>
        <v>V</v>
      </c>
      <c r="E1017" s="9" t="str">
        <f>IFERROR(__xludf.DUMMYFUNCTION("""COMPUTED_VALUE"""),"FREGIN L IGAO")</f>
        <v>FREGIN L IGAO</v>
      </c>
      <c r="F1017" s="133"/>
      <c r="G1017" s="133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60"/>
      <c r="B1018" s="9" t="str">
        <f>IFERROR(__xludf.DUMMYFUNCTION("""COMPUTED_VALUE"""),"IGAO")</f>
        <v>IGAO</v>
      </c>
      <c r="C1018" s="9" t="str">
        <f>IFERROR(__xludf.DUMMYFUNCTION("""COMPUTED_VALUE"""),"ISRAL FERGIN")</f>
        <v>ISRAL FERGIN</v>
      </c>
      <c r="D1018" s="9" t="str">
        <f>IFERROR(__xludf.DUMMYFUNCTION("""COMPUTED_VALUE"""),"V")</f>
        <v>V</v>
      </c>
      <c r="E1018" s="9" t="str">
        <f>IFERROR(__xludf.DUMMYFUNCTION("""COMPUTED_VALUE"""),"FREGIN L IGAO")</f>
        <v>FREGIN L IGAO</v>
      </c>
      <c r="F1018" s="133"/>
      <c r="G1018" s="133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60"/>
      <c r="B1019" s="9" t="str">
        <f>IFERROR(__xludf.DUMMYFUNCTION("""COMPUTED_VALUE"""),"MIRASOL")</f>
        <v>MIRASOL</v>
      </c>
      <c r="C1019" s="9" t="str">
        <f>IFERROR(__xludf.DUMMYFUNCTION("""COMPUTED_VALUE"""),"JAVIERY")</f>
        <v>JAVIERY</v>
      </c>
      <c r="D1019" s="9" t="str">
        <f>IFERROR(__xludf.DUMMYFUNCTION("""COMPUTED_VALUE"""),"L")</f>
        <v>L</v>
      </c>
      <c r="E1019" s="9" t="str">
        <f>IFERROR(__xludf.DUMMYFUNCTION("""COMPUTED_VALUE"""),"RICARDO MIRASOL")</f>
        <v>RICARDO MIRASOL</v>
      </c>
      <c r="F1019" s="133"/>
      <c r="G1019" s="133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60"/>
      <c r="B1020" s="9" t="str">
        <f>IFERROR(__xludf.DUMMYFUNCTION("""COMPUTED_VALUE"""),"MIRASOL")</f>
        <v>MIRASOL</v>
      </c>
      <c r="C1020" s="9" t="str">
        <f>IFERROR(__xludf.DUMMYFUNCTION("""COMPUTED_VALUE"""),"ROYCE ALDRICH")</f>
        <v>ROYCE ALDRICH</v>
      </c>
      <c r="D1020" s="9" t="str">
        <f>IFERROR(__xludf.DUMMYFUNCTION("""COMPUTED_VALUE"""),"L")</f>
        <v>L</v>
      </c>
      <c r="E1020" s="9" t="str">
        <f>IFERROR(__xludf.DUMMYFUNCTION("""COMPUTED_VALUE"""),"RICARDO MIRASOL")</f>
        <v>RICARDO MIRASOL</v>
      </c>
      <c r="F1020" s="133"/>
      <c r="G1020" s="133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60"/>
      <c r="B1021" s="9" t="str">
        <f>IFERROR(__xludf.DUMMYFUNCTION("""COMPUTED_VALUE"""),"MIRASOL")</f>
        <v>MIRASOL</v>
      </c>
      <c r="C1021" s="9" t="str">
        <f>IFERROR(__xludf.DUMMYFUNCTION("""COMPUTED_VALUE"""),"R.S")</f>
        <v>R.S</v>
      </c>
      <c r="D1021" s="9" t="str">
        <f>IFERROR(__xludf.DUMMYFUNCTION("""COMPUTED_VALUE"""),"L")</f>
        <v>L</v>
      </c>
      <c r="E1021" s="9" t="str">
        <f>IFERROR(__xludf.DUMMYFUNCTION("""COMPUTED_VALUE"""),"RICARDO MIRASOL")</f>
        <v>RICARDO MIRASOL</v>
      </c>
      <c r="F1021" s="133"/>
      <c r="G1021" s="133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60"/>
      <c r="B1022" s="9" t="str">
        <f>IFERROR(__xludf.DUMMYFUNCTION("""COMPUTED_VALUE"""),"MIRASOL")</f>
        <v>MIRASOL</v>
      </c>
      <c r="C1022" s="9" t="str">
        <f>IFERROR(__xludf.DUMMYFUNCTION("""COMPUTED_VALUE"""),"RICA")</f>
        <v>RICA</v>
      </c>
      <c r="D1022" s="9" t="str">
        <f>IFERROR(__xludf.DUMMYFUNCTION("""COMPUTED_VALUE"""),"L")</f>
        <v>L</v>
      </c>
      <c r="E1022" s="9" t="str">
        <f>IFERROR(__xludf.DUMMYFUNCTION("""COMPUTED_VALUE"""),"RICARDO MIRASOL")</f>
        <v>RICARDO MIRASOL</v>
      </c>
      <c r="F1022" s="133"/>
      <c r="G1022" s="133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60"/>
      <c r="B1023" s="9" t="str">
        <f>IFERROR(__xludf.DUMMYFUNCTION("""COMPUTED_VALUE"""),"DE CASTRO")</f>
        <v>DE CASTRO</v>
      </c>
      <c r="C1023" s="9" t="str">
        <f>IFERROR(__xludf.DUMMYFUNCTION("""COMPUTED_VALUE"""),"XHYRENE")</f>
        <v>XHYRENE</v>
      </c>
      <c r="D1023" s="9"/>
      <c r="E1023" s="9" t="str">
        <f>IFERROR(__xludf.DUMMYFUNCTION("""COMPUTED_VALUE"""),"JOHN DE CASTRO")</f>
        <v>JOHN DE CASTRO</v>
      </c>
      <c r="F1023" s="133"/>
      <c r="G1023" s="133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60"/>
      <c r="B1024" s="9" t="str">
        <f>IFERROR(__xludf.DUMMYFUNCTION("""COMPUTED_VALUE"""),"DE CASTRO")</f>
        <v>DE CASTRO</v>
      </c>
      <c r="C1024" s="9" t="str">
        <f>IFERROR(__xludf.DUMMYFUNCTION("""COMPUTED_VALUE"""),"ZYRON")</f>
        <v>ZYRON</v>
      </c>
      <c r="D1024" s="9"/>
      <c r="E1024" s="9" t="str">
        <f>IFERROR(__xludf.DUMMYFUNCTION("""COMPUTED_VALUE"""),"JOHN DE CASTRO")</f>
        <v>JOHN DE CASTRO</v>
      </c>
      <c r="F1024" s="133"/>
      <c r="G1024" s="133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60"/>
      <c r="B1025" s="9" t="str">
        <f>IFERROR(__xludf.DUMMYFUNCTION("""COMPUTED_VALUE"""),"DE CASTRO")</f>
        <v>DE CASTRO</v>
      </c>
      <c r="C1025" s="9" t="str">
        <f>IFERROR(__xludf.DUMMYFUNCTION("""COMPUTED_VALUE"""),"XIAN")</f>
        <v>XIAN</v>
      </c>
      <c r="D1025" s="9"/>
      <c r="E1025" s="9" t="str">
        <f>IFERROR(__xludf.DUMMYFUNCTION("""COMPUTED_VALUE"""),"JOHN DE CASTRO")</f>
        <v>JOHN DE CASTRO</v>
      </c>
      <c r="F1025" s="133"/>
      <c r="G1025" s="133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60"/>
      <c r="B1026" s="9" t="str">
        <f>IFERROR(__xludf.DUMMYFUNCTION("""COMPUTED_VALUE"""),"DELA TORRE")</f>
        <v>DELA TORRE</v>
      </c>
      <c r="C1026" s="9" t="str">
        <f>IFERROR(__xludf.DUMMYFUNCTION("""COMPUTED_VALUE"""),"JULIE ANN")</f>
        <v>JULIE ANN</v>
      </c>
      <c r="D1026" s="9"/>
      <c r="E1026" s="9" t="str">
        <f>IFERROR(__xludf.DUMMYFUNCTION("""COMPUTED_VALUE"""),"JOCELYN DELA TORRE")</f>
        <v>JOCELYN DELA TORRE</v>
      </c>
      <c r="F1026" s="133"/>
      <c r="G1026" s="133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60"/>
      <c r="B1027" s="9" t="str">
        <f>IFERROR(__xludf.DUMMYFUNCTION("""COMPUTED_VALUE"""),"IJANE")</f>
        <v>IJANE</v>
      </c>
      <c r="C1027" s="9" t="str">
        <f>IFERROR(__xludf.DUMMYFUNCTION("""COMPUTED_VALUE"""),"NATE ALLEN")</f>
        <v>NATE ALLEN</v>
      </c>
      <c r="D1027" s="9"/>
      <c r="E1027" s="9" t="str">
        <f>IFERROR(__xludf.DUMMYFUNCTION("""COMPUTED_VALUE"""),"JOCELYN DELA TORRE")</f>
        <v>JOCELYN DELA TORRE</v>
      </c>
      <c r="F1027" s="133"/>
      <c r="G1027" s="133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60"/>
      <c r="B1028" s="9" t="str">
        <f>IFERROR(__xludf.DUMMYFUNCTION("""COMPUTED_VALUE"""),"DELA TORRE")</f>
        <v>DELA TORRE</v>
      </c>
      <c r="C1028" s="9" t="str">
        <f>IFERROR(__xludf.DUMMYFUNCTION("""COMPUTED_VALUE"""),"KLEIN")</f>
        <v>KLEIN</v>
      </c>
      <c r="D1028" s="9"/>
      <c r="E1028" s="9" t="str">
        <f>IFERROR(__xludf.DUMMYFUNCTION("""COMPUTED_VALUE"""),"JOCELYN DELA TORRE")</f>
        <v>JOCELYN DELA TORRE</v>
      </c>
      <c r="F1028" s="133"/>
      <c r="G1028" s="133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60"/>
      <c r="B1029" s="9" t="str">
        <f>IFERROR(__xludf.DUMMYFUNCTION("""COMPUTED_VALUE"""),"TARUC")</f>
        <v>TARUC</v>
      </c>
      <c r="C1029" s="9" t="str">
        <f>IFERROR(__xludf.DUMMYFUNCTION("""COMPUTED_VALUE"""),"DRAFF AEIOUS")</f>
        <v>DRAFF AEIOUS</v>
      </c>
      <c r="D1029" s="9"/>
      <c r="E1029" s="9" t="str">
        <f>IFERROR(__xludf.DUMMYFUNCTION("""COMPUTED_VALUE"""),"JOCELYN DELA TORRE")</f>
        <v>JOCELYN DELA TORRE</v>
      </c>
      <c r="F1029" s="133"/>
      <c r="G1029" s="133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60"/>
      <c r="B1030" s="9" t="str">
        <f>IFERROR(__xludf.DUMMYFUNCTION("""COMPUTED_VALUE"""),"ESTRELLA")</f>
        <v>ESTRELLA</v>
      </c>
      <c r="C1030" s="9" t="str">
        <f>IFERROR(__xludf.DUMMYFUNCTION("""COMPUTED_VALUE"""),"JHORIELIE")</f>
        <v>JHORIELIE</v>
      </c>
      <c r="D1030" s="9" t="str">
        <f>IFERROR(__xludf.DUMMYFUNCTION("""COMPUTED_VALUE"""),"M")</f>
        <v>M</v>
      </c>
      <c r="E1030" s="9" t="str">
        <f>IFERROR(__xludf.DUMMYFUNCTION("""COMPUTED_VALUE"""),"JOY ESTRELLA")</f>
        <v>JOY ESTRELLA</v>
      </c>
      <c r="F1030" s="133"/>
      <c r="G1030" s="133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60"/>
      <c r="B1031" s="9" t="str">
        <f>IFERROR(__xludf.DUMMYFUNCTION("""COMPUTED_VALUE"""),"ESTRELLA")</f>
        <v>ESTRELLA</v>
      </c>
      <c r="C1031" s="9" t="str">
        <f>IFERROR(__xludf.DUMMYFUNCTION("""COMPUTED_VALUE"""),"JHORIELLE")</f>
        <v>JHORIELLE</v>
      </c>
      <c r="D1031" s="9" t="str">
        <f>IFERROR(__xludf.DUMMYFUNCTION("""COMPUTED_VALUE"""),"M")</f>
        <v>M</v>
      </c>
      <c r="E1031" s="9" t="str">
        <f>IFERROR(__xludf.DUMMYFUNCTION("""COMPUTED_VALUE"""),"JOY ESTRELLA")</f>
        <v>JOY ESTRELLA</v>
      </c>
      <c r="F1031" s="133"/>
      <c r="G1031" s="133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60"/>
      <c r="B1032" s="9" t="str">
        <f>IFERROR(__xludf.DUMMYFUNCTION("""COMPUTED_VALUE"""),"ESTRELLA")</f>
        <v>ESTRELLA</v>
      </c>
      <c r="C1032" s="9" t="str">
        <f>IFERROR(__xludf.DUMMYFUNCTION("""COMPUTED_VALUE"""),"JHORIES")</f>
        <v>JHORIES</v>
      </c>
      <c r="D1032" s="9" t="str">
        <f>IFERROR(__xludf.DUMMYFUNCTION("""COMPUTED_VALUE"""),"M")</f>
        <v>M</v>
      </c>
      <c r="E1032" s="9" t="str">
        <f>IFERROR(__xludf.DUMMYFUNCTION("""COMPUTED_VALUE"""),"JOY ESTRELLA")</f>
        <v>JOY ESTRELLA</v>
      </c>
      <c r="F1032" s="133"/>
      <c r="G1032" s="133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60"/>
      <c r="B1033" s="9" t="str">
        <f>IFERROR(__xludf.DUMMYFUNCTION("""COMPUTED_VALUE"""),"VILLARINO")</f>
        <v>VILLARINO</v>
      </c>
      <c r="C1033" s="9" t="str">
        <f>IFERROR(__xludf.DUMMYFUNCTION("""COMPUTED_VALUE"""),"LAURISH")</f>
        <v>LAURISH</v>
      </c>
      <c r="D1033" s="9"/>
      <c r="E1033" s="9" t="str">
        <f>IFERROR(__xludf.DUMMYFUNCTION("""COMPUTED_VALUE"""),"MARLON MIRASOL")</f>
        <v>MARLON MIRASOL</v>
      </c>
      <c r="F1033" s="133"/>
      <c r="G1033" s="133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60"/>
      <c r="B1034" s="9" t="str">
        <f>IFERROR(__xludf.DUMMYFUNCTION("""COMPUTED_VALUE"""),"MIRASOL")</f>
        <v>MIRASOL</v>
      </c>
      <c r="C1034" s="9" t="str">
        <f>IFERROR(__xludf.DUMMYFUNCTION("""COMPUTED_VALUE"""),"LAURENCE")</f>
        <v>LAURENCE</v>
      </c>
      <c r="D1034" s="9"/>
      <c r="E1034" s="9" t="str">
        <f>IFERROR(__xludf.DUMMYFUNCTION("""COMPUTED_VALUE"""),"MARLON MIRASOL")</f>
        <v>MARLON MIRASOL</v>
      </c>
      <c r="F1034" s="133"/>
      <c r="G1034" s="133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60"/>
      <c r="B1035" s="9" t="str">
        <f>IFERROR(__xludf.DUMMYFUNCTION("""COMPUTED_VALUE"""),"MIRASOL")</f>
        <v>MIRASOL</v>
      </c>
      <c r="C1035" s="9" t="str">
        <f>IFERROR(__xludf.DUMMYFUNCTION("""COMPUTED_VALUE"""),"LESTER")</f>
        <v>LESTER</v>
      </c>
      <c r="D1035" s="9"/>
      <c r="E1035" s="9" t="str">
        <f>IFERROR(__xludf.DUMMYFUNCTION("""COMPUTED_VALUE"""),"MARLON MIRASOL")</f>
        <v>MARLON MIRASOL</v>
      </c>
      <c r="F1035" s="133"/>
      <c r="G1035" s="133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60"/>
      <c r="B1036" s="9" t="str">
        <f>IFERROR(__xludf.DUMMYFUNCTION("""COMPUTED_VALUE"""),"NATIVIDAD")</f>
        <v>NATIVIDAD</v>
      </c>
      <c r="C1036" s="9" t="str">
        <f>IFERROR(__xludf.DUMMYFUNCTION("""COMPUTED_VALUE"""),"ANGELICA")</f>
        <v>ANGELICA</v>
      </c>
      <c r="D1036" s="9"/>
      <c r="E1036" s="9" t="str">
        <f>IFERROR(__xludf.DUMMYFUNCTION("""COMPUTED_VALUE"""),"BABY ESPINA")</f>
        <v>BABY ESPINA</v>
      </c>
      <c r="F1036" s="133"/>
      <c r="G1036" s="133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60"/>
      <c r="B1037" s="9" t="str">
        <f>IFERROR(__xludf.DUMMYFUNCTION("""COMPUTED_VALUE"""),"NATIVIDAD")</f>
        <v>NATIVIDAD</v>
      </c>
      <c r="C1037" s="9" t="str">
        <f>IFERROR(__xludf.DUMMYFUNCTION("""COMPUTED_VALUE"""),"MARIELLA")</f>
        <v>MARIELLA</v>
      </c>
      <c r="D1037" s="9"/>
      <c r="E1037" s="9" t="str">
        <f>IFERROR(__xludf.DUMMYFUNCTION("""COMPUTED_VALUE"""),"BABY ESPINA")</f>
        <v>BABY ESPINA</v>
      </c>
      <c r="F1037" s="133"/>
      <c r="G1037" s="133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60"/>
      <c r="B1038" s="9" t="str">
        <f>IFERROR(__xludf.DUMMYFUNCTION("""COMPUTED_VALUE"""),"NATIVIDAD")</f>
        <v>NATIVIDAD</v>
      </c>
      <c r="C1038" s="9" t="str">
        <f>IFERROR(__xludf.DUMMYFUNCTION("""COMPUTED_VALUE"""),"DANIEL DAVE")</f>
        <v>DANIEL DAVE</v>
      </c>
      <c r="D1038" s="9"/>
      <c r="E1038" s="9" t="str">
        <f>IFERROR(__xludf.DUMMYFUNCTION("""COMPUTED_VALUE"""),"BABY ESPINA")</f>
        <v>BABY ESPINA</v>
      </c>
      <c r="F1038" s="133"/>
      <c r="G1038" s="133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60"/>
      <c r="B1039" s="9" t="str">
        <f>IFERROR(__xludf.DUMMYFUNCTION("""COMPUTED_VALUE"""),"NATIVIDAD")</f>
        <v>NATIVIDAD</v>
      </c>
      <c r="C1039" s="9" t="str">
        <f>IFERROR(__xludf.DUMMYFUNCTION("""COMPUTED_VALUE"""),"MA LYCA")</f>
        <v>MA LYCA</v>
      </c>
      <c r="D1039" s="9"/>
      <c r="E1039" s="9" t="str">
        <f>IFERROR(__xludf.DUMMYFUNCTION("""COMPUTED_VALUE"""),"BABY ESPINA")</f>
        <v>BABY ESPINA</v>
      </c>
      <c r="F1039" s="133"/>
      <c r="G1039" s="133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60"/>
      <c r="B1040" s="9" t="str">
        <f>IFERROR(__xludf.DUMMYFUNCTION("""COMPUTED_VALUE"""),"NATIVIDAD")</f>
        <v>NATIVIDAD</v>
      </c>
      <c r="C1040" s="9" t="str">
        <f>IFERROR(__xludf.DUMMYFUNCTION("""COMPUTED_VALUE"""),"PRINCESS")</f>
        <v>PRINCESS</v>
      </c>
      <c r="D1040" s="9"/>
      <c r="E1040" s="9" t="str">
        <f>IFERROR(__xludf.DUMMYFUNCTION("""COMPUTED_VALUE"""),"BABY ESPINA")</f>
        <v>BABY ESPINA</v>
      </c>
      <c r="F1040" s="133"/>
      <c r="G1040" s="133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60"/>
      <c r="B1041" s="9" t="str">
        <f>IFERROR(__xludf.DUMMYFUNCTION("""COMPUTED_VALUE"""),"DE JESUS")</f>
        <v>DE JESUS</v>
      </c>
      <c r="C1041" s="9" t="str">
        <f>IFERROR(__xludf.DUMMYFUNCTION("""COMPUTED_VALUE"""),"RONAN")</f>
        <v>RONAN</v>
      </c>
      <c r="D1041" s="9"/>
      <c r="E1041" s="9" t="str">
        <f>IFERROR(__xludf.DUMMYFUNCTION("""COMPUTED_VALUE"""),"LUISA SAN JUAN")</f>
        <v>LUISA SAN JUAN</v>
      </c>
      <c r="F1041" s="133"/>
      <c r="G1041" s="133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60"/>
      <c r="B1042" s="9" t="str">
        <f>IFERROR(__xludf.DUMMYFUNCTION("""COMPUTED_VALUE"""),"DIAGSAY")</f>
        <v>DIAGSAY</v>
      </c>
      <c r="C1042" s="9" t="str">
        <f>IFERROR(__xludf.DUMMYFUNCTION("""COMPUTED_VALUE"""),"JERALD")</f>
        <v>JERALD</v>
      </c>
      <c r="D1042" s="9"/>
      <c r="E1042" s="9" t="str">
        <f>IFERROR(__xludf.DUMMYFUNCTION("""COMPUTED_VALUE"""),"LARRY DIAGSAY")</f>
        <v>LARRY DIAGSAY</v>
      </c>
      <c r="F1042" s="133"/>
      <c r="G1042" s="133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60"/>
      <c r="B1043" s="9" t="str">
        <f>IFERROR(__xludf.DUMMYFUNCTION("""COMPUTED_VALUE"""),"DIAGSAY")</f>
        <v>DIAGSAY</v>
      </c>
      <c r="C1043" s="9" t="str">
        <f>IFERROR(__xludf.DUMMYFUNCTION("""COMPUTED_VALUE"""),"JUSTINE")</f>
        <v>JUSTINE</v>
      </c>
      <c r="D1043" s="9"/>
      <c r="E1043" s="9" t="str">
        <f>IFERROR(__xludf.DUMMYFUNCTION("""COMPUTED_VALUE"""),"LARRY DIAGSAY")</f>
        <v>LARRY DIAGSAY</v>
      </c>
      <c r="F1043" s="133"/>
      <c r="G1043" s="133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60"/>
      <c r="B1044" s="9" t="str">
        <f>IFERROR(__xludf.DUMMYFUNCTION("""COMPUTED_VALUE"""),"DIAGSAY")</f>
        <v>DIAGSAY</v>
      </c>
      <c r="C1044" s="9" t="str">
        <f>IFERROR(__xludf.DUMMYFUNCTION("""COMPUTED_VALUE"""),"JADRIAN MIGUEL")</f>
        <v>JADRIAN MIGUEL</v>
      </c>
      <c r="D1044" s="9"/>
      <c r="E1044" s="9" t="str">
        <f>IFERROR(__xludf.DUMMYFUNCTION("""COMPUTED_VALUE"""),"LARRY DIAGSAY")</f>
        <v>LARRY DIAGSAY</v>
      </c>
      <c r="F1044" s="133"/>
      <c r="G1044" s="133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60"/>
      <c r="B1045" s="9" t="str">
        <f>IFERROR(__xludf.DUMMYFUNCTION("""COMPUTED_VALUE"""),"DIAGSAY")</f>
        <v>DIAGSAY</v>
      </c>
      <c r="C1045" s="9" t="str">
        <f>IFERROR(__xludf.DUMMYFUNCTION("""COMPUTED_VALUE"""),"JHANNA MAE")</f>
        <v>JHANNA MAE</v>
      </c>
      <c r="D1045" s="9"/>
      <c r="E1045" s="9" t="str">
        <f>IFERROR(__xludf.DUMMYFUNCTION("""COMPUTED_VALUE"""),"LARRY DIAGSAY")</f>
        <v>LARRY DIAGSAY</v>
      </c>
      <c r="F1045" s="133"/>
      <c r="G1045" s="133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60"/>
      <c r="B1046" s="9" t="str">
        <f>IFERROR(__xludf.DUMMYFUNCTION("""COMPUTED_VALUE"""),"DIAGSAY")</f>
        <v>DIAGSAY</v>
      </c>
      <c r="C1046" s="9" t="str">
        <f>IFERROR(__xludf.DUMMYFUNCTION("""COMPUTED_VALUE"""),"LARA JANE")</f>
        <v>LARA JANE</v>
      </c>
      <c r="D1046" s="9"/>
      <c r="E1046" s="9" t="str">
        <f>IFERROR(__xludf.DUMMYFUNCTION("""COMPUTED_VALUE"""),"LARRY DIAGSAY")</f>
        <v>LARRY DIAGSAY</v>
      </c>
      <c r="F1046" s="133"/>
      <c r="G1046" s="133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60"/>
      <c r="B1047" s="9" t="str">
        <f>IFERROR(__xludf.DUMMYFUNCTION("""COMPUTED_VALUE"""),"MEJICO")</f>
        <v>MEJICO</v>
      </c>
      <c r="C1047" s="9" t="str">
        <f>IFERROR(__xludf.DUMMYFUNCTION("""COMPUTED_VALUE"""),"MARIAH ASHERA")</f>
        <v>MARIAH ASHERA</v>
      </c>
      <c r="D1047" s="9" t="str">
        <f>IFERROR(__xludf.DUMMYFUNCTION("""COMPUTED_VALUE"""),"M")</f>
        <v>M</v>
      </c>
      <c r="E1047" s="9" t="str">
        <f>IFERROR(__xludf.DUMMYFUNCTION("""COMPUTED_VALUE"""),"KIM MEJICO")</f>
        <v>KIM MEJICO</v>
      </c>
      <c r="F1047" s="133"/>
      <c r="G1047" s="133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60"/>
      <c r="B1048" s="9" t="str">
        <f>IFERROR(__xludf.DUMMYFUNCTION("""COMPUTED_VALUE"""),"MEJICO")</f>
        <v>MEJICO</v>
      </c>
      <c r="C1048" s="9" t="str">
        <f>IFERROR(__xludf.DUMMYFUNCTION("""COMPUTED_VALUE"""),"ISAAC")</f>
        <v>ISAAC</v>
      </c>
      <c r="D1048" s="9" t="str">
        <f>IFERROR(__xludf.DUMMYFUNCTION("""COMPUTED_VALUE"""),"M")</f>
        <v>M</v>
      </c>
      <c r="E1048" s="9" t="str">
        <f>IFERROR(__xludf.DUMMYFUNCTION("""COMPUTED_VALUE"""),"KIM MEJICO")</f>
        <v>KIM MEJICO</v>
      </c>
      <c r="F1048" s="133"/>
      <c r="G1048" s="133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60"/>
      <c r="B1049" s="9" t="str">
        <f>IFERROR(__xludf.DUMMYFUNCTION("""COMPUTED_VALUE"""),"ZABALA")</f>
        <v>ZABALA</v>
      </c>
      <c r="C1049" s="9" t="str">
        <f>IFERROR(__xludf.DUMMYFUNCTION("""COMPUTED_VALUE"""),"ZHASKE EARL")</f>
        <v>ZHASKE EARL</v>
      </c>
      <c r="D1049" s="9"/>
      <c r="E1049" s="9" t="str">
        <f>IFERROR(__xludf.DUMMYFUNCTION("""COMPUTED_VALUE"""),"RENIE B ZABALA")</f>
        <v>RENIE B ZABALA</v>
      </c>
      <c r="F1049" s="133"/>
      <c r="G1049" s="133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60"/>
      <c r="B1050" s="9" t="str">
        <f>IFERROR(__xludf.DUMMYFUNCTION("""COMPUTED_VALUE"""),"ZABALA")</f>
        <v>ZABALA</v>
      </c>
      <c r="C1050" s="9" t="str">
        <f>IFERROR(__xludf.DUMMYFUNCTION("""COMPUTED_VALUE"""),"SHYREIN")</f>
        <v>SHYREIN</v>
      </c>
      <c r="D1050" s="9"/>
      <c r="E1050" s="9" t="str">
        <f>IFERROR(__xludf.DUMMYFUNCTION("""COMPUTED_VALUE"""),"RENIE B ZABALA")</f>
        <v>RENIE B ZABALA</v>
      </c>
      <c r="F1050" s="133"/>
      <c r="G1050" s="133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60"/>
      <c r="B1051" s="9" t="str">
        <f>IFERROR(__xludf.DUMMYFUNCTION("""COMPUTED_VALUE"""),"FRONDA")</f>
        <v>FRONDA</v>
      </c>
      <c r="C1051" s="9" t="str">
        <f>IFERROR(__xludf.DUMMYFUNCTION("""COMPUTED_VALUE"""),"NICOLE")</f>
        <v>NICOLE</v>
      </c>
      <c r="D1051" s="9"/>
      <c r="E1051" s="9" t="str">
        <f>IFERROR(__xludf.DUMMYFUNCTION("""COMPUTED_VALUE"""),"DINA B FRONDA")</f>
        <v>DINA B FRONDA</v>
      </c>
      <c r="F1051" s="133"/>
      <c r="G1051" s="133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60"/>
      <c r="B1052" s="9" t="str">
        <f>IFERROR(__xludf.DUMMYFUNCTION("""COMPUTED_VALUE"""),"FRONDA")</f>
        <v>FRONDA</v>
      </c>
      <c r="C1052" s="9" t="str">
        <f>IFERROR(__xludf.DUMMYFUNCTION("""COMPUTED_VALUE"""),"URIAH")</f>
        <v>URIAH</v>
      </c>
      <c r="D1052" s="9"/>
      <c r="E1052" s="9" t="str">
        <f>IFERROR(__xludf.DUMMYFUNCTION("""COMPUTED_VALUE"""),"DINA B FRONDA")</f>
        <v>DINA B FRONDA</v>
      </c>
      <c r="F1052" s="133"/>
      <c r="G1052" s="133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60"/>
      <c r="B1053" s="9" t="str">
        <f>IFERROR(__xludf.DUMMYFUNCTION("""COMPUTED_VALUE"""),"FRONDA")</f>
        <v>FRONDA</v>
      </c>
      <c r="C1053" s="9" t="str">
        <f>IFERROR(__xludf.DUMMYFUNCTION("""COMPUTED_VALUE"""),"CHELSEA")</f>
        <v>CHELSEA</v>
      </c>
      <c r="D1053" s="9"/>
      <c r="E1053" s="9" t="str">
        <f>IFERROR(__xludf.DUMMYFUNCTION("""COMPUTED_VALUE"""),"DINA B FRONDA")</f>
        <v>DINA B FRONDA</v>
      </c>
      <c r="F1053" s="133"/>
      <c r="G1053" s="133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60"/>
      <c r="B1054" s="9" t="str">
        <f>IFERROR(__xludf.DUMMYFUNCTION("""COMPUTED_VALUE"""),"AGUANTA")</f>
        <v>AGUANTA</v>
      </c>
      <c r="C1054" s="9" t="str">
        <f>IFERROR(__xludf.DUMMYFUNCTION("""COMPUTED_VALUE"""),"MARY ANN")</f>
        <v>MARY ANN</v>
      </c>
      <c r="D1054" s="9" t="str">
        <f>IFERROR(__xludf.DUMMYFUNCTION("""COMPUTED_VALUE"""),"V")</f>
        <v>V</v>
      </c>
      <c r="E1054" s="9" t="str">
        <f>IFERROR(__xludf.DUMMYFUNCTION("""COMPUTED_VALUE"""),"RICARDO S AGUANTA")</f>
        <v>RICARDO S AGUANTA</v>
      </c>
      <c r="F1054" s="133"/>
      <c r="G1054" s="133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60"/>
      <c r="B1055" s="9" t="str">
        <f>IFERROR(__xludf.DUMMYFUNCTION("""COMPUTED_VALUE"""),"AGUANTA")</f>
        <v>AGUANTA</v>
      </c>
      <c r="C1055" s="9" t="str">
        <f>IFERROR(__xludf.DUMMYFUNCTION("""COMPUTED_VALUE"""),"REM PARK")</f>
        <v>REM PARK</v>
      </c>
      <c r="D1055" s="9"/>
      <c r="E1055" s="9" t="str">
        <f>IFERROR(__xludf.DUMMYFUNCTION("""COMPUTED_VALUE"""),"RICARDO S AGUANTA")</f>
        <v>RICARDO S AGUANTA</v>
      </c>
      <c r="F1055" s="133"/>
      <c r="G1055" s="133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60"/>
      <c r="B1056" s="9" t="str">
        <f>IFERROR(__xludf.DUMMYFUNCTION("""COMPUTED_VALUE"""),"RANICO")</f>
        <v>RANICO</v>
      </c>
      <c r="C1056" s="9" t="str">
        <f>IFERROR(__xludf.DUMMYFUNCTION("""COMPUTED_VALUE"""),"ZOEY CELESTINE")</f>
        <v>ZOEY CELESTINE</v>
      </c>
      <c r="D1056" s="9" t="str">
        <f>IFERROR(__xludf.DUMMYFUNCTION("""COMPUTED_VALUE"""),"A")</f>
        <v>A</v>
      </c>
      <c r="E1056" s="9" t="str">
        <f>IFERROR(__xludf.DUMMYFUNCTION("""COMPUTED_VALUE"""),"RICARDO S AGUANTA")</f>
        <v>RICARDO S AGUANTA</v>
      </c>
      <c r="F1056" s="133"/>
      <c r="G1056" s="133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60"/>
      <c r="B1057" s="9" t="str">
        <f>IFERROR(__xludf.DUMMYFUNCTION("""COMPUTED_VALUE"""),"RANICO")</f>
        <v>RANICO</v>
      </c>
      <c r="C1057" s="9" t="str">
        <f>IFERROR(__xludf.DUMMYFUNCTION("""COMPUTED_VALUE"""),"ZACHANY GRAY")</f>
        <v>ZACHANY GRAY</v>
      </c>
      <c r="D1057" s="9" t="str">
        <f>IFERROR(__xludf.DUMMYFUNCTION("""COMPUTED_VALUE"""),"A")</f>
        <v>A</v>
      </c>
      <c r="E1057" s="9" t="str">
        <f>IFERROR(__xludf.DUMMYFUNCTION("""COMPUTED_VALUE"""),"RICARDO S AGUANTA")</f>
        <v>RICARDO S AGUANTA</v>
      </c>
      <c r="F1057" s="133"/>
      <c r="G1057" s="133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60"/>
      <c r="B1058" s="9" t="str">
        <f>IFERROR(__xludf.DUMMYFUNCTION("""COMPUTED_VALUE"""),"AGUANTA")</f>
        <v>AGUANTA</v>
      </c>
      <c r="C1058" s="9" t="str">
        <f>IFERROR(__xludf.DUMMYFUNCTION("""COMPUTED_VALUE"""),"ZIA BRIELLE")</f>
        <v>ZIA BRIELLE</v>
      </c>
      <c r="D1058" s="9"/>
      <c r="E1058" s="9" t="str">
        <f>IFERROR(__xludf.DUMMYFUNCTION("""COMPUTED_VALUE"""),"RICARDO S AGUANTA")</f>
        <v>RICARDO S AGUANTA</v>
      </c>
      <c r="F1058" s="133"/>
      <c r="G1058" s="133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60"/>
      <c r="B1059" s="9" t="str">
        <f>IFERROR(__xludf.DUMMYFUNCTION("""COMPUTED_VALUE"""),"RAMOS")</f>
        <v>RAMOS</v>
      </c>
      <c r="C1059" s="9" t="str">
        <f>IFERROR(__xludf.DUMMYFUNCTION("""COMPUTED_VALUE"""),"JOENEL ")</f>
        <v>JOENEL </v>
      </c>
      <c r="D1059" s="9" t="str">
        <f>IFERROR(__xludf.DUMMYFUNCTION("""COMPUTED_VALUE"""),"G")</f>
        <v>G</v>
      </c>
      <c r="E1059" s="9" t="str">
        <f>IFERROR(__xludf.DUMMYFUNCTION("""COMPUTED_VALUE"""),"JOMAR G. RAMOS")</f>
        <v>JOMAR G. RAMOS</v>
      </c>
      <c r="F1059" s="133"/>
      <c r="G1059" s="133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60"/>
      <c r="B1060" s="9" t="str">
        <f>IFERROR(__xludf.DUMMYFUNCTION("""COMPUTED_VALUE"""),"RAMOS ")</f>
        <v>RAMOS </v>
      </c>
      <c r="C1060" s="9" t="str">
        <f>IFERROR(__xludf.DUMMYFUNCTION("""COMPUTED_VALUE"""),"JOHN CARLOS")</f>
        <v>JOHN CARLOS</v>
      </c>
      <c r="D1060" s="9"/>
      <c r="E1060" s="9" t="str">
        <f>IFERROR(__xludf.DUMMYFUNCTION("""COMPUTED_VALUE"""),"JOLYANN G RAMOS")</f>
        <v>JOLYANN G RAMOS</v>
      </c>
      <c r="F1060" s="133"/>
      <c r="G1060" s="133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60"/>
      <c r="B1061" s="9" t="str">
        <f>IFERROR(__xludf.DUMMYFUNCTION("""COMPUTED_VALUE"""),"MOLINA")</f>
        <v>MOLINA</v>
      </c>
      <c r="C1061" s="9" t="str">
        <f>IFERROR(__xludf.DUMMYFUNCTION("""COMPUTED_VALUE"""),"ASHLEY")</f>
        <v>ASHLEY</v>
      </c>
      <c r="D1061" s="9" t="str">
        <f>IFERROR(__xludf.DUMMYFUNCTION("""COMPUTED_VALUE"""),"R")</f>
        <v>R</v>
      </c>
      <c r="E1061" s="9" t="str">
        <f>IFERROR(__xludf.DUMMYFUNCTION("""COMPUTED_VALUE"""),"JOLYANN G RAMOS")</f>
        <v>JOLYANN G RAMOS</v>
      </c>
      <c r="F1061" s="133"/>
      <c r="G1061" s="133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60"/>
      <c r="B1062" s="9" t="str">
        <f>IFERROR(__xludf.DUMMYFUNCTION("""COMPUTED_VALUE"""),"GUILLEN")</f>
        <v>GUILLEN</v>
      </c>
      <c r="C1062" s="9" t="str">
        <f>IFERROR(__xludf.DUMMYFUNCTION("""COMPUTED_VALUE"""),"HANNAH")</f>
        <v>HANNAH</v>
      </c>
      <c r="D1062" s="9"/>
      <c r="E1062" s="9" t="str">
        <f>IFERROR(__xludf.DUMMYFUNCTION("""COMPUTED_VALUE"""),"REDEN PANGANIBAN")</f>
        <v>REDEN PANGANIBAN</v>
      </c>
      <c r="F1062" s="133"/>
      <c r="G1062" s="133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60"/>
      <c r="B1063" s="9" t="str">
        <f>IFERROR(__xludf.DUMMYFUNCTION("""COMPUTED_VALUE"""),"GUILLEN")</f>
        <v>GUILLEN</v>
      </c>
      <c r="C1063" s="9" t="str">
        <f>IFERROR(__xludf.DUMMYFUNCTION("""COMPUTED_VALUE"""),"HYACINTH")</f>
        <v>HYACINTH</v>
      </c>
      <c r="D1063" s="9"/>
      <c r="E1063" s="9" t="str">
        <f>IFERROR(__xludf.DUMMYFUNCTION("""COMPUTED_VALUE"""),"REDEN PANGANIBAN")</f>
        <v>REDEN PANGANIBAN</v>
      </c>
      <c r="F1063" s="133"/>
      <c r="G1063" s="133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60"/>
      <c r="B1064" s="9" t="str">
        <f>IFERROR(__xludf.DUMMYFUNCTION("""COMPUTED_VALUE"""),"GUILLEN")</f>
        <v>GUILLEN</v>
      </c>
      <c r="C1064" s="9" t="str">
        <f>IFERROR(__xludf.DUMMYFUNCTION("""COMPUTED_VALUE"""),"RYKER")</f>
        <v>RYKER</v>
      </c>
      <c r="D1064" s="9"/>
      <c r="E1064" s="9" t="str">
        <f>IFERROR(__xludf.DUMMYFUNCTION("""COMPUTED_VALUE"""),"REDEN PANGANIBAN")</f>
        <v>REDEN PANGANIBAN</v>
      </c>
      <c r="F1064" s="133"/>
      <c r="G1064" s="133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60"/>
      <c r="B1065" s="9" t="str">
        <f>IFERROR(__xludf.DUMMYFUNCTION("""COMPUTED_VALUE"""),"NARRIDO")</f>
        <v>NARRIDO</v>
      </c>
      <c r="C1065" s="9" t="str">
        <f>IFERROR(__xludf.DUMMYFUNCTION("""COMPUTED_VALUE"""),"SAMUEL")</f>
        <v>SAMUEL</v>
      </c>
      <c r="D1065" s="9"/>
      <c r="E1065" s="9" t="str">
        <f>IFERROR(__xludf.DUMMYFUNCTION("""COMPUTED_VALUE"""),"ARMANDO GUILLEN")</f>
        <v>ARMANDO GUILLEN</v>
      </c>
      <c r="F1065" s="133"/>
      <c r="G1065" s="133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60"/>
      <c r="B1066" s="9" t="str">
        <f>IFERROR(__xludf.DUMMYFUNCTION("""COMPUTED_VALUE"""),"NARRIDO")</f>
        <v>NARRIDO</v>
      </c>
      <c r="C1066" s="9" t="str">
        <f>IFERROR(__xludf.DUMMYFUNCTION("""COMPUTED_VALUE"""),"JHAY ANN")</f>
        <v>JHAY ANN</v>
      </c>
      <c r="D1066" s="9"/>
      <c r="E1066" s="9" t="str">
        <f>IFERROR(__xludf.DUMMYFUNCTION("""COMPUTED_VALUE"""),"ARMANDO GUILLEN")</f>
        <v>ARMANDO GUILLEN</v>
      </c>
      <c r="F1066" s="133"/>
      <c r="G1066" s="133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60"/>
      <c r="B1067" s="9" t="str">
        <f>IFERROR(__xludf.DUMMYFUNCTION("""COMPUTED_VALUE"""),"VERSOZA")</f>
        <v>VERSOZA</v>
      </c>
      <c r="C1067" s="9" t="str">
        <f>IFERROR(__xludf.DUMMYFUNCTION("""COMPUTED_VALUE"""),"MHARTINE HAL")</f>
        <v>MHARTINE HAL</v>
      </c>
      <c r="D1067" s="9" t="str">
        <f>IFERROR(__xludf.DUMMYFUNCTION("""COMPUTED_VALUE"""),"C")</f>
        <v>C</v>
      </c>
      <c r="E1067" s="9" t="str">
        <f>IFERROR(__xludf.DUMMYFUNCTION("""COMPUTED_VALUE"""),"MA. CHRISTINE C CABRERA")</f>
        <v>MA. CHRISTINE C CABRERA</v>
      </c>
      <c r="F1067" s="133"/>
      <c r="G1067" s="133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60"/>
      <c r="B1068" s="9" t="str">
        <f>IFERROR(__xludf.DUMMYFUNCTION("""COMPUTED_VALUE"""),"VERSOZA")</f>
        <v>VERSOZA</v>
      </c>
      <c r="C1068" s="9" t="str">
        <f>IFERROR(__xludf.DUMMYFUNCTION("""COMPUTED_VALUE"""),"MHACKY MARION")</f>
        <v>MHACKY MARION</v>
      </c>
      <c r="D1068" s="9" t="str">
        <f>IFERROR(__xludf.DUMMYFUNCTION("""COMPUTED_VALUE"""),"C")</f>
        <v>C</v>
      </c>
      <c r="E1068" s="9" t="str">
        <f>IFERROR(__xludf.DUMMYFUNCTION("""COMPUTED_VALUE"""),"MA. CHRISTINE C CABRERA")</f>
        <v>MA. CHRISTINE C CABRERA</v>
      </c>
      <c r="F1068" s="133"/>
      <c r="G1068" s="133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60"/>
      <c r="B1069" s="9" t="str">
        <f>IFERROR(__xludf.DUMMYFUNCTION("""COMPUTED_VALUE"""),"VERSOZA JR.")</f>
        <v>VERSOZA JR.</v>
      </c>
      <c r="C1069" s="9" t="str">
        <f>IFERROR(__xludf.DUMMYFUNCTION("""COMPUTED_VALUE"""),"MARLON")</f>
        <v>MARLON</v>
      </c>
      <c r="D1069" s="9" t="str">
        <f>IFERROR(__xludf.DUMMYFUNCTION("""COMPUTED_VALUE"""),"C")</f>
        <v>C</v>
      </c>
      <c r="E1069" s="9" t="str">
        <f>IFERROR(__xludf.DUMMYFUNCTION("""COMPUTED_VALUE"""),"MA. CHRISTINE C CABRERA")</f>
        <v>MA. CHRISTINE C CABRERA</v>
      </c>
      <c r="F1069" s="133"/>
      <c r="G1069" s="133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60"/>
      <c r="B1070" s="9" t="str">
        <f>IFERROR(__xludf.DUMMYFUNCTION("""COMPUTED_VALUE"""),"VERSOZA")</f>
        <v>VERSOZA</v>
      </c>
      <c r="C1070" s="9" t="str">
        <f>IFERROR(__xludf.DUMMYFUNCTION("""COMPUTED_VALUE"""),"MARGAUX")</f>
        <v>MARGAUX</v>
      </c>
      <c r="D1070" s="9" t="str">
        <f>IFERROR(__xludf.DUMMYFUNCTION("""COMPUTED_VALUE"""),"C")</f>
        <v>C</v>
      </c>
      <c r="E1070" s="9" t="str">
        <f>IFERROR(__xludf.DUMMYFUNCTION("""COMPUTED_VALUE"""),"MA. CHRISTINE C CABRERA")</f>
        <v>MA. CHRISTINE C CABRERA</v>
      </c>
      <c r="F1070" s="133"/>
      <c r="G1070" s="133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60"/>
      <c r="B1071" s="9" t="str">
        <f>IFERROR(__xludf.DUMMYFUNCTION("""COMPUTED_VALUE"""),"CABRERA")</f>
        <v>CABRERA</v>
      </c>
      <c r="C1071" s="9" t="str">
        <f>IFERROR(__xludf.DUMMYFUNCTION("""COMPUTED_VALUE"""),"MICHEAL CYRUS")</f>
        <v>MICHEAL CYRUS</v>
      </c>
      <c r="D1071" s="9"/>
      <c r="E1071" s="9" t="str">
        <f>IFERROR(__xludf.DUMMYFUNCTION("""COMPUTED_VALUE"""),"MA. CHRISTINE C CABRERA")</f>
        <v>MA. CHRISTINE C CABRERA</v>
      </c>
      <c r="F1071" s="133"/>
      <c r="G1071" s="133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60"/>
      <c r="B1072" s="9" t="str">
        <f>IFERROR(__xludf.DUMMYFUNCTION("""COMPUTED_VALUE"""),"HOMO")</f>
        <v>HOMO</v>
      </c>
      <c r="C1072" s="9" t="str">
        <f>IFERROR(__xludf.DUMMYFUNCTION("""COMPUTED_VALUE"""),"YHUNO")</f>
        <v>YHUNO</v>
      </c>
      <c r="D1072" s="9" t="str">
        <f>IFERROR(__xludf.DUMMYFUNCTION("""COMPUTED_VALUE"""),"C")</f>
        <v>C</v>
      </c>
      <c r="E1072" s="9" t="str">
        <f>IFERROR(__xludf.DUMMYFUNCTION("""COMPUTED_VALUE"""),"NOREEN APPLE C HOMO")</f>
        <v>NOREEN APPLE C HOMO</v>
      </c>
      <c r="F1072" s="133"/>
      <c r="G1072" s="133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60"/>
      <c r="B1073" s="9" t="str">
        <f>IFERROR(__xludf.DUMMYFUNCTION("""COMPUTED_VALUE"""),"HOMO")</f>
        <v>HOMO</v>
      </c>
      <c r="C1073" s="9" t="str">
        <f>IFERROR(__xludf.DUMMYFUNCTION("""COMPUTED_VALUE"""),"KAEDE")</f>
        <v>KAEDE</v>
      </c>
      <c r="D1073" s="9" t="str">
        <f>IFERROR(__xludf.DUMMYFUNCTION("""COMPUTED_VALUE"""),"C")</f>
        <v>C</v>
      </c>
      <c r="E1073" s="9" t="str">
        <f>IFERROR(__xludf.DUMMYFUNCTION("""COMPUTED_VALUE"""),"NOREEN APPLE C HOMO")</f>
        <v>NOREEN APPLE C HOMO</v>
      </c>
      <c r="F1073" s="133"/>
      <c r="G1073" s="133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60"/>
      <c r="B1074" s="9" t="str">
        <f>IFERROR(__xludf.DUMMYFUNCTION("""COMPUTED_VALUE"""),"ABRASALDO")</f>
        <v>ABRASALDO</v>
      </c>
      <c r="C1074" s="9" t="str">
        <f>IFERROR(__xludf.DUMMYFUNCTION("""COMPUTED_VALUE"""),"CASANDRA NICOLE")</f>
        <v>CASANDRA NICOLE</v>
      </c>
      <c r="D1074" s="9" t="str">
        <f>IFERROR(__xludf.DUMMYFUNCTION("""COMPUTED_VALUE"""),"C")</f>
        <v>C</v>
      </c>
      <c r="E1074" s="9" t="str">
        <f>IFERROR(__xludf.DUMMYFUNCTION("""COMPUTED_VALUE"""),"MA. JESUSA C ABRASALDO")</f>
        <v>MA. JESUSA C ABRASALDO</v>
      </c>
      <c r="F1074" s="133"/>
      <c r="G1074" s="133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60"/>
      <c r="B1075" s="9" t="str">
        <f>IFERROR(__xludf.DUMMYFUNCTION("""COMPUTED_VALUE"""),"TY")</f>
        <v>TY</v>
      </c>
      <c r="C1075" s="9" t="str">
        <f>IFERROR(__xludf.DUMMYFUNCTION("""COMPUTED_VALUE"""),"AVIANA LEIGH")</f>
        <v>AVIANA LEIGH</v>
      </c>
      <c r="D1075" s="9"/>
      <c r="E1075" s="9" t="str">
        <f>IFERROR(__xludf.DUMMYFUNCTION("""COMPUTED_VALUE"""),"JANALEE TY")</f>
        <v>JANALEE TY</v>
      </c>
      <c r="F1075" s="133"/>
      <c r="G1075" s="133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60"/>
      <c r="B1076" s="9" t="str">
        <f>IFERROR(__xludf.DUMMYFUNCTION("""COMPUTED_VALUE"""),"LARIN")</f>
        <v>LARIN</v>
      </c>
      <c r="C1076" s="9" t="str">
        <f>IFERROR(__xludf.DUMMYFUNCTION("""COMPUTED_VALUE"""),"CRIS")</f>
        <v>CRIS</v>
      </c>
      <c r="D1076" s="9"/>
      <c r="E1076" s="9" t="str">
        <f>IFERROR(__xludf.DUMMYFUNCTION("""COMPUTED_VALUE"""),"TERESITA C VICTORIA")</f>
        <v>TERESITA C VICTORIA</v>
      </c>
      <c r="F1076" s="133"/>
      <c r="G1076" s="133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60"/>
      <c r="B1077" s="9" t="str">
        <f>IFERROR(__xludf.DUMMYFUNCTION("""COMPUTED_VALUE"""),"LARIN ")</f>
        <v>LARIN </v>
      </c>
      <c r="C1077" s="9" t="str">
        <f>IFERROR(__xludf.DUMMYFUNCTION("""COMPUTED_VALUE"""),"BRAINE")</f>
        <v>BRAINE</v>
      </c>
      <c r="D1077" s="9"/>
      <c r="E1077" s="9" t="str">
        <f>IFERROR(__xludf.DUMMYFUNCTION("""COMPUTED_VALUE"""),"ROMEO LARIN")</f>
        <v>ROMEO LARIN</v>
      </c>
      <c r="F1077" s="133"/>
      <c r="G1077" s="133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60"/>
      <c r="B1078" s="9" t="str">
        <f>IFERROR(__xludf.DUMMYFUNCTION("""COMPUTED_VALUE"""),"LARIN ")</f>
        <v>LARIN </v>
      </c>
      <c r="C1078" s="9" t="str">
        <f>IFERROR(__xludf.DUMMYFUNCTION("""COMPUTED_VALUE"""),"LORDY ")</f>
        <v>LORDY </v>
      </c>
      <c r="D1078" s="9"/>
      <c r="E1078" s="9" t="str">
        <f>IFERROR(__xludf.DUMMYFUNCTION("""COMPUTED_VALUE"""),"ROMEO LARIN")</f>
        <v>ROMEO LARIN</v>
      </c>
      <c r="F1078" s="133"/>
      <c r="G1078" s="133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60"/>
      <c r="B1079" s="9" t="str">
        <f>IFERROR(__xludf.DUMMYFUNCTION("""COMPUTED_VALUE"""),"LARIN")</f>
        <v>LARIN</v>
      </c>
      <c r="C1079" s="9" t="str">
        <f>IFERROR(__xludf.DUMMYFUNCTION("""COMPUTED_VALUE"""),"TERRENCE")</f>
        <v>TERRENCE</v>
      </c>
      <c r="D1079" s="9"/>
      <c r="E1079" s="9" t="str">
        <f>IFERROR(__xludf.DUMMYFUNCTION("""COMPUTED_VALUE"""),"JESTINE MAE LARIN")</f>
        <v>JESTINE MAE LARIN</v>
      </c>
      <c r="F1079" s="133"/>
      <c r="G1079" s="133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60"/>
      <c r="B1080" s="9" t="str">
        <f>IFERROR(__xludf.DUMMYFUNCTION("""COMPUTED_VALUE"""),"LARIN")</f>
        <v>LARIN</v>
      </c>
      <c r="C1080" s="9" t="str">
        <f>IFERROR(__xludf.DUMMYFUNCTION("""COMPUTED_VALUE"""),"CRENZ JOHAN")</f>
        <v>CRENZ JOHAN</v>
      </c>
      <c r="D1080" s="9"/>
      <c r="E1080" s="9" t="str">
        <f>IFERROR(__xludf.DUMMYFUNCTION("""COMPUTED_VALUE"""),"JESTINE MAE LARIN")</f>
        <v>JESTINE MAE LARIN</v>
      </c>
      <c r="F1080" s="133"/>
      <c r="G1080" s="133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60"/>
      <c r="B1081" s="9" t="str">
        <f>IFERROR(__xludf.DUMMYFUNCTION("""COMPUTED_VALUE"""),"STO TOMAS ")</f>
        <v>STO TOMAS </v>
      </c>
      <c r="C1081" s="9" t="str">
        <f>IFERROR(__xludf.DUMMYFUNCTION("""COMPUTED_VALUE"""),"CHRISTIAN")</f>
        <v>CHRISTIAN</v>
      </c>
      <c r="D1081" s="9"/>
      <c r="E1081" s="9" t="str">
        <f>IFERROR(__xludf.DUMMYFUNCTION("""COMPUTED_VALUE"""),"ANGELITO STO TOMAS")</f>
        <v>ANGELITO STO TOMAS</v>
      </c>
      <c r="F1081" s="133"/>
      <c r="G1081" s="133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60"/>
      <c r="B1082" s="9" t="str">
        <f>IFERROR(__xludf.DUMMYFUNCTION("""COMPUTED_VALUE"""),"CASTRO ")</f>
        <v>CASTRO </v>
      </c>
      <c r="C1082" s="9" t="str">
        <f>IFERROR(__xludf.DUMMYFUNCTION("""COMPUTED_VALUE"""),"KYLE JOHN")</f>
        <v>KYLE JOHN</v>
      </c>
      <c r="D1082" s="9"/>
      <c r="E1082" s="9" t="str">
        <f>IFERROR(__xludf.DUMMYFUNCTION("""COMPUTED_VALUE"""),"RTLEOLE CASTRO")</f>
        <v>RTLEOLE CASTRO</v>
      </c>
      <c r="F1082" s="133"/>
      <c r="G1082" s="133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60"/>
      <c r="B1083" s="9" t="str">
        <f>IFERROR(__xludf.DUMMYFUNCTION("""COMPUTED_VALUE"""),"LARIN")</f>
        <v>LARIN</v>
      </c>
      <c r="C1083" s="9" t="str">
        <f>IFERROR(__xludf.DUMMYFUNCTION("""COMPUTED_VALUE"""),"LHANCE")</f>
        <v>LHANCE</v>
      </c>
      <c r="D1083" s="9"/>
      <c r="E1083" s="9" t="str">
        <f>IFERROR(__xludf.DUMMYFUNCTION("""COMPUTED_VALUE"""),"MAYLYN E LARIN")</f>
        <v>MAYLYN E LARIN</v>
      </c>
      <c r="F1083" s="133"/>
      <c r="G1083" s="133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60"/>
      <c r="B1084" s="9" t="str">
        <f>IFERROR(__xludf.DUMMYFUNCTION("""COMPUTED_VALUE"""),"LARIN")</f>
        <v>LARIN</v>
      </c>
      <c r="C1084" s="9" t="str">
        <f>IFERROR(__xludf.DUMMYFUNCTION("""COMPUTED_VALUE"""),"TERENCE")</f>
        <v>TERENCE</v>
      </c>
      <c r="D1084" s="9"/>
      <c r="E1084" s="9" t="str">
        <f>IFERROR(__xludf.DUMMYFUNCTION("""COMPUTED_VALUE"""),"MAYLYN E LARIN")</f>
        <v>MAYLYN E LARIN</v>
      </c>
      <c r="F1084" s="133"/>
      <c r="G1084" s="133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60"/>
      <c r="B1085" s="9" t="str">
        <f>IFERROR(__xludf.DUMMYFUNCTION("""COMPUTED_VALUE"""),"LARIN")</f>
        <v>LARIN</v>
      </c>
      <c r="C1085" s="9" t="str">
        <f>IFERROR(__xludf.DUMMYFUNCTION("""COMPUTED_VALUE"""),"DEXTER")</f>
        <v>DEXTER</v>
      </c>
      <c r="D1085" s="9"/>
      <c r="E1085" s="9" t="str">
        <f>IFERROR(__xludf.DUMMYFUNCTION("""COMPUTED_VALUE"""),"MAYLYN E LARIN")</f>
        <v>MAYLYN E LARIN</v>
      </c>
      <c r="F1085" s="133"/>
      <c r="G1085" s="133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60"/>
      <c r="B1086" s="9" t="str">
        <f>IFERROR(__xludf.DUMMYFUNCTION("""COMPUTED_VALUE"""),"ESTRELLA")</f>
        <v>ESTRELLA</v>
      </c>
      <c r="C1086" s="9" t="str">
        <f>IFERROR(__xludf.DUMMYFUNCTION("""COMPUTED_VALUE"""),"JAIMY")</f>
        <v>JAIMY</v>
      </c>
      <c r="D1086" s="9"/>
      <c r="E1086" s="9" t="str">
        <f>IFERROR(__xludf.DUMMYFUNCTION("""COMPUTED_VALUE"""),"TIMMY ESTRELLA")</f>
        <v>TIMMY ESTRELLA</v>
      </c>
      <c r="F1086" s="133"/>
      <c r="G1086" s="133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60"/>
      <c r="B1087" s="9" t="str">
        <f>IFERROR(__xludf.DUMMYFUNCTION("""COMPUTED_VALUE"""),"ESTRELLA")</f>
        <v>ESTRELLA</v>
      </c>
      <c r="C1087" s="9" t="str">
        <f>IFERROR(__xludf.DUMMYFUNCTION("""COMPUTED_VALUE"""),"JHENNA MAE")</f>
        <v>JHENNA MAE</v>
      </c>
      <c r="D1087" s="9"/>
      <c r="E1087" s="9" t="str">
        <f>IFERROR(__xludf.DUMMYFUNCTION("""COMPUTED_VALUE"""),"TIMMY ESTRELLA")</f>
        <v>TIMMY ESTRELLA</v>
      </c>
      <c r="F1087" s="133"/>
      <c r="G1087" s="133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60"/>
      <c r="B1088" s="9" t="str">
        <f>IFERROR(__xludf.DUMMYFUNCTION("""COMPUTED_VALUE"""),"ROQUE")</f>
        <v>ROQUE</v>
      </c>
      <c r="C1088" s="9" t="str">
        <f>IFERROR(__xludf.DUMMYFUNCTION("""COMPUTED_VALUE"""),"LHINET")</f>
        <v>LHINET</v>
      </c>
      <c r="D1088" s="9"/>
      <c r="E1088" s="9" t="str">
        <f>IFERROR(__xludf.DUMMYFUNCTION("""COMPUTED_VALUE"""),"JOSEFINA CASTRO")</f>
        <v>JOSEFINA CASTRO</v>
      </c>
      <c r="F1088" s="133"/>
      <c r="G1088" s="133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60"/>
      <c r="B1089" s="9" t="str">
        <f>IFERROR(__xludf.DUMMYFUNCTION("""COMPUTED_VALUE"""),"ROQUE")</f>
        <v>ROQUE</v>
      </c>
      <c r="C1089" s="9" t="str">
        <f>IFERROR(__xludf.DUMMYFUNCTION("""COMPUTED_VALUE"""),"PRINCESS LOVELY")</f>
        <v>PRINCESS LOVELY</v>
      </c>
      <c r="D1089" s="9"/>
      <c r="E1089" s="9" t="str">
        <f>IFERROR(__xludf.DUMMYFUNCTION("""COMPUTED_VALUE"""),"JOSEFINA CASTRO")</f>
        <v>JOSEFINA CASTRO</v>
      </c>
      <c r="F1089" s="133"/>
      <c r="G1089" s="133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60"/>
      <c r="B1090" s="9" t="str">
        <f>IFERROR(__xludf.DUMMYFUNCTION("""COMPUTED_VALUE"""),"ROQUE")</f>
        <v>ROQUE</v>
      </c>
      <c r="C1090" s="9" t="str">
        <f>IFERROR(__xludf.DUMMYFUNCTION("""COMPUTED_VALUE"""),"JOHN LOID ")</f>
        <v>JOHN LOID </v>
      </c>
      <c r="D1090" s="9"/>
      <c r="E1090" s="9" t="str">
        <f>IFERROR(__xludf.DUMMYFUNCTION("""COMPUTED_VALUE"""),"JOSEFINA CASTRO")</f>
        <v>JOSEFINA CASTRO</v>
      </c>
      <c r="F1090" s="133"/>
      <c r="G1090" s="133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60"/>
      <c r="B1091" s="9" t="str">
        <f>IFERROR(__xludf.DUMMYFUNCTION("""COMPUTED_VALUE"""),"CASTRO ")</f>
        <v>CASTRO </v>
      </c>
      <c r="C1091" s="9" t="str">
        <f>IFERROR(__xludf.DUMMYFUNCTION("""COMPUTED_VALUE"""),"JERVY LOI")</f>
        <v>JERVY LOI</v>
      </c>
      <c r="D1091" s="9"/>
      <c r="E1091" s="9" t="str">
        <f>IFERROR(__xludf.DUMMYFUNCTION("""COMPUTED_VALUE"""),"RINA CASTRO")</f>
        <v>RINA CASTRO</v>
      </c>
      <c r="F1091" s="133"/>
      <c r="G1091" s="133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60"/>
      <c r="B1092" s="9" t="str">
        <f>IFERROR(__xludf.DUMMYFUNCTION("""COMPUTED_VALUE"""),"ESPIRITU")</f>
        <v>ESPIRITU</v>
      </c>
      <c r="C1092" s="9" t="str">
        <f>IFERROR(__xludf.DUMMYFUNCTION("""COMPUTED_VALUE"""),"BRYAN")</f>
        <v>BRYAN</v>
      </c>
      <c r="D1092" s="9"/>
      <c r="E1092" s="9" t="str">
        <f>IFERROR(__xludf.DUMMYFUNCTION("""COMPUTED_VALUE"""),"RINA CASTRO")</f>
        <v>RINA CASTRO</v>
      </c>
      <c r="F1092" s="133"/>
      <c r="G1092" s="133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60"/>
      <c r="B1093" s="9" t="str">
        <f>IFERROR(__xludf.DUMMYFUNCTION("""COMPUTED_VALUE"""),"ESPIRITU")</f>
        <v>ESPIRITU</v>
      </c>
      <c r="C1093" s="9" t="str">
        <f>IFERROR(__xludf.DUMMYFUNCTION("""COMPUTED_VALUE"""),"ADRIAN")</f>
        <v>ADRIAN</v>
      </c>
      <c r="D1093" s="9"/>
      <c r="E1093" s="9" t="str">
        <f>IFERROR(__xludf.DUMMYFUNCTION("""COMPUTED_VALUE"""),"RINA CASTRO")</f>
        <v>RINA CASTRO</v>
      </c>
      <c r="F1093" s="133"/>
      <c r="G1093" s="133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60"/>
      <c r="B1094" s="9" t="str">
        <f>IFERROR(__xludf.DUMMYFUNCTION("""COMPUTED_VALUE"""),"ESPIRITU")</f>
        <v>ESPIRITU</v>
      </c>
      <c r="C1094" s="9" t="str">
        <f>IFERROR(__xludf.DUMMYFUNCTION("""COMPUTED_VALUE"""),"ALDRINE")</f>
        <v>ALDRINE</v>
      </c>
      <c r="D1094" s="9"/>
      <c r="E1094" s="9" t="str">
        <f>IFERROR(__xludf.DUMMYFUNCTION("""COMPUTED_VALUE"""),"RINA CASTRO")</f>
        <v>RINA CASTRO</v>
      </c>
      <c r="F1094" s="133"/>
      <c r="G1094" s="133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60"/>
      <c r="B1095" s="9" t="str">
        <f>IFERROR(__xludf.DUMMYFUNCTION("""COMPUTED_VALUE"""),"LARIN ")</f>
        <v>LARIN </v>
      </c>
      <c r="C1095" s="9" t="str">
        <f>IFERROR(__xludf.DUMMYFUNCTION("""COMPUTED_VALUE"""),"FRANCIS WILLIAM")</f>
        <v>FRANCIS WILLIAM</v>
      </c>
      <c r="D1095" s="9"/>
      <c r="E1095" s="9" t="str">
        <f>IFERROR(__xludf.DUMMYFUNCTION("""COMPUTED_VALUE"""),"MARY GRACE LARIN")</f>
        <v>MARY GRACE LARIN</v>
      </c>
      <c r="F1095" s="133"/>
      <c r="G1095" s="133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60"/>
      <c r="B1096" s="9" t="str">
        <f>IFERROR(__xludf.DUMMYFUNCTION("""COMPUTED_VALUE"""),"LARIN")</f>
        <v>LARIN</v>
      </c>
      <c r="C1096" s="9" t="str">
        <f>IFERROR(__xludf.DUMMYFUNCTION("""COMPUTED_VALUE"""),"ZIAN")</f>
        <v>ZIAN</v>
      </c>
      <c r="D1096" s="9"/>
      <c r="E1096" s="9" t="str">
        <f>IFERROR(__xludf.DUMMYFUNCTION("""COMPUTED_VALUE"""),"MARY GRACE LARIN")</f>
        <v>MARY GRACE LARIN</v>
      </c>
      <c r="F1096" s="133"/>
      <c r="G1096" s="133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60"/>
      <c r="B1097" s="9" t="str">
        <f>IFERROR(__xludf.DUMMYFUNCTION("""COMPUTED_VALUE"""),"STO TOMAS ")</f>
        <v>STO TOMAS </v>
      </c>
      <c r="C1097" s="9" t="str">
        <f>IFERROR(__xludf.DUMMYFUNCTION("""COMPUTED_VALUE"""),"LAGINIA")</f>
        <v>LAGINIA</v>
      </c>
      <c r="D1097" s="9"/>
      <c r="E1097" s="9" t="str">
        <f>IFERROR(__xludf.DUMMYFUNCTION("""COMPUTED_VALUE"""),"JOSEFINA STO TOMAS")</f>
        <v>JOSEFINA STO TOMAS</v>
      </c>
      <c r="F1097" s="133"/>
      <c r="G1097" s="133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60"/>
      <c r="B1098" s="9" t="str">
        <f>IFERROR(__xludf.DUMMYFUNCTION("""COMPUTED_VALUE"""),"GONZALES")</f>
        <v>GONZALES</v>
      </c>
      <c r="C1098" s="9" t="str">
        <f>IFERROR(__xludf.DUMMYFUNCTION("""COMPUTED_VALUE"""),"ALZEA")</f>
        <v>ALZEA</v>
      </c>
      <c r="D1098" s="9"/>
      <c r="E1098" s="9" t="str">
        <f>IFERROR(__xludf.DUMMYFUNCTION("""COMPUTED_VALUE"""),"ANTONIO ENRIQUEZ JR.")</f>
        <v>ANTONIO ENRIQUEZ JR.</v>
      </c>
      <c r="F1098" s="133"/>
      <c r="G1098" s="133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60"/>
      <c r="B1099" s="9" t="str">
        <f>IFERROR(__xludf.DUMMYFUNCTION("""COMPUTED_VALUE"""),"ENRIQUEZ")</f>
        <v>ENRIQUEZ</v>
      </c>
      <c r="C1099" s="9" t="str">
        <f>IFERROR(__xludf.DUMMYFUNCTION("""COMPUTED_VALUE"""),"AERIS")</f>
        <v>AERIS</v>
      </c>
      <c r="D1099" s="9"/>
      <c r="E1099" s="9" t="str">
        <f>IFERROR(__xludf.DUMMYFUNCTION("""COMPUTED_VALUE"""),"ANTONIO ENRIQUEZ JR.")</f>
        <v>ANTONIO ENRIQUEZ JR.</v>
      </c>
      <c r="F1099" s="133"/>
      <c r="G1099" s="133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60"/>
      <c r="B1100" s="9" t="str">
        <f>IFERROR(__xludf.DUMMYFUNCTION("""COMPUTED_VALUE"""),"ENRIQUEZ")</f>
        <v>ENRIQUEZ</v>
      </c>
      <c r="C1100" s="9" t="str">
        <f>IFERROR(__xludf.DUMMYFUNCTION("""COMPUTED_VALUE"""),"AERIANE AUDREY")</f>
        <v>AERIANE AUDREY</v>
      </c>
      <c r="D1100" s="9"/>
      <c r="E1100" s="9" t="str">
        <f>IFERROR(__xludf.DUMMYFUNCTION("""COMPUTED_VALUE"""),"ANTONIO ENRIQUEZ JR.")</f>
        <v>ANTONIO ENRIQUEZ JR.</v>
      </c>
      <c r="F1100" s="133"/>
      <c r="G1100" s="133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60"/>
      <c r="B1101" s="9" t="str">
        <f>IFERROR(__xludf.DUMMYFUNCTION("""COMPUTED_VALUE"""),"ORIDO")</f>
        <v>ORIDO</v>
      </c>
      <c r="C1101" s="9" t="str">
        <f>IFERROR(__xludf.DUMMYFUNCTION("""COMPUTED_VALUE"""),"FLORENCE MAE ")</f>
        <v>FLORENCE MAE </v>
      </c>
      <c r="D1101" s="9" t="str">
        <f>IFERROR(__xludf.DUMMYFUNCTION("""COMPUTED_VALUE"""),"G ")</f>
        <v>G </v>
      </c>
      <c r="E1101" s="9" t="str">
        <f>IFERROR(__xludf.DUMMYFUNCTION("""COMPUTED_VALUE"""),"DOLORES D ORIDO")</f>
        <v>DOLORES D ORIDO</v>
      </c>
      <c r="F1101" s="133"/>
      <c r="G1101" s="133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60"/>
      <c r="B1102" s="9" t="str">
        <f>IFERROR(__xludf.DUMMYFUNCTION("""COMPUTED_VALUE"""),"DE GUZMAN")</f>
        <v>DE GUZMAN</v>
      </c>
      <c r="C1102" s="9" t="str">
        <f>IFERROR(__xludf.DUMMYFUNCTION("""COMPUTED_VALUE"""),"MARK JOHN")</f>
        <v>MARK JOHN</v>
      </c>
      <c r="D1102" s="9"/>
      <c r="E1102" s="9" t="str">
        <f>IFERROR(__xludf.DUMMYFUNCTION("""COMPUTED_VALUE"""),"ALBERTO E DE GUZMAN")</f>
        <v>ALBERTO E DE GUZMAN</v>
      </c>
      <c r="F1102" s="133"/>
      <c r="G1102" s="133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60"/>
      <c r="B1103" s="9" t="str">
        <f>IFERROR(__xludf.DUMMYFUNCTION("""COMPUTED_VALUE"""),"DE GUZMAN")</f>
        <v>DE GUZMAN</v>
      </c>
      <c r="C1103" s="9" t="str">
        <f>IFERROR(__xludf.DUMMYFUNCTION("""COMPUTED_VALUE"""),"JOHN JAMES")</f>
        <v>JOHN JAMES</v>
      </c>
      <c r="D1103" s="9"/>
      <c r="E1103" s="9" t="str">
        <f>IFERROR(__xludf.DUMMYFUNCTION("""COMPUTED_VALUE"""),"ALBERTO E DE GUZMAN")</f>
        <v>ALBERTO E DE GUZMAN</v>
      </c>
      <c r="F1103" s="133"/>
      <c r="G1103" s="133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60"/>
      <c r="B1104" s="9" t="str">
        <f>IFERROR(__xludf.DUMMYFUNCTION("""COMPUTED_VALUE"""),"DE GUZMAN")</f>
        <v>DE GUZMAN</v>
      </c>
      <c r="C1104" s="9" t="str">
        <f>IFERROR(__xludf.DUMMYFUNCTION("""COMPUTED_VALUE"""),"ANGEL MAE")</f>
        <v>ANGEL MAE</v>
      </c>
      <c r="D1104" s="9"/>
      <c r="E1104" s="9" t="str">
        <f>IFERROR(__xludf.DUMMYFUNCTION("""COMPUTED_VALUE"""),"ALBERTO E DE GUZMAN")</f>
        <v>ALBERTO E DE GUZMAN</v>
      </c>
      <c r="F1104" s="133"/>
      <c r="G1104" s="133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60"/>
      <c r="B1105" s="9" t="str">
        <f>IFERROR(__xludf.DUMMYFUNCTION("""COMPUTED_VALUE"""),"DE GUZMAN")</f>
        <v>DE GUZMAN</v>
      </c>
      <c r="C1105" s="9" t="str">
        <f>IFERROR(__xludf.DUMMYFUNCTION("""COMPUTED_VALUE"""),"RENATO")</f>
        <v>RENATO</v>
      </c>
      <c r="D1105" s="9"/>
      <c r="E1105" s="9" t="str">
        <f>IFERROR(__xludf.DUMMYFUNCTION("""COMPUTED_VALUE"""),"MARILOU DE GUZMAN")</f>
        <v>MARILOU DE GUZMAN</v>
      </c>
      <c r="F1105" s="133"/>
      <c r="G1105" s="133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60"/>
      <c r="B1106" s="9" t="str">
        <f>IFERROR(__xludf.DUMMYFUNCTION("""COMPUTED_VALUE"""),"EUGENIO")</f>
        <v>EUGENIO</v>
      </c>
      <c r="C1106" s="9" t="str">
        <f>IFERROR(__xludf.DUMMYFUNCTION("""COMPUTED_VALUE"""),"AEVIER KAL-EL")</f>
        <v>AEVIER KAL-EL</v>
      </c>
      <c r="D1106" s="9"/>
      <c r="E1106" s="9" t="str">
        <f>IFERROR(__xludf.DUMMYFUNCTION("""COMPUTED_VALUE"""),"ANTHONY EUGENIO")</f>
        <v>ANTHONY EUGENIO</v>
      </c>
      <c r="F1106" s="133"/>
      <c r="G1106" s="133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60"/>
      <c r="B1107" s="9" t="str">
        <f>IFERROR(__xludf.DUMMYFUNCTION("""COMPUTED_VALUE"""),"ABE")</f>
        <v>ABE</v>
      </c>
      <c r="C1107" s="9" t="str">
        <f>IFERROR(__xludf.DUMMYFUNCTION("""COMPUTED_VALUE"""),"CLEON EZEKIEL")</f>
        <v>CLEON EZEKIEL</v>
      </c>
      <c r="D1107" s="9" t="str">
        <f>IFERROR(__xludf.DUMMYFUNCTION("""COMPUTED_VALUE"""),"C")</f>
        <v>C</v>
      </c>
      <c r="E1107" s="9" t="str">
        <f>IFERROR(__xludf.DUMMYFUNCTION("""COMPUTED_VALUE"""),"RODULF G. ABE")</f>
        <v>RODULF G. ABE</v>
      </c>
      <c r="F1107" s="133"/>
      <c r="G1107" s="133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60"/>
      <c r="B1108" s="9" t="str">
        <f>IFERROR(__xludf.DUMMYFUNCTION("""COMPUTED_VALUE"""),"ABE")</f>
        <v>ABE</v>
      </c>
      <c r="C1108" s="9" t="str">
        <f>IFERROR(__xludf.DUMMYFUNCTION("""COMPUTED_VALUE"""),"YHOUAN ZYRUZ ")</f>
        <v>YHOUAN ZYRUZ </v>
      </c>
      <c r="D1108" s="9" t="str">
        <f>IFERROR(__xludf.DUMMYFUNCTION("""COMPUTED_VALUE"""),"C")</f>
        <v>C</v>
      </c>
      <c r="E1108" s="9" t="str">
        <f>IFERROR(__xludf.DUMMYFUNCTION("""COMPUTED_VALUE"""),"RODULF G. ABE")</f>
        <v>RODULF G. ABE</v>
      </c>
      <c r="F1108" s="133"/>
      <c r="G1108" s="133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60"/>
      <c r="B1109" s="9" t="str">
        <f>IFERROR(__xludf.DUMMYFUNCTION("""COMPUTED_VALUE"""),"PUNZALAN")</f>
        <v>PUNZALAN</v>
      </c>
      <c r="C1109" s="9" t="str">
        <f>IFERROR(__xludf.DUMMYFUNCTION("""COMPUTED_VALUE"""),"PRICESS MREA")</f>
        <v>PRICESS MREA</v>
      </c>
      <c r="D1109" s="9"/>
      <c r="E1109" s="9" t="str">
        <f>IFERROR(__xludf.DUMMYFUNCTION("""COMPUTED_VALUE"""),"SIMON PUNZALAN")</f>
        <v>SIMON PUNZALAN</v>
      </c>
      <c r="F1109" s="133"/>
      <c r="G1109" s="133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60"/>
      <c r="B1110" s="9" t="str">
        <f>IFERROR(__xludf.DUMMYFUNCTION("""COMPUTED_VALUE"""),"PUNZALAN")</f>
        <v>PUNZALAN</v>
      </c>
      <c r="C1110" s="9" t="str">
        <f>IFERROR(__xludf.DUMMYFUNCTION("""COMPUTED_VALUE"""),"MARY ROSE")</f>
        <v>MARY ROSE</v>
      </c>
      <c r="D1110" s="9"/>
      <c r="E1110" s="9" t="str">
        <f>IFERROR(__xludf.DUMMYFUNCTION("""COMPUTED_VALUE"""),"SIMON PUNZALAN")</f>
        <v>SIMON PUNZALAN</v>
      </c>
      <c r="F1110" s="133"/>
      <c r="G1110" s="133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60"/>
      <c r="B1111" s="9" t="str">
        <f>IFERROR(__xludf.DUMMYFUNCTION("""COMPUTED_VALUE"""),"DESDIR")</f>
        <v>DESDIR</v>
      </c>
      <c r="C1111" s="9" t="str">
        <f>IFERROR(__xludf.DUMMYFUNCTION("""COMPUTED_VALUE"""),"PRINE JARED")</f>
        <v>PRINE JARED</v>
      </c>
      <c r="D1111" s="9"/>
      <c r="E1111" s="9" t="str">
        <f>IFERROR(__xludf.DUMMYFUNCTION("""COMPUTED_VALUE"""),"DOMINGO DESDIR")</f>
        <v>DOMINGO DESDIR</v>
      </c>
      <c r="F1111" s="133"/>
      <c r="G1111" s="133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60"/>
      <c r="B1112" s="9" t="str">
        <f>IFERROR(__xludf.DUMMYFUNCTION("""COMPUTED_VALUE"""),"HABITAN")</f>
        <v>HABITAN</v>
      </c>
      <c r="C1112" s="9" t="str">
        <f>IFERROR(__xludf.DUMMYFUNCTION("""COMPUTED_VALUE"""),"CARL JAMES")</f>
        <v>CARL JAMES</v>
      </c>
      <c r="D1112" s="9" t="str">
        <f>IFERROR(__xludf.DUMMYFUNCTION("""COMPUTED_VALUE"""),"D.")</f>
        <v>D.</v>
      </c>
      <c r="E1112" s="9" t="str">
        <f>IFERROR(__xludf.DUMMYFUNCTION("""COMPUTED_VALUE"""),"MARILOU HABITAN")</f>
        <v>MARILOU HABITAN</v>
      </c>
      <c r="F1112" s="133" t="str">
        <f>IFERROR(__xludf.DUMMYFUNCTION("""COMPUTED_VALUE"""),"BRGY. OFFICIALS, THIRD GEN")</f>
        <v>BRGY. OFFICIALS, THIRD GEN</v>
      </c>
      <c r="G1112" s="133"/>
      <c r="H1112" s="9"/>
      <c r="I1112" s="9" t="str">
        <f>IFERROR(__xludf.DUMMYFUNCTION("""COMPUTED_VALUE"""),"ACTIVE")</f>
        <v>ACTIVE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60"/>
      <c r="B1113" s="9" t="str">
        <f>IFERROR(__xludf.DUMMYFUNCTION("""COMPUTED_VALUE"""),"HABITAN")</f>
        <v>HABITAN</v>
      </c>
      <c r="C1113" s="9" t="str">
        <f>IFERROR(__xludf.DUMMYFUNCTION("""COMPUTED_VALUE"""),"KATHRINA MAE")</f>
        <v>KATHRINA MAE</v>
      </c>
      <c r="D1113" s="9" t="str">
        <f>IFERROR(__xludf.DUMMYFUNCTION("""COMPUTED_VALUE"""),"D.")</f>
        <v>D.</v>
      </c>
      <c r="E1113" s="9" t="str">
        <f>IFERROR(__xludf.DUMMYFUNCTION("""COMPUTED_VALUE"""),"MARILOU HABITAN")</f>
        <v>MARILOU HABITAN</v>
      </c>
      <c r="F1113" s="133"/>
      <c r="G1113" s="133"/>
      <c r="H1113" s="9"/>
      <c r="I1113" s="9" t="str">
        <f>IFERROR(__xludf.DUMMYFUNCTION("""COMPUTED_VALUE"""),"ACTIVE")</f>
        <v>ACTIVE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60"/>
      <c r="B1114" s="9" t="str">
        <f>IFERROR(__xludf.DUMMYFUNCTION("""COMPUTED_VALUE"""),"HABITAN")</f>
        <v>HABITAN</v>
      </c>
      <c r="C1114" s="9" t="str">
        <f>IFERROR(__xludf.DUMMYFUNCTION("""COMPUTED_VALUE"""),"JOANA MARIE")</f>
        <v>JOANA MARIE</v>
      </c>
      <c r="D1114" s="9" t="str">
        <f>IFERROR(__xludf.DUMMYFUNCTION("""COMPUTED_VALUE"""),"D.")</f>
        <v>D.</v>
      </c>
      <c r="E1114" s="9" t="str">
        <f>IFERROR(__xludf.DUMMYFUNCTION("""COMPUTED_VALUE"""),"MARILOU HABITAN")</f>
        <v>MARILOU HABITAN</v>
      </c>
      <c r="F1114" s="133"/>
      <c r="G1114" s="133"/>
      <c r="H1114" s="9"/>
      <c r="I1114" s="9" t="str">
        <f>IFERROR(__xludf.DUMMYFUNCTION("""COMPUTED_VALUE"""),"ACTIVE")</f>
        <v>ACTIVE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60"/>
      <c r="B1115" s="9" t="str">
        <f>IFERROR(__xludf.DUMMYFUNCTION("""COMPUTED_VALUE"""),"HABITAN")</f>
        <v>HABITAN</v>
      </c>
      <c r="C1115" s="9" t="str">
        <f>IFERROR(__xludf.DUMMYFUNCTION("""COMPUTED_VALUE"""),"TRISHA ANN")</f>
        <v>TRISHA ANN</v>
      </c>
      <c r="D1115" s="9" t="str">
        <f>IFERROR(__xludf.DUMMYFUNCTION("""COMPUTED_VALUE"""),"D.")</f>
        <v>D.</v>
      </c>
      <c r="E1115" s="9" t="str">
        <f>IFERROR(__xludf.DUMMYFUNCTION("""COMPUTED_VALUE"""),"MARILOU HABITAN")</f>
        <v>MARILOU HABITAN</v>
      </c>
      <c r="F1115" s="133"/>
      <c r="G1115" s="133"/>
      <c r="H1115" s="9"/>
      <c r="I1115" s="9" t="str">
        <f>IFERROR(__xludf.DUMMYFUNCTION("""COMPUTED_VALUE"""),"ACTIVE")</f>
        <v>ACTIVE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60"/>
      <c r="B1116" s="9" t="str">
        <f>IFERROR(__xludf.DUMMYFUNCTION("""COMPUTED_VALUE"""),"BARRAMEDA")</f>
        <v>BARRAMEDA</v>
      </c>
      <c r="C1116" s="9" t="str">
        <f>IFERROR(__xludf.DUMMYFUNCTION("""COMPUTED_VALUE"""),"ROWENA")</f>
        <v>ROWENA</v>
      </c>
      <c r="D1116" s="9"/>
      <c r="E1116" s="9" t="str">
        <f>IFERROR(__xludf.DUMMYFUNCTION("""COMPUTED_VALUE"""),"MARLETA CASTILLO")</f>
        <v>MARLETA CASTILLO</v>
      </c>
      <c r="F1116" s="133"/>
      <c r="G1116" s="133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60"/>
      <c r="B1117" s="9" t="str">
        <f>IFERROR(__xludf.DUMMYFUNCTION("""COMPUTED_VALUE"""),"CALYO")</f>
        <v>CALYO</v>
      </c>
      <c r="C1117" s="9" t="str">
        <f>IFERROR(__xludf.DUMMYFUNCTION("""COMPUTED_VALUE"""),"JANICE")</f>
        <v>JANICE</v>
      </c>
      <c r="D1117" s="9" t="str">
        <f>IFERROR(__xludf.DUMMYFUNCTION("""COMPUTED_VALUE"""),"M")</f>
        <v>M</v>
      </c>
      <c r="E1117" s="9" t="str">
        <f>IFERROR(__xludf.DUMMYFUNCTION("""COMPUTED_VALUE"""),"MARLETA CASTILLO")</f>
        <v>MARLETA CASTILLO</v>
      </c>
      <c r="F1117" s="133"/>
      <c r="G1117" s="133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60"/>
      <c r="B1118" s="9" t="str">
        <f>IFERROR(__xludf.DUMMYFUNCTION("""COMPUTED_VALUE"""),"BONDOC")</f>
        <v>BONDOC</v>
      </c>
      <c r="C1118" s="9" t="str">
        <f>IFERROR(__xludf.DUMMYFUNCTION("""COMPUTED_VALUE"""),"RICH MEI GIFFT")</f>
        <v>RICH MEI GIFFT</v>
      </c>
      <c r="D1118" s="9" t="str">
        <f>IFERROR(__xludf.DUMMYFUNCTION("""COMPUTED_VALUE"""),"P")</f>
        <v>P</v>
      </c>
      <c r="E1118" s="9" t="str">
        <f>IFERROR(__xludf.DUMMYFUNCTION("""COMPUTED_VALUE"""),"JEORGE S BONDOC")</f>
        <v>JEORGE S BONDOC</v>
      </c>
      <c r="F1118" s="133"/>
      <c r="G1118" s="133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60"/>
      <c r="B1119" s="9" t="str">
        <f>IFERROR(__xludf.DUMMYFUNCTION("""COMPUTED_VALUE"""),"BONDOC")</f>
        <v>BONDOC</v>
      </c>
      <c r="C1119" s="9" t="str">
        <f>IFERROR(__xludf.DUMMYFUNCTION("""COMPUTED_VALUE"""),"JEORGER DANIELLE")</f>
        <v>JEORGER DANIELLE</v>
      </c>
      <c r="D1119" s="9" t="str">
        <f>IFERROR(__xludf.DUMMYFUNCTION("""COMPUTED_VALUE"""),"P")</f>
        <v>P</v>
      </c>
      <c r="E1119" s="9" t="str">
        <f>IFERROR(__xludf.DUMMYFUNCTION("""COMPUTED_VALUE"""),"JEORGE S BONDOC")</f>
        <v>JEORGE S BONDOC</v>
      </c>
      <c r="F1119" s="133"/>
      <c r="G1119" s="133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60"/>
      <c r="B1120" s="9" t="str">
        <f>IFERROR(__xludf.DUMMYFUNCTION("""COMPUTED_VALUE"""),"BONDOC")</f>
        <v>BONDOC</v>
      </c>
      <c r="C1120" s="9" t="str">
        <f>IFERROR(__xludf.DUMMYFUNCTION("""COMPUTED_VALUE"""),"JARED JENSEN")</f>
        <v>JARED JENSEN</v>
      </c>
      <c r="D1120" s="9" t="str">
        <f>IFERROR(__xludf.DUMMYFUNCTION("""COMPUTED_VALUE"""),"P")</f>
        <v>P</v>
      </c>
      <c r="E1120" s="9" t="str">
        <f>IFERROR(__xludf.DUMMYFUNCTION("""COMPUTED_VALUE"""),"JEORGE S BONDOC")</f>
        <v>JEORGE S BONDOC</v>
      </c>
      <c r="F1120" s="133"/>
      <c r="G1120" s="133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60"/>
      <c r="B1121" s="9" t="str">
        <f>IFERROR(__xludf.DUMMYFUNCTION("""COMPUTED_VALUE"""),"BONDOC")</f>
        <v>BONDOC</v>
      </c>
      <c r="C1121" s="9" t="str">
        <f>IFERROR(__xludf.DUMMYFUNCTION("""COMPUTED_VALUE"""),"JIAN IRISH")</f>
        <v>JIAN IRISH</v>
      </c>
      <c r="D1121" s="9" t="str">
        <f>IFERROR(__xludf.DUMMYFUNCTION("""COMPUTED_VALUE"""),"P")</f>
        <v>P</v>
      </c>
      <c r="E1121" s="9" t="str">
        <f>IFERROR(__xludf.DUMMYFUNCTION("""COMPUTED_VALUE"""),"JEORGE S BONDOC")</f>
        <v>JEORGE S BONDOC</v>
      </c>
      <c r="F1121" s="133"/>
      <c r="G1121" s="133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60"/>
      <c r="B1122" s="9" t="str">
        <f>IFERROR(__xludf.DUMMYFUNCTION("""COMPUTED_VALUE"""),"BONDOC")</f>
        <v>BONDOC</v>
      </c>
      <c r="C1122" s="9" t="str">
        <f>IFERROR(__xludf.DUMMYFUNCTION("""COMPUTED_VALUE"""),"RICHZELLE BLESS")</f>
        <v>RICHZELLE BLESS</v>
      </c>
      <c r="D1122" s="9" t="str">
        <f>IFERROR(__xludf.DUMMYFUNCTION("""COMPUTED_VALUE"""),"P")</f>
        <v>P</v>
      </c>
      <c r="E1122" s="9" t="str">
        <f>IFERROR(__xludf.DUMMYFUNCTION("""COMPUTED_VALUE"""),"JEORGE S BONDOC")</f>
        <v>JEORGE S BONDOC</v>
      </c>
      <c r="F1122" s="133"/>
      <c r="G1122" s="133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60"/>
      <c r="B1123" s="9" t="str">
        <f>IFERROR(__xludf.DUMMYFUNCTION("""COMPUTED_VALUE"""),"PAMAT")</f>
        <v>PAMAT</v>
      </c>
      <c r="C1123" s="9" t="str">
        <f>IFERROR(__xludf.DUMMYFUNCTION("""COMPUTED_VALUE"""),"RESTY")</f>
        <v>RESTY</v>
      </c>
      <c r="D1123" s="9" t="str">
        <f>IFERROR(__xludf.DUMMYFUNCTION("""COMPUTED_VALUE"""),"D")</f>
        <v>D</v>
      </c>
      <c r="E1123" s="9" t="str">
        <f>IFERROR(__xludf.DUMMYFUNCTION("""COMPUTED_VALUE"""),"ROBERTO PAMAT")</f>
        <v>ROBERTO PAMAT</v>
      </c>
      <c r="F1123" s="133"/>
      <c r="G1123" s="133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60"/>
      <c r="B1124" s="9" t="str">
        <f>IFERROR(__xludf.DUMMYFUNCTION("""COMPUTED_VALUE"""),"PAMAT")</f>
        <v>PAMAT</v>
      </c>
      <c r="C1124" s="9" t="str">
        <f>IFERROR(__xludf.DUMMYFUNCTION("""COMPUTED_VALUE"""),"RICO")</f>
        <v>RICO</v>
      </c>
      <c r="D1124" s="9" t="str">
        <f>IFERROR(__xludf.DUMMYFUNCTION("""COMPUTED_VALUE"""),"D")</f>
        <v>D</v>
      </c>
      <c r="E1124" s="9" t="str">
        <f>IFERROR(__xludf.DUMMYFUNCTION("""COMPUTED_VALUE"""),"ROBERTO PAMAT")</f>
        <v>ROBERTO PAMAT</v>
      </c>
      <c r="F1124" s="133"/>
      <c r="G1124" s="133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60"/>
      <c r="B1125" s="9" t="str">
        <f>IFERROR(__xludf.DUMMYFUNCTION("""COMPUTED_VALUE"""),"PAMAT")</f>
        <v>PAMAT</v>
      </c>
      <c r="C1125" s="9" t="str">
        <f>IFERROR(__xludf.DUMMYFUNCTION("""COMPUTED_VALUE"""),"RICHELLE")</f>
        <v>RICHELLE</v>
      </c>
      <c r="D1125" s="9" t="str">
        <f>IFERROR(__xludf.DUMMYFUNCTION("""COMPUTED_VALUE"""),"D")</f>
        <v>D</v>
      </c>
      <c r="E1125" s="9" t="str">
        <f>IFERROR(__xludf.DUMMYFUNCTION("""COMPUTED_VALUE"""),"ROBERTO PAMAT")</f>
        <v>ROBERTO PAMAT</v>
      </c>
      <c r="F1125" s="133"/>
      <c r="G1125" s="133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60"/>
      <c r="B1126" s="9" t="str">
        <f>IFERROR(__xludf.DUMMYFUNCTION("""COMPUTED_VALUE"""),"PAMAT")</f>
        <v>PAMAT</v>
      </c>
      <c r="C1126" s="9" t="str">
        <f>IFERROR(__xludf.DUMMYFUNCTION("""COMPUTED_VALUE"""),"PAMELL")</f>
        <v>PAMELL</v>
      </c>
      <c r="D1126" s="9" t="str">
        <f>IFERROR(__xludf.DUMMYFUNCTION("""COMPUTED_VALUE"""),"D")</f>
        <v>D</v>
      </c>
      <c r="E1126" s="9" t="str">
        <f>IFERROR(__xludf.DUMMYFUNCTION("""COMPUTED_VALUE"""),"ROBERTO PAMAT")</f>
        <v>ROBERTO PAMAT</v>
      </c>
      <c r="F1126" s="133"/>
      <c r="G1126" s="133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60"/>
      <c r="B1127" s="9" t="str">
        <f>IFERROR(__xludf.DUMMYFUNCTION("""COMPUTED_VALUE"""),"LEONARDO")</f>
        <v>LEONARDO</v>
      </c>
      <c r="C1127" s="9" t="str">
        <f>IFERROR(__xludf.DUMMYFUNCTION("""COMPUTED_VALUE"""),"BLANCA JOY")</f>
        <v>BLANCA JOY</v>
      </c>
      <c r="D1127" s="9" t="str">
        <f>IFERROR(__xludf.DUMMYFUNCTION("""COMPUTED_VALUE"""),"P")</f>
        <v>P</v>
      </c>
      <c r="E1127" s="9" t="str">
        <f>IFERROR(__xludf.DUMMYFUNCTION("""COMPUTED_VALUE"""),"ROSITA D PAMAT")</f>
        <v>ROSITA D PAMAT</v>
      </c>
      <c r="F1127" s="133"/>
      <c r="G1127" s="133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60"/>
      <c r="B1128" s="9" t="str">
        <f>IFERROR(__xludf.DUMMYFUNCTION("""COMPUTED_VALUE"""),"PICORRO")</f>
        <v>PICORRO</v>
      </c>
      <c r="C1128" s="9" t="str">
        <f>IFERROR(__xludf.DUMMYFUNCTION("""COMPUTED_VALUE"""),"ARBIE")</f>
        <v>ARBIE</v>
      </c>
      <c r="D1128" s="9" t="str">
        <f>IFERROR(__xludf.DUMMYFUNCTION("""COMPUTED_VALUE"""),"P")</f>
        <v>P</v>
      </c>
      <c r="E1128" s="9" t="str">
        <f>IFERROR(__xludf.DUMMYFUNCTION("""COMPUTED_VALUE"""),"ARNOLD PICORRO")</f>
        <v>ARNOLD PICORRO</v>
      </c>
      <c r="F1128" s="133"/>
      <c r="G1128" s="133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60"/>
      <c r="B1129" s="9" t="str">
        <f>IFERROR(__xludf.DUMMYFUNCTION("""COMPUTED_VALUE"""),"PICORRO")</f>
        <v>PICORRO</v>
      </c>
      <c r="C1129" s="9" t="str">
        <f>IFERROR(__xludf.DUMMYFUNCTION("""COMPUTED_VALUE"""),"AKIESHA")</f>
        <v>AKIESHA</v>
      </c>
      <c r="D1129" s="9" t="str">
        <f>IFERROR(__xludf.DUMMYFUNCTION("""COMPUTED_VALUE"""),"P")</f>
        <v>P</v>
      </c>
      <c r="E1129" s="9" t="str">
        <f>IFERROR(__xludf.DUMMYFUNCTION("""COMPUTED_VALUE"""),"ARNOLD PICORRO")</f>
        <v>ARNOLD PICORRO</v>
      </c>
      <c r="F1129" s="133"/>
      <c r="G1129" s="133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60"/>
      <c r="B1130" s="9" t="str">
        <f>IFERROR(__xludf.DUMMYFUNCTION("""COMPUTED_VALUE"""),"IJOLEN")</f>
        <v>IJOLEN</v>
      </c>
      <c r="C1130" s="9" t="str">
        <f>IFERROR(__xludf.DUMMYFUNCTION("""COMPUTED_VALUE"""),"ROSALIE")</f>
        <v>ROSALIE</v>
      </c>
      <c r="D1130" s="9" t="str">
        <f>IFERROR(__xludf.DUMMYFUNCTION("""COMPUTED_VALUE"""),"V")</f>
        <v>V</v>
      </c>
      <c r="E1130" s="9" t="str">
        <f>IFERROR(__xludf.DUMMYFUNCTION("""COMPUTED_VALUE"""),"MANUEL Q IJOLEN")</f>
        <v>MANUEL Q IJOLEN</v>
      </c>
      <c r="F1130" s="133"/>
      <c r="G1130" s="133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60"/>
      <c r="B1131" s="9" t="str">
        <f>IFERROR(__xludf.DUMMYFUNCTION("""COMPUTED_VALUE"""),"IJOLEN")</f>
        <v>IJOLEN</v>
      </c>
      <c r="C1131" s="9" t="str">
        <f>IFERROR(__xludf.DUMMYFUNCTION("""COMPUTED_VALUE"""),"RONNEL")</f>
        <v>RONNEL</v>
      </c>
      <c r="D1131" s="9" t="str">
        <f>IFERROR(__xludf.DUMMYFUNCTION("""COMPUTED_VALUE"""),"V")</f>
        <v>V</v>
      </c>
      <c r="E1131" s="9" t="str">
        <f>IFERROR(__xludf.DUMMYFUNCTION("""COMPUTED_VALUE"""),"MANUEL Q IJOLEN")</f>
        <v>MANUEL Q IJOLEN</v>
      </c>
      <c r="F1131" s="133"/>
      <c r="G1131" s="133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60"/>
      <c r="B1132" s="9" t="str">
        <f>IFERROR(__xludf.DUMMYFUNCTION("""COMPUTED_VALUE"""),"SALILICAN")</f>
        <v>SALILICAN</v>
      </c>
      <c r="C1132" s="9" t="str">
        <f>IFERROR(__xludf.DUMMYFUNCTION("""COMPUTED_VALUE"""),"LANCE MATHEW")</f>
        <v>LANCE MATHEW</v>
      </c>
      <c r="D1132" s="9"/>
      <c r="E1132" s="9" t="str">
        <f>IFERROR(__xludf.DUMMYFUNCTION("""COMPUTED_VALUE"""),"JAN FRITZ LICO")</f>
        <v>JAN FRITZ LICO</v>
      </c>
      <c r="F1132" s="133"/>
      <c r="G1132" s="133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60"/>
      <c r="B1133" s="9" t="str">
        <f>IFERROR(__xludf.DUMMYFUNCTION("""COMPUTED_VALUE"""),"FLANDEZ")</f>
        <v>FLANDEZ</v>
      </c>
      <c r="C1133" s="9" t="str">
        <f>IFERROR(__xludf.DUMMYFUNCTION("""COMPUTED_VALUE"""),"STEPHEW ANDREI")</f>
        <v>STEPHEW ANDREI</v>
      </c>
      <c r="D1133" s="9" t="str">
        <f>IFERROR(__xludf.DUMMYFUNCTION("""COMPUTED_VALUE"""),"P")</f>
        <v>P</v>
      </c>
      <c r="E1133" s="9" t="str">
        <f>IFERROR(__xludf.DUMMYFUNCTION("""COMPUTED_VALUE"""),"ELENSIEIN P FLANDEZ")</f>
        <v>ELENSIEIN P FLANDEZ</v>
      </c>
      <c r="F1133" s="133"/>
      <c r="G1133" s="133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60"/>
      <c r="B1134" s="9" t="str">
        <f>IFERROR(__xludf.DUMMYFUNCTION("""COMPUTED_VALUE"""),"PUNZALAN")</f>
        <v>PUNZALAN</v>
      </c>
      <c r="C1134" s="9" t="str">
        <f>IFERROR(__xludf.DUMMYFUNCTION("""COMPUTED_VALUE"""),"GREEN")</f>
        <v>GREEN</v>
      </c>
      <c r="D1134" s="9"/>
      <c r="E1134" s="9" t="str">
        <f>IFERROR(__xludf.DUMMYFUNCTION("""COMPUTED_VALUE"""),"IAN PUNZALAN")</f>
        <v>IAN PUNZALAN</v>
      </c>
      <c r="F1134" s="133"/>
      <c r="G1134" s="133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60"/>
      <c r="B1135" s="9" t="str">
        <f>IFERROR(__xludf.DUMMYFUNCTION("""COMPUTED_VALUE"""),"PUNZALAN")</f>
        <v>PUNZALAN</v>
      </c>
      <c r="C1135" s="9" t="str">
        <f>IFERROR(__xludf.DUMMYFUNCTION("""COMPUTED_VALUE"""),"HERB")</f>
        <v>HERB</v>
      </c>
      <c r="D1135" s="9"/>
      <c r="E1135" s="9" t="str">
        <f>IFERROR(__xludf.DUMMYFUNCTION("""COMPUTED_VALUE"""),"IAN PUNZALAN")</f>
        <v>IAN PUNZALAN</v>
      </c>
      <c r="F1135" s="133"/>
      <c r="G1135" s="133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60"/>
      <c r="B1136" s="9" t="str">
        <f>IFERROR(__xludf.DUMMYFUNCTION("""COMPUTED_VALUE"""),"SANTIAGO ")</f>
        <v>SANTIAGO </v>
      </c>
      <c r="C1136" s="9" t="str">
        <f>IFERROR(__xludf.DUMMYFUNCTION("""COMPUTED_VALUE"""),"RUIZ")</f>
        <v>RUIZ</v>
      </c>
      <c r="D1136" s="9"/>
      <c r="E1136" s="9" t="str">
        <f>IFERROR(__xludf.DUMMYFUNCTION("""COMPUTED_VALUE"""),"LUIS SANTIAGO")</f>
        <v>LUIS SANTIAGO</v>
      </c>
      <c r="F1136" s="133"/>
      <c r="G1136" s="133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60"/>
      <c r="B1137" s="9" t="str">
        <f>IFERROR(__xludf.DUMMYFUNCTION("""COMPUTED_VALUE"""),"SANTIAGO ")</f>
        <v>SANTIAGO </v>
      </c>
      <c r="C1137" s="9" t="str">
        <f>IFERROR(__xludf.DUMMYFUNCTION("""COMPUTED_VALUE"""),"REANA ")</f>
        <v>REANA </v>
      </c>
      <c r="D1137" s="9"/>
      <c r="E1137" s="9" t="str">
        <f>IFERROR(__xludf.DUMMYFUNCTION("""COMPUTED_VALUE"""),"LUIS SANTIAGO")</f>
        <v>LUIS SANTIAGO</v>
      </c>
      <c r="F1137" s="133"/>
      <c r="G1137" s="133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60"/>
      <c r="B1138" s="9" t="str">
        <f>IFERROR(__xludf.DUMMYFUNCTION("""COMPUTED_VALUE"""),"SANTIAGO ")</f>
        <v>SANTIAGO </v>
      </c>
      <c r="C1138" s="9" t="str">
        <f>IFERROR(__xludf.DUMMYFUNCTION("""COMPUTED_VALUE"""),"REYMUZ")</f>
        <v>REYMUZ</v>
      </c>
      <c r="D1138" s="9"/>
      <c r="E1138" s="9" t="str">
        <f>IFERROR(__xludf.DUMMYFUNCTION("""COMPUTED_VALUE"""),"LUIS SANTIAGO")</f>
        <v>LUIS SANTIAGO</v>
      </c>
      <c r="F1138" s="133"/>
      <c r="G1138" s="133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60"/>
      <c r="B1139" s="9" t="str">
        <f>IFERROR(__xludf.DUMMYFUNCTION("""COMPUTED_VALUE"""),"SANTIAGO ")</f>
        <v>SANTIAGO </v>
      </c>
      <c r="C1139" s="9" t="str">
        <f>IFERROR(__xludf.DUMMYFUNCTION("""COMPUTED_VALUE"""),"PRINGEN")</f>
        <v>PRINGEN</v>
      </c>
      <c r="D1139" s="9"/>
      <c r="E1139" s="9" t="str">
        <f>IFERROR(__xludf.DUMMYFUNCTION("""COMPUTED_VALUE"""),"LUIS SANTIAGO")</f>
        <v>LUIS SANTIAGO</v>
      </c>
      <c r="F1139" s="133"/>
      <c r="G1139" s="133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60"/>
      <c r="B1140" s="9" t="str">
        <f>IFERROR(__xludf.DUMMYFUNCTION("""COMPUTED_VALUE"""),"SANTIAGO ")</f>
        <v>SANTIAGO </v>
      </c>
      <c r="C1140" s="9" t="str">
        <f>IFERROR(__xludf.DUMMYFUNCTION("""COMPUTED_VALUE"""),"LANCE")</f>
        <v>LANCE</v>
      </c>
      <c r="D1140" s="9" t="str">
        <f>IFERROR(__xludf.DUMMYFUNCTION("""COMPUTED_VALUE"""),"L")</f>
        <v>L</v>
      </c>
      <c r="E1140" s="9" t="str">
        <f>IFERROR(__xludf.DUMMYFUNCTION("""COMPUTED_VALUE"""),"LAURENCE SANTIAGO")</f>
        <v>LAURENCE SANTIAGO</v>
      </c>
      <c r="F1140" s="133"/>
      <c r="G1140" s="133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60"/>
      <c r="B1141" s="9" t="str">
        <f>IFERROR(__xludf.DUMMYFUNCTION("""COMPUTED_VALUE"""),"SANTIAGO ")</f>
        <v>SANTIAGO </v>
      </c>
      <c r="C1141" s="9" t="str">
        <f>IFERROR(__xludf.DUMMYFUNCTION("""COMPUTED_VALUE"""),"LIAM")</f>
        <v>LIAM</v>
      </c>
      <c r="D1141" s="9" t="str">
        <f>IFERROR(__xludf.DUMMYFUNCTION("""COMPUTED_VALUE"""),"L")</f>
        <v>L</v>
      </c>
      <c r="E1141" s="9" t="str">
        <f>IFERROR(__xludf.DUMMYFUNCTION("""COMPUTED_VALUE"""),"LAURENCE SANTIAGO")</f>
        <v>LAURENCE SANTIAGO</v>
      </c>
      <c r="F1141" s="133"/>
      <c r="G1141" s="133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60"/>
      <c r="B1142" s="9" t="str">
        <f>IFERROR(__xludf.DUMMYFUNCTION("""COMPUTED_VALUE"""),"SANTIAGO ")</f>
        <v>SANTIAGO </v>
      </c>
      <c r="C1142" s="9" t="str">
        <f>IFERROR(__xludf.DUMMYFUNCTION("""COMPUTED_VALUE"""),"ELISHA")</f>
        <v>ELISHA</v>
      </c>
      <c r="D1142" s="9" t="str">
        <f>IFERROR(__xludf.DUMMYFUNCTION("""COMPUTED_VALUE"""),"L")</f>
        <v>L</v>
      </c>
      <c r="E1142" s="9" t="str">
        <f>IFERROR(__xludf.DUMMYFUNCTION("""COMPUTED_VALUE"""),"LAURENCE SANTIAGO")</f>
        <v>LAURENCE SANTIAGO</v>
      </c>
      <c r="F1142" s="133"/>
      <c r="G1142" s="133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60"/>
      <c r="B1143" s="9" t="str">
        <f>IFERROR(__xludf.DUMMYFUNCTION("""COMPUTED_VALUE"""),"VARGAS")</f>
        <v>VARGAS</v>
      </c>
      <c r="C1143" s="9" t="str">
        <f>IFERROR(__xludf.DUMMYFUNCTION("""COMPUTED_VALUE"""),"CAMILLE JOY")</f>
        <v>CAMILLE JOY</v>
      </c>
      <c r="D1143" s="9" t="str">
        <f>IFERROR(__xludf.DUMMYFUNCTION("""COMPUTED_VALUE"""),"P")</f>
        <v>P</v>
      </c>
      <c r="E1143" s="9" t="str">
        <f>IFERROR(__xludf.DUMMYFUNCTION("""COMPUTED_VALUE"""),"CARLITO T VARGAS")</f>
        <v>CARLITO T VARGAS</v>
      </c>
      <c r="F1143" s="133"/>
      <c r="G1143" s="133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60"/>
      <c r="B1144" s="9" t="str">
        <f>IFERROR(__xludf.DUMMYFUNCTION("""COMPUTED_VALUE"""),"VARGAS ")</f>
        <v>VARGAS </v>
      </c>
      <c r="C1144" s="9" t="str">
        <f>IFERROR(__xludf.DUMMYFUNCTION("""COMPUTED_VALUE"""),"CYRUS JAY")</f>
        <v>CYRUS JAY</v>
      </c>
      <c r="D1144" s="9" t="str">
        <f>IFERROR(__xludf.DUMMYFUNCTION("""COMPUTED_VALUE"""),"P")</f>
        <v>P</v>
      </c>
      <c r="E1144" s="9" t="str">
        <f>IFERROR(__xludf.DUMMYFUNCTION("""COMPUTED_VALUE"""),"CARLITO T VARGAS")</f>
        <v>CARLITO T VARGAS</v>
      </c>
      <c r="F1144" s="133"/>
      <c r="G1144" s="133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60"/>
      <c r="B1145" s="9" t="str">
        <f>IFERROR(__xludf.DUMMYFUNCTION("""COMPUTED_VALUE"""),"FLAJO")</f>
        <v>FLAJO</v>
      </c>
      <c r="C1145" s="9" t="str">
        <f>IFERROR(__xludf.DUMMYFUNCTION("""COMPUTED_VALUE"""),"PRINCE ARTHUR")</f>
        <v>PRINCE ARTHUR</v>
      </c>
      <c r="D1145" s="9"/>
      <c r="E1145" s="9" t="str">
        <f>IFERROR(__xludf.DUMMYFUNCTION("""COMPUTED_VALUE"""),"RAYMOND V IJOLEN")</f>
        <v>RAYMOND V IJOLEN</v>
      </c>
      <c r="F1145" s="133"/>
      <c r="G1145" s="133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60"/>
      <c r="B1146" s="9" t="str">
        <f>IFERROR(__xludf.DUMMYFUNCTION("""COMPUTED_VALUE"""),"IJOLEN")</f>
        <v>IJOLEN</v>
      </c>
      <c r="C1146" s="9" t="str">
        <f>IFERROR(__xludf.DUMMYFUNCTION("""COMPUTED_VALUE"""),"SHANIAH")</f>
        <v>SHANIAH</v>
      </c>
      <c r="D1146" s="9"/>
      <c r="E1146" s="9" t="str">
        <f>IFERROR(__xludf.DUMMYFUNCTION("""COMPUTED_VALUE"""),"RAYMOND V IJOLEN")</f>
        <v>RAYMOND V IJOLEN</v>
      </c>
      <c r="F1146" s="133"/>
      <c r="G1146" s="133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60"/>
      <c r="B1147" s="9" t="str">
        <f>IFERROR(__xludf.DUMMYFUNCTION("""COMPUTED_VALUE"""),"RAYTOS ")</f>
        <v>RAYTOS </v>
      </c>
      <c r="C1147" s="9" t="str">
        <f>IFERROR(__xludf.DUMMYFUNCTION("""COMPUTED_VALUE"""),"MA. REGINA")</f>
        <v>MA. REGINA</v>
      </c>
      <c r="D1147" s="9" t="str">
        <f>IFERROR(__xludf.DUMMYFUNCTION("""COMPUTED_VALUE"""),"A")</f>
        <v>A</v>
      </c>
      <c r="E1147" s="9" t="str">
        <f>IFERROR(__xludf.DUMMYFUNCTION("""COMPUTED_VALUE"""),"NOEMI A RAYTOS")</f>
        <v>NOEMI A RAYTOS</v>
      </c>
      <c r="F1147" s="133"/>
      <c r="G1147" s="133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60"/>
      <c r="B1148" s="9" t="str">
        <f>IFERROR(__xludf.DUMMYFUNCTION("""COMPUTED_VALUE"""),"AGOTE")</f>
        <v>AGOTE</v>
      </c>
      <c r="C1148" s="9" t="str">
        <f>IFERROR(__xludf.DUMMYFUNCTION("""COMPUTED_VALUE"""),"MA. ABYGALE")</f>
        <v>MA. ABYGALE</v>
      </c>
      <c r="D1148" s="9"/>
      <c r="E1148" s="9" t="str">
        <f>IFERROR(__xludf.DUMMYFUNCTION("""COMPUTED_VALUE"""),"NOEMI A RAYTOS")</f>
        <v>NOEMI A RAYTOS</v>
      </c>
      <c r="F1148" s="133"/>
      <c r="G1148" s="133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60"/>
      <c r="B1149" s="9" t="str">
        <f>IFERROR(__xludf.DUMMYFUNCTION("""COMPUTED_VALUE"""),"AGOTE")</f>
        <v>AGOTE</v>
      </c>
      <c r="C1149" s="9" t="str">
        <f>IFERROR(__xludf.DUMMYFUNCTION("""COMPUTED_VALUE"""),"ROLANDO VINCENT")</f>
        <v>ROLANDO VINCENT</v>
      </c>
      <c r="D1149" s="9"/>
      <c r="E1149" s="9" t="str">
        <f>IFERROR(__xludf.DUMMYFUNCTION("""COMPUTED_VALUE"""),"NOEMI A RAYTOS")</f>
        <v>NOEMI A RAYTOS</v>
      </c>
      <c r="F1149" s="133"/>
      <c r="G1149" s="133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60"/>
      <c r="B1150" s="9" t="str">
        <f>IFERROR(__xludf.DUMMYFUNCTION("""COMPUTED_VALUE"""),"RAYTOS ")</f>
        <v>RAYTOS </v>
      </c>
      <c r="C1150" s="9" t="str">
        <f>IFERROR(__xludf.DUMMYFUNCTION("""COMPUTED_VALUE"""),"RAYMUND JAMES")</f>
        <v>RAYMUND JAMES</v>
      </c>
      <c r="D1150" s="9" t="str">
        <f>IFERROR(__xludf.DUMMYFUNCTION("""COMPUTED_VALUE"""),"A")</f>
        <v>A</v>
      </c>
      <c r="E1150" s="9" t="str">
        <f>IFERROR(__xludf.DUMMYFUNCTION("""COMPUTED_VALUE"""),"NOEMI A RAYTOS")</f>
        <v>NOEMI A RAYTOS</v>
      </c>
      <c r="F1150" s="133"/>
      <c r="G1150" s="133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60"/>
      <c r="B1151" s="9" t="str">
        <f>IFERROR(__xludf.DUMMYFUNCTION("""COMPUTED_VALUE"""),"RAYTOS ")</f>
        <v>RAYTOS </v>
      </c>
      <c r="C1151" s="9" t="str">
        <f>IFERROR(__xludf.DUMMYFUNCTION("""COMPUTED_VALUE"""),"MA. RUI GABRIELLE")</f>
        <v>MA. RUI GABRIELLE</v>
      </c>
      <c r="D1151" s="9" t="str">
        <f>IFERROR(__xludf.DUMMYFUNCTION("""COMPUTED_VALUE"""),"A")</f>
        <v>A</v>
      </c>
      <c r="E1151" s="9" t="str">
        <f>IFERROR(__xludf.DUMMYFUNCTION("""COMPUTED_VALUE"""),"NOEMI A RAYTOS")</f>
        <v>NOEMI A RAYTOS</v>
      </c>
      <c r="F1151" s="133"/>
      <c r="G1151" s="133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60"/>
      <c r="B1152" s="9" t="str">
        <f>IFERROR(__xludf.DUMMYFUNCTION("""COMPUTED_VALUE"""),"MACABENTA")</f>
        <v>MACABENTA</v>
      </c>
      <c r="C1152" s="9" t="str">
        <f>IFERROR(__xludf.DUMMYFUNCTION("""COMPUTED_VALUE"""),"MARIELLA ROSSELLE")</f>
        <v>MARIELLA ROSSELLE</v>
      </c>
      <c r="D1152" s="9" t="str">
        <f>IFERROR(__xludf.DUMMYFUNCTION("""COMPUTED_VALUE"""),"M")</f>
        <v>M</v>
      </c>
      <c r="E1152" s="9" t="str">
        <f>IFERROR(__xludf.DUMMYFUNCTION("""COMPUTED_VALUE"""),"MARCIANO A MACABENTA JR.")</f>
        <v>MARCIANO A MACABENTA JR.</v>
      </c>
      <c r="F1152" s="133"/>
      <c r="G1152" s="133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60"/>
      <c r="B1153" s="9" t="str">
        <f>IFERROR(__xludf.DUMMYFUNCTION("""COMPUTED_VALUE"""),"MACABENTA")</f>
        <v>MACABENTA</v>
      </c>
      <c r="C1153" s="9" t="str">
        <f>IFERROR(__xludf.DUMMYFUNCTION("""COMPUTED_VALUE"""),"MARC RAMIL")</f>
        <v>MARC RAMIL</v>
      </c>
      <c r="D1153" s="9" t="str">
        <f>IFERROR(__xludf.DUMMYFUNCTION("""COMPUTED_VALUE"""),"M")</f>
        <v>M</v>
      </c>
      <c r="E1153" s="9" t="str">
        <f>IFERROR(__xludf.DUMMYFUNCTION("""COMPUTED_VALUE"""),"MARCIANO A MACABENTA JR.")</f>
        <v>MARCIANO A MACABENTA JR.</v>
      </c>
      <c r="F1153" s="133"/>
      <c r="G1153" s="133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60"/>
      <c r="B1154" s="9" t="str">
        <f>IFERROR(__xludf.DUMMYFUNCTION("""COMPUTED_VALUE"""),"MACABENTA")</f>
        <v>MACABENTA</v>
      </c>
      <c r="C1154" s="9" t="str">
        <f>IFERROR(__xludf.DUMMYFUNCTION("""COMPUTED_VALUE"""),"BRENDALYN")</f>
        <v>BRENDALYN</v>
      </c>
      <c r="D1154" s="9" t="str">
        <f>IFERROR(__xludf.DUMMYFUNCTION("""COMPUTED_VALUE"""),"T")</f>
        <v>T</v>
      </c>
      <c r="E1154" s="9" t="str">
        <f>IFERROR(__xludf.DUMMYFUNCTION("""COMPUTED_VALUE"""),"ALBERTO A MACABENTA")</f>
        <v>ALBERTO A MACABENTA</v>
      </c>
      <c r="F1154" s="133"/>
      <c r="G1154" s="133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60"/>
      <c r="B1155" s="9" t="str">
        <f>IFERROR(__xludf.DUMMYFUNCTION("""COMPUTED_VALUE"""),"MACABENTA")</f>
        <v>MACABENTA</v>
      </c>
      <c r="C1155" s="9" t="str">
        <f>IFERROR(__xludf.DUMMYFUNCTION("""COMPUTED_VALUE"""),"BERNADETH")</f>
        <v>BERNADETH</v>
      </c>
      <c r="D1155" s="9" t="str">
        <f>IFERROR(__xludf.DUMMYFUNCTION("""COMPUTED_VALUE"""),"T")</f>
        <v>T</v>
      </c>
      <c r="E1155" s="9" t="str">
        <f>IFERROR(__xludf.DUMMYFUNCTION("""COMPUTED_VALUE"""),"ALBERTO A MACABENTA")</f>
        <v>ALBERTO A MACABENTA</v>
      </c>
      <c r="F1155" s="133"/>
      <c r="G1155" s="133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60"/>
      <c r="B1156" s="9" t="str">
        <f>IFERROR(__xludf.DUMMYFUNCTION("""COMPUTED_VALUE"""),"MACABENTA")</f>
        <v>MACABENTA</v>
      </c>
      <c r="C1156" s="9" t="str">
        <f>IFERROR(__xludf.DUMMYFUNCTION("""COMPUTED_VALUE"""),"BABYLYN")</f>
        <v>BABYLYN</v>
      </c>
      <c r="D1156" s="9" t="str">
        <f>IFERROR(__xludf.DUMMYFUNCTION("""COMPUTED_VALUE"""),"T")</f>
        <v>T</v>
      </c>
      <c r="E1156" s="9" t="str">
        <f>IFERROR(__xludf.DUMMYFUNCTION("""COMPUTED_VALUE"""),"ALBERTO A MACABENTA")</f>
        <v>ALBERTO A MACABENTA</v>
      </c>
      <c r="F1156" s="133"/>
      <c r="G1156" s="133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60"/>
      <c r="B1157" s="9" t="str">
        <f>IFERROR(__xludf.DUMMYFUNCTION("""COMPUTED_VALUE"""),"SALAMAT")</f>
        <v>SALAMAT</v>
      </c>
      <c r="C1157" s="9" t="str">
        <f>IFERROR(__xludf.DUMMYFUNCTION("""COMPUTED_VALUE"""),"JAYL")</f>
        <v>JAYL</v>
      </c>
      <c r="D1157" s="9"/>
      <c r="E1157" s="9" t="str">
        <f>IFERROR(__xludf.DUMMYFUNCTION("""COMPUTED_VALUE"""),"JOJO SALAMAT")</f>
        <v>JOJO SALAMAT</v>
      </c>
      <c r="F1157" s="133"/>
      <c r="G1157" s="133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60"/>
      <c r="B1158" s="9" t="str">
        <f>IFERROR(__xludf.DUMMYFUNCTION("""COMPUTED_VALUE"""),"DAGAL")</f>
        <v>DAGAL</v>
      </c>
      <c r="C1158" s="9" t="str">
        <f>IFERROR(__xludf.DUMMYFUNCTION("""COMPUTED_VALUE"""),"ARJAY")</f>
        <v>ARJAY</v>
      </c>
      <c r="D1158" s="9" t="str">
        <f>IFERROR(__xludf.DUMMYFUNCTION("""COMPUTED_VALUE"""),"M")</f>
        <v>M</v>
      </c>
      <c r="E1158" s="9" t="str">
        <f>IFERROR(__xludf.DUMMYFUNCTION("""COMPUTED_VALUE"""),"ARTURO M DAGAL")</f>
        <v>ARTURO M DAGAL</v>
      </c>
      <c r="F1158" s="133"/>
      <c r="G1158" s="133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60"/>
      <c r="B1159" s="9" t="str">
        <f>IFERROR(__xludf.DUMMYFUNCTION("""COMPUTED_VALUE"""),"DAGAL")</f>
        <v>DAGAL</v>
      </c>
      <c r="C1159" s="9" t="str">
        <f>IFERROR(__xludf.DUMMYFUNCTION("""COMPUTED_VALUE"""),"ARVIN")</f>
        <v>ARVIN</v>
      </c>
      <c r="D1159" s="9" t="str">
        <f>IFERROR(__xludf.DUMMYFUNCTION("""COMPUTED_VALUE"""),"M")</f>
        <v>M</v>
      </c>
      <c r="E1159" s="9" t="str">
        <f>IFERROR(__xludf.DUMMYFUNCTION("""COMPUTED_VALUE"""),"ARTURO M DAGAL")</f>
        <v>ARTURO M DAGAL</v>
      </c>
      <c r="F1159" s="133"/>
      <c r="G1159" s="133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60"/>
      <c r="B1160" s="9" t="str">
        <f>IFERROR(__xludf.DUMMYFUNCTION("""COMPUTED_VALUE"""),"MAGSILANG")</f>
        <v>MAGSILANG</v>
      </c>
      <c r="C1160" s="9" t="str">
        <f>IFERROR(__xludf.DUMMYFUNCTION("""COMPUTED_VALUE"""),"JENNY LOU")</f>
        <v>JENNY LOU</v>
      </c>
      <c r="D1160" s="9"/>
      <c r="E1160" s="9" t="str">
        <f>IFERROR(__xludf.DUMMYFUNCTION("""COMPUTED_VALUE"""),"ARLIE SALAMAT")</f>
        <v>ARLIE SALAMAT</v>
      </c>
      <c r="F1160" s="133"/>
      <c r="G1160" s="133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60"/>
      <c r="B1161" s="9" t="str">
        <f>IFERROR(__xludf.DUMMYFUNCTION("""COMPUTED_VALUE"""),"SALAMAT")</f>
        <v>SALAMAT</v>
      </c>
      <c r="C1161" s="9" t="str">
        <f>IFERROR(__xludf.DUMMYFUNCTION("""COMPUTED_VALUE"""),"JULIE ANN")</f>
        <v>JULIE ANN</v>
      </c>
      <c r="D1161" s="9"/>
      <c r="E1161" s="9" t="str">
        <f>IFERROR(__xludf.DUMMYFUNCTION("""COMPUTED_VALUE"""),"ARLIE SALAMAT")</f>
        <v>ARLIE SALAMAT</v>
      </c>
      <c r="F1161" s="133"/>
      <c r="G1161" s="133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60"/>
      <c r="B1162" s="9" t="str">
        <f>IFERROR(__xludf.DUMMYFUNCTION("""COMPUTED_VALUE"""),"SALAMAT")</f>
        <v>SALAMAT</v>
      </c>
      <c r="C1162" s="9" t="str">
        <f>IFERROR(__xludf.DUMMYFUNCTION("""COMPUTED_VALUE"""),"JANETH")</f>
        <v>JANETH</v>
      </c>
      <c r="D1162" s="9"/>
      <c r="E1162" s="9" t="str">
        <f>IFERROR(__xludf.DUMMYFUNCTION("""COMPUTED_VALUE"""),"ARLIE SALAMAT")</f>
        <v>ARLIE SALAMAT</v>
      </c>
      <c r="F1162" s="133"/>
      <c r="G1162" s="133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60"/>
      <c r="B1163" s="9" t="str">
        <f>IFERROR(__xludf.DUMMYFUNCTION("""COMPUTED_VALUE"""),"SALAMAT")</f>
        <v>SALAMAT</v>
      </c>
      <c r="C1163" s="9" t="str">
        <f>IFERROR(__xludf.DUMMYFUNCTION("""COMPUTED_VALUE"""),"JOBELLE")</f>
        <v>JOBELLE</v>
      </c>
      <c r="D1163" s="9"/>
      <c r="E1163" s="9" t="str">
        <f>IFERROR(__xludf.DUMMYFUNCTION("""COMPUTED_VALUE"""),"ARLIE SALAMAT")</f>
        <v>ARLIE SALAMAT</v>
      </c>
      <c r="F1163" s="133"/>
      <c r="G1163" s="133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60"/>
      <c r="B1164" s="9" t="str">
        <f>IFERROR(__xludf.DUMMYFUNCTION("""COMPUTED_VALUE"""),"SALAMAT")</f>
        <v>SALAMAT</v>
      </c>
      <c r="C1164" s="9" t="str">
        <f>IFERROR(__xludf.DUMMYFUNCTION("""COMPUTED_VALUE"""),"JOVIC")</f>
        <v>JOVIC</v>
      </c>
      <c r="D1164" s="9"/>
      <c r="E1164" s="9" t="str">
        <f>IFERROR(__xludf.DUMMYFUNCTION("""COMPUTED_VALUE"""),"ARLIE SALAMAT")</f>
        <v>ARLIE SALAMAT</v>
      </c>
      <c r="F1164" s="133"/>
      <c r="G1164" s="133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60"/>
      <c r="B1165" s="9" t="str">
        <f>IFERROR(__xludf.DUMMYFUNCTION("""COMPUTED_VALUE"""),"SALAMAT")</f>
        <v>SALAMAT</v>
      </c>
      <c r="C1165" s="9" t="str">
        <f>IFERROR(__xludf.DUMMYFUNCTION("""COMPUTED_VALUE"""),"JUSTINE")</f>
        <v>JUSTINE</v>
      </c>
      <c r="D1165" s="9"/>
      <c r="E1165" s="9" t="str">
        <f>IFERROR(__xludf.DUMMYFUNCTION("""COMPUTED_VALUE"""),"ARLIE SALAMAT")</f>
        <v>ARLIE SALAMAT</v>
      </c>
      <c r="F1165" s="133"/>
      <c r="G1165" s="133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60"/>
      <c r="B1166" s="9" t="str">
        <f>IFERROR(__xludf.DUMMYFUNCTION("""COMPUTED_VALUE"""),"SALAMAT")</f>
        <v>SALAMAT</v>
      </c>
      <c r="C1166" s="9" t="str">
        <f>IFERROR(__xludf.DUMMYFUNCTION("""COMPUTED_VALUE"""),"JIRO")</f>
        <v>JIRO</v>
      </c>
      <c r="D1166" s="9"/>
      <c r="E1166" s="9" t="str">
        <f>IFERROR(__xludf.DUMMYFUNCTION("""COMPUTED_VALUE"""),"ARLIE SALAMAT")</f>
        <v>ARLIE SALAMAT</v>
      </c>
      <c r="F1166" s="133"/>
      <c r="G1166" s="133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60"/>
      <c r="B1167" s="9" t="str">
        <f>IFERROR(__xludf.DUMMYFUNCTION("""COMPUTED_VALUE"""),"MANDRIZA")</f>
        <v>MANDRIZA</v>
      </c>
      <c r="C1167" s="9" t="str">
        <f>IFERROR(__xludf.DUMMYFUNCTION("""COMPUTED_VALUE"""),"JYOHAN KURT")</f>
        <v>JYOHAN KURT</v>
      </c>
      <c r="D1167" s="9"/>
      <c r="E1167" s="9" t="str">
        <f>IFERROR(__xludf.DUMMYFUNCTION("""COMPUTED_VALUE"""),"JOHN HENDRY MANDRIZA")</f>
        <v>JOHN HENDRY MANDRIZA</v>
      </c>
      <c r="F1167" s="133"/>
      <c r="G1167" s="133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60"/>
      <c r="B1168" s="9" t="str">
        <f>IFERROR(__xludf.DUMMYFUNCTION("""COMPUTED_VALUE"""),"MANDRIZA")</f>
        <v>MANDRIZA</v>
      </c>
      <c r="C1168" s="9" t="str">
        <f>IFERROR(__xludf.DUMMYFUNCTION("""COMPUTED_VALUE"""),"JYUNA SKYE")</f>
        <v>JYUNA SKYE</v>
      </c>
      <c r="D1168" s="9"/>
      <c r="E1168" s="9" t="str">
        <f>IFERROR(__xludf.DUMMYFUNCTION("""COMPUTED_VALUE"""),"JOHN HENDRY MANDRIZA")</f>
        <v>JOHN HENDRY MANDRIZA</v>
      </c>
      <c r="F1168" s="133"/>
      <c r="G1168" s="133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60"/>
      <c r="B1169" s="9" t="str">
        <f>IFERROR(__xludf.DUMMYFUNCTION("""COMPUTED_VALUE"""),"AGAWA")</f>
        <v>AGAWA</v>
      </c>
      <c r="C1169" s="9" t="str">
        <f>IFERROR(__xludf.DUMMYFUNCTION("""COMPUTED_VALUE"""),"JASMINE YHIZINE")</f>
        <v>JASMINE YHIZINE</v>
      </c>
      <c r="D1169" s="9"/>
      <c r="E1169" s="9" t="str">
        <f>IFERROR(__xludf.DUMMYFUNCTION("""COMPUTED_VALUE"""),"JAMAECA D AGAWA")</f>
        <v>JAMAECA D AGAWA</v>
      </c>
      <c r="F1169" s="133"/>
      <c r="G1169" s="133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60"/>
      <c r="B1170" s="9" t="str">
        <f>IFERROR(__xludf.DUMMYFUNCTION("""COMPUTED_VALUE"""),"DOLORICO")</f>
        <v>DOLORICO</v>
      </c>
      <c r="C1170" s="9" t="str">
        <f>IFERROR(__xludf.DUMMYFUNCTION("""COMPUTED_VALUE"""),"JOSHUA")</f>
        <v>JOSHUA</v>
      </c>
      <c r="D1170" s="9"/>
      <c r="E1170" s="9" t="str">
        <f>IFERROR(__xludf.DUMMYFUNCTION("""COMPUTED_VALUE"""),"JOVY A PORTON")</f>
        <v>JOVY A PORTON</v>
      </c>
      <c r="F1170" s="133"/>
      <c r="G1170" s="133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60"/>
      <c r="B1171" s="9" t="str">
        <f>IFERROR(__xludf.DUMMYFUNCTION("""COMPUTED_VALUE"""),"DOLORICO")</f>
        <v>DOLORICO</v>
      </c>
      <c r="C1171" s="9" t="str">
        <f>IFERROR(__xludf.DUMMYFUNCTION("""COMPUTED_VALUE"""),"JASPHER")</f>
        <v>JASPHER</v>
      </c>
      <c r="D1171" s="9"/>
      <c r="E1171" s="9" t="str">
        <f>IFERROR(__xludf.DUMMYFUNCTION("""COMPUTED_VALUE"""),"JOVY A PORTON")</f>
        <v>JOVY A PORTON</v>
      </c>
      <c r="F1171" s="133"/>
      <c r="G1171" s="133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60"/>
      <c r="B1172" s="9" t="str">
        <f>IFERROR(__xludf.DUMMYFUNCTION("""COMPUTED_VALUE"""),"PORTON")</f>
        <v>PORTON</v>
      </c>
      <c r="C1172" s="9" t="str">
        <f>IFERROR(__xludf.DUMMYFUNCTION("""COMPUTED_VALUE"""),"JEA MARCIELO")</f>
        <v>JEA MARCIELO</v>
      </c>
      <c r="D1172" s="9"/>
      <c r="E1172" s="9" t="str">
        <f>IFERROR(__xludf.DUMMYFUNCTION("""COMPUTED_VALUE"""),"JOVY A PORTON")</f>
        <v>JOVY A PORTON</v>
      </c>
      <c r="F1172" s="133"/>
      <c r="G1172" s="133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60"/>
      <c r="B1173" s="9" t="str">
        <f>IFERROR(__xludf.DUMMYFUNCTION("""COMPUTED_VALUE"""),"PORTON")</f>
        <v>PORTON</v>
      </c>
      <c r="C1173" s="9" t="str">
        <f>IFERROR(__xludf.DUMMYFUNCTION("""COMPUTED_VALUE"""),"JIYAN CARL")</f>
        <v>JIYAN CARL</v>
      </c>
      <c r="D1173" s="9"/>
      <c r="E1173" s="9" t="str">
        <f>IFERROR(__xludf.DUMMYFUNCTION("""COMPUTED_VALUE"""),"JOVY A PORTON")</f>
        <v>JOVY A PORTON</v>
      </c>
      <c r="F1173" s="133"/>
      <c r="G1173" s="133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60"/>
      <c r="B1174" s="9" t="str">
        <f>IFERROR(__xludf.DUMMYFUNCTION("""COMPUTED_VALUE"""),"AGAWA")</f>
        <v>AGAWA</v>
      </c>
      <c r="C1174" s="9" t="str">
        <f>IFERROR(__xludf.DUMMYFUNCTION("""COMPUTED_VALUE"""),"JHACOB")</f>
        <v>JHACOB</v>
      </c>
      <c r="D1174" s="9"/>
      <c r="E1174" s="9" t="str">
        <f>IFERROR(__xludf.DUMMYFUNCTION("""COMPUTED_VALUE"""),"JOVY A PORTON")</f>
        <v>JOVY A PORTON</v>
      </c>
      <c r="F1174" s="133"/>
      <c r="G1174" s="133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60"/>
      <c r="B1175" s="9" t="str">
        <f>IFERROR(__xludf.DUMMYFUNCTION("""COMPUTED_VALUE"""),"GUTIERREZ")</f>
        <v>GUTIERREZ</v>
      </c>
      <c r="C1175" s="9" t="str">
        <f>IFERROR(__xludf.DUMMYFUNCTION("""COMPUTED_VALUE"""),"JOHN MATTHEW")</f>
        <v>JOHN MATTHEW</v>
      </c>
      <c r="D1175" s="9"/>
      <c r="E1175" s="9" t="str">
        <f>IFERROR(__xludf.DUMMYFUNCTION("""COMPUTED_VALUE"""),"DAISY GUTIERREZ")</f>
        <v>DAISY GUTIERREZ</v>
      </c>
      <c r="F1175" s="133"/>
      <c r="G1175" s="133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60"/>
      <c r="B1176" s="9" t="str">
        <f>IFERROR(__xludf.DUMMYFUNCTION("""COMPUTED_VALUE"""),"GUTIERREZ")</f>
        <v>GUTIERREZ</v>
      </c>
      <c r="C1176" s="9" t="str">
        <f>IFERROR(__xludf.DUMMYFUNCTION("""COMPUTED_VALUE"""),"JULLIE KEI")</f>
        <v>JULLIE KEI</v>
      </c>
      <c r="D1176" s="9"/>
      <c r="E1176" s="9" t="str">
        <f>IFERROR(__xludf.DUMMYFUNCTION("""COMPUTED_VALUE"""),"DAISY GUTIERREZ")</f>
        <v>DAISY GUTIERREZ</v>
      </c>
      <c r="F1176" s="133"/>
      <c r="G1176" s="133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60"/>
      <c r="B1177" s="9" t="str">
        <f>IFERROR(__xludf.DUMMYFUNCTION("""COMPUTED_VALUE"""),"GUTIERREZ")</f>
        <v>GUTIERREZ</v>
      </c>
      <c r="C1177" s="9" t="str">
        <f>IFERROR(__xludf.DUMMYFUNCTION("""COMPUTED_VALUE"""),"JOHN ERICK")</f>
        <v>JOHN ERICK</v>
      </c>
      <c r="D1177" s="9"/>
      <c r="E1177" s="9" t="str">
        <f>IFERROR(__xludf.DUMMYFUNCTION("""COMPUTED_VALUE"""),"DAISY GUTIERREZ")</f>
        <v>DAISY GUTIERREZ</v>
      </c>
      <c r="F1177" s="133"/>
      <c r="G1177" s="133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60"/>
      <c r="B1178" s="9" t="str">
        <f>IFERROR(__xludf.DUMMYFUNCTION("""COMPUTED_VALUE"""),"AGUANTA")</f>
        <v>AGUANTA</v>
      </c>
      <c r="C1178" s="9" t="str">
        <f>IFERROR(__xludf.DUMMYFUNCTION("""COMPUTED_VALUE"""),"SARAH")</f>
        <v>SARAH</v>
      </c>
      <c r="D1178" s="9" t="str">
        <f>IFERROR(__xludf.DUMMYFUNCTION("""COMPUTED_VALUE"""),"G")</f>
        <v>G</v>
      </c>
      <c r="E1178" s="9" t="str">
        <f>IFERROR(__xludf.DUMMYFUNCTION("""COMPUTED_VALUE"""),"RENATO AGUANTA")</f>
        <v>RENATO AGUANTA</v>
      </c>
      <c r="F1178" s="133"/>
      <c r="G1178" s="133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60"/>
      <c r="B1179" s="9" t="str">
        <f>IFERROR(__xludf.DUMMYFUNCTION("""COMPUTED_VALUE"""),"ACOSTA")</f>
        <v>ACOSTA</v>
      </c>
      <c r="C1179" s="9" t="str">
        <f>IFERROR(__xludf.DUMMYFUNCTION("""COMPUTED_VALUE"""),"ALTHEA DHENLLE")</f>
        <v>ALTHEA DHENLLE</v>
      </c>
      <c r="D1179" s="9"/>
      <c r="E1179" s="9" t="str">
        <f>IFERROR(__xludf.DUMMYFUNCTION("""COMPUTED_VALUE"""),"RYAN INDICIO")</f>
        <v>RYAN INDICIO</v>
      </c>
      <c r="F1179" s="133"/>
      <c r="G1179" s="133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60"/>
      <c r="B1180" s="9" t="str">
        <f>IFERROR(__xludf.DUMMYFUNCTION("""COMPUTED_VALUE"""),"INDICIO")</f>
        <v>INDICIO</v>
      </c>
      <c r="C1180" s="9" t="str">
        <f>IFERROR(__xludf.DUMMYFUNCTION("""COMPUTED_VALUE"""),"FIONNA GRAY")</f>
        <v>FIONNA GRAY</v>
      </c>
      <c r="D1180" s="9"/>
      <c r="E1180" s="9" t="str">
        <f>IFERROR(__xludf.DUMMYFUNCTION("""COMPUTED_VALUE"""),"RYAN INDICIO")</f>
        <v>RYAN INDICIO</v>
      </c>
      <c r="F1180" s="133"/>
      <c r="G1180" s="133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60"/>
      <c r="B1181" s="9" t="str">
        <f>IFERROR(__xludf.DUMMYFUNCTION("""COMPUTED_VALUE"""),"ACOSTA ")</f>
        <v>ACOSTA </v>
      </c>
      <c r="C1181" s="9" t="str">
        <f>IFERROR(__xludf.DUMMYFUNCTION("""COMPUTED_VALUE"""),"ASHIRA VENICE")</f>
        <v>ASHIRA VENICE</v>
      </c>
      <c r="D1181" s="9"/>
      <c r="E1181" s="9" t="str">
        <f>IFERROR(__xludf.DUMMYFUNCTION("""COMPUTED_VALUE"""),"RONALDO AMARO")</f>
        <v>RONALDO AMARO</v>
      </c>
      <c r="F1181" s="133"/>
      <c r="G1181" s="133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60"/>
      <c r="B1182" s="9" t="str">
        <f>IFERROR(__xludf.DUMMYFUNCTION("""COMPUTED_VALUE"""),"AMARO")</f>
        <v>AMARO</v>
      </c>
      <c r="C1182" s="9" t="str">
        <f>IFERROR(__xludf.DUMMYFUNCTION("""COMPUTED_VALUE"""),"WINTER SAMANTHA")</f>
        <v>WINTER SAMANTHA</v>
      </c>
      <c r="D1182" s="9"/>
      <c r="E1182" s="9" t="str">
        <f>IFERROR(__xludf.DUMMYFUNCTION("""COMPUTED_VALUE"""),"RONALDO AMARO")</f>
        <v>RONALDO AMARO</v>
      </c>
      <c r="F1182" s="133"/>
      <c r="G1182" s="133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60"/>
      <c r="B1183" s="9" t="str">
        <f>IFERROR(__xludf.DUMMYFUNCTION("""COMPUTED_VALUE"""),"ACOSTA")</f>
        <v>ACOSTA</v>
      </c>
      <c r="C1183" s="9" t="str">
        <f>IFERROR(__xludf.DUMMYFUNCTION("""COMPUTED_VALUE"""),"PAUL JOHN")</f>
        <v>PAUL JOHN</v>
      </c>
      <c r="D1183" s="9"/>
      <c r="E1183" s="9" t="str">
        <f>IFERROR(__xludf.DUMMYFUNCTION("""COMPUTED_VALUE"""),"FRANKTONIE ACOSTA")</f>
        <v>FRANKTONIE ACOSTA</v>
      </c>
      <c r="F1183" s="133"/>
      <c r="G1183" s="133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60"/>
      <c r="B1184" s="9" t="str">
        <f>IFERROR(__xludf.DUMMYFUNCTION("""COMPUTED_VALUE"""),"ACOSTA")</f>
        <v>ACOSTA</v>
      </c>
      <c r="C1184" s="9" t="str">
        <f>IFERROR(__xludf.DUMMYFUNCTION("""COMPUTED_VALUE"""),"FAOLA MAE ACOSTA")</f>
        <v>FAOLA MAE ACOSTA</v>
      </c>
      <c r="D1184" s="9"/>
      <c r="E1184" s="9" t="str">
        <f>IFERROR(__xludf.DUMMYFUNCTION("""COMPUTED_VALUE"""),"FRANKTONIE ACOSTA")</f>
        <v>FRANKTONIE ACOSTA</v>
      </c>
      <c r="F1184" s="133"/>
      <c r="G1184" s="133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60"/>
      <c r="B1185" s="9" t="str">
        <f>IFERROR(__xludf.DUMMYFUNCTION("""COMPUTED_VALUE"""),"IGAO")</f>
        <v>IGAO</v>
      </c>
      <c r="C1185" s="9" t="str">
        <f>IFERROR(__xludf.DUMMYFUNCTION("""COMPUTED_VALUE"""),"SHEENA PATRISHA")</f>
        <v>SHEENA PATRISHA</v>
      </c>
      <c r="D1185" s="9"/>
      <c r="E1185" s="9" t="str">
        <f>IFERROR(__xludf.DUMMYFUNCTION("""COMPUTED_VALUE"""),"FERNANDO IGAO")</f>
        <v>FERNANDO IGAO</v>
      </c>
      <c r="F1185" s="133"/>
      <c r="G1185" s="133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60"/>
      <c r="B1186" s="9" t="str">
        <f>IFERROR(__xludf.DUMMYFUNCTION("""COMPUTED_VALUE"""),"IGAO")</f>
        <v>IGAO</v>
      </c>
      <c r="C1186" s="9" t="str">
        <f>IFERROR(__xludf.DUMMYFUNCTION("""COMPUTED_VALUE"""),"RALLY")</f>
        <v>RALLY</v>
      </c>
      <c r="D1186" s="9"/>
      <c r="E1186" s="9" t="str">
        <f>IFERROR(__xludf.DUMMYFUNCTION("""COMPUTED_VALUE"""),"ROLLY IGAO")</f>
        <v>ROLLY IGAO</v>
      </c>
      <c r="F1186" s="133"/>
      <c r="G1186" s="133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60"/>
      <c r="B1187" s="9" t="str">
        <f>IFERROR(__xludf.DUMMYFUNCTION("""COMPUTED_VALUE"""),"IGAO")</f>
        <v>IGAO</v>
      </c>
      <c r="C1187" s="9" t="str">
        <f>IFERROR(__xludf.DUMMYFUNCTION("""COMPUTED_VALUE"""),"RILLY")</f>
        <v>RILLY</v>
      </c>
      <c r="D1187" s="9"/>
      <c r="E1187" s="9" t="str">
        <f>IFERROR(__xludf.DUMMYFUNCTION("""COMPUTED_VALUE"""),"ROLLY IGAO")</f>
        <v>ROLLY IGAO</v>
      </c>
      <c r="F1187" s="133"/>
      <c r="G1187" s="133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60"/>
      <c r="B1188" s="9" t="str">
        <f>IFERROR(__xludf.DUMMYFUNCTION("""COMPUTED_VALUE"""),"BACAR")</f>
        <v>BACAR</v>
      </c>
      <c r="C1188" s="9" t="str">
        <f>IFERROR(__xludf.DUMMYFUNCTION("""COMPUTED_VALUE"""),"JHENCE JARICA")</f>
        <v>JHENCE JARICA</v>
      </c>
      <c r="D1188" s="9" t="str">
        <f>IFERROR(__xludf.DUMMYFUNCTION("""COMPUTED_VALUE"""),"R")</f>
        <v>R</v>
      </c>
      <c r="E1188" s="9" t="str">
        <f>IFERROR(__xludf.DUMMYFUNCTION("""COMPUTED_VALUE"""),"JOHN CHESTER B RILLO")</f>
        <v>JOHN CHESTER B RILLO</v>
      </c>
      <c r="F1188" s="133"/>
      <c r="G1188" s="133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60"/>
      <c r="B1189" s="9" t="str">
        <f>IFERROR(__xludf.DUMMYFUNCTION("""COMPUTED_VALUE"""),"RECOSANA")</f>
        <v>RECOSANA</v>
      </c>
      <c r="C1189" s="9" t="str">
        <f>IFERROR(__xludf.DUMMYFUNCTION("""COMPUTED_VALUE"""),"DEVANNE ")</f>
        <v>DEVANNE </v>
      </c>
      <c r="D1189" s="9" t="str">
        <f>IFERROR(__xludf.DUMMYFUNCTION("""COMPUTED_VALUE"""),"R")</f>
        <v>R</v>
      </c>
      <c r="E1189" s="9" t="str">
        <f>IFERROR(__xludf.DUMMYFUNCTION("""COMPUTED_VALUE"""),"JOHN CHESTER B RILLO")</f>
        <v>JOHN CHESTER B RILLO</v>
      </c>
      <c r="F1189" s="133"/>
      <c r="G1189" s="133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60"/>
      <c r="B1190" s="9" t="str">
        <f>IFERROR(__xludf.DUMMYFUNCTION("""COMPUTED_VALUE"""),"ZABALA")</f>
        <v>ZABALA</v>
      </c>
      <c r="C1190" s="9" t="str">
        <f>IFERROR(__xludf.DUMMYFUNCTION("""COMPUTED_VALUE"""),"KIETH")</f>
        <v>KIETH</v>
      </c>
      <c r="D1190" s="9"/>
      <c r="E1190" s="9" t="str">
        <f>IFERROR(__xludf.DUMMYFUNCTION("""COMPUTED_VALUE"""),"FERNANDO HITOSIS")</f>
        <v>FERNANDO HITOSIS</v>
      </c>
      <c r="F1190" s="133"/>
      <c r="G1190" s="133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60"/>
      <c r="B1191" s="9" t="str">
        <f>IFERROR(__xludf.DUMMYFUNCTION("""COMPUTED_VALUE"""),"ZABALA")</f>
        <v>ZABALA</v>
      </c>
      <c r="C1191" s="9" t="str">
        <f>IFERROR(__xludf.DUMMYFUNCTION("""COMPUTED_VALUE"""),"KYLE JOHN")</f>
        <v>KYLE JOHN</v>
      </c>
      <c r="D1191" s="9"/>
      <c r="E1191" s="9" t="str">
        <f>IFERROR(__xludf.DUMMYFUNCTION("""COMPUTED_VALUE"""),"FERNANDO HITOSIS")</f>
        <v>FERNANDO HITOSIS</v>
      </c>
      <c r="F1191" s="133"/>
      <c r="G1191" s="133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60"/>
      <c r="B1192" s="9" t="str">
        <f>IFERROR(__xludf.DUMMYFUNCTION("""COMPUTED_VALUE"""),"ZABALA")</f>
        <v>ZABALA</v>
      </c>
      <c r="C1192" s="9" t="str">
        <f>IFERROR(__xludf.DUMMYFUNCTION("""COMPUTED_VALUE"""),"ROWEL")</f>
        <v>ROWEL</v>
      </c>
      <c r="D1192" s="9"/>
      <c r="E1192" s="9" t="str">
        <f>IFERROR(__xludf.DUMMYFUNCTION("""COMPUTED_VALUE"""),"RAFFY ZABALA")</f>
        <v>RAFFY ZABALA</v>
      </c>
      <c r="F1192" s="133"/>
      <c r="G1192" s="133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60"/>
      <c r="B1193" s="9" t="str">
        <f>IFERROR(__xludf.DUMMYFUNCTION("""COMPUTED_VALUE"""),"ZABALA")</f>
        <v>ZABALA</v>
      </c>
      <c r="C1193" s="9" t="str">
        <f>IFERROR(__xludf.DUMMYFUNCTION("""COMPUTED_VALUE"""),"SHAIRA MAY")</f>
        <v>SHAIRA MAY</v>
      </c>
      <c r="D1193" s="9"/>
      <c r="E1193" s="9" t="str">
        <f>IFERROR(__xludf.DUMMYFUNCTION("""COMPUTED_VALUE"""),"RAFFY ZABALA")</f>
        <v>RAFFY ZABALA</v>
      </c>
      <c r="F1193" s="133"/>
      <c r="G1193" s="133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60"/>
      <c r="B1194" s="9" t="str">
        <f>IFERROR(__xludf.DUMMYFUNCTION("""COMPUTED_VALUE"""),"ZABALA")</f>
        <v>ZABALA</v>
      </c>
      <c r="C1194" s="9" t="str">
        <f>IFERROR(__xludf.DUMMYFUNCTION("""COMPUTED_VALUE"""),"LYISA")</f>
        <v>LYISA</v>
      </c>
      <c r="D1194" s="9"/>
      <c r="E1194" s="9" t="str">
        <f>IFERROR(__xludf.DUMMYFUNCTION("""COMPUTED_VALUE"""),"RAFFY ZABALA")</f>
        <v>RAFFY ZABALA</v>
      </c>
      <c r="F1194" s="133"/>
      <c r="G1194" s="133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60"/>
      <c r="B1195" s="9" t="str">
        <f>IFERROR(__xludf.DUMMYFUNCTION("""COMPUTED_VALUE"""),"ZABALA")</f>
        <v>ZABALA</v>
      </c>
      <c r="C1195" s="9" t="str">
        <f>IFERROR(__xludf.DUMMYFUNCTION("""COMPUTED_VALUE"""),"AIRA")</f>
        <v>AIRA</v>
      </c>
      <c r="D1195" s="9"/>
      <c r="E1195" s="9" t="str">
        <f>IFERROR(__xludf.DUMMYFUNCTION("""COMPUTED_VALUE"""),"RAFFY ZABALA")</f>
        <v>RAFFY ZABALA</v>
      </c>
      <c r="F1195" s="133"/>
      <c r="G1195" s="133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60"/>
      <c r="B1196" s="9" t="str">
        <f>IFERROR(__xludf.DUMMYFUNCTION("""COMPUTED_VALUE"""),"TABIRARA")</f>
        <v>TABIRARA</v>
      </c>
      <c r="C1196" s="9" t="str">
        <f>IFERROR(__xludf.DUMMYFUNCTION("""COMPUTED_VALUE"""),"PATRICK")</f>
        <v>PATRICK</v>
      </c>
      <c r="D1196" s="9"/>
      <c r="E1196" s="9" t="str">
        <f>IFERROR(__xludf.DUMMYFUNCTION("""COMPUTED_VALUE"""),"MELCHOR TABIRARA")</f>
        <v>MELCHOR TABIRARA</v>
      </c>
      <c r="F1196" s="133"/>
      <c r="G1196" s="133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60"/>
      <c r="B1197" s="9" t="str">
        <f>IFERROR(__xludf.DUMMYFUNCTION("""COMPUTED_VALUE"""),"TABIRARA")</f>
        <v>TABIRARA</v>
      </c>
      <c r="C1197" s="9" t="str">
        <f>IFERROR(__xludf.DUMMYFUNCTION("""COMPUTED_VALUE"""),"MARVIN")</f>
        <v>MARVIN</v>
      </c>
      <c r="D1197" s="9"/>
      <c r="E1197" s="9" t="str">
        <f>IFERROR(__xludf.DUMMYFUNCTION("""COMPUTED_VALUE"""),"MELCHOR TABIRARA")</f>
        <v>MELCHOR TABIRARA</v>
      </c>
      <c r="F1197" s="133"/>
      <c r="G1197" s="133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60"/>
      <c r="B1198" s="9" t="str">
        <f>IFERROR(__xludf.DUMMYFUNCTION("""COMPUTED_VALUE"""),"ZABALA")</f>
        <v>ZABALA</v>
      </c>
      <c r="C1198" s="9" t="str">
        <f>IFERROR(__xludf.DUMMYFUNCTION("""COMPUTED_VALUE"""),"SHANE ANGELO")</f>
        <v>SHANE ANGELO</v>
      </c>
      <c r="D1198" s="9"/>
      <c r="E1198" s="9" t="str">
        <f>IFERROR(__xludf.DUMMYFUNCTION("""COMPUTED_VALUE"""),"RASHEL L TABIRARA")</f>
        <v>RASHEL L TABIRARA</v>
      </c>
      <c r="F1198" s="133"/>
      <c r="G1198" s="133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60"/>
      <c r="B1199" s="9" t="str">
        <f>IFERROR(__xludf.DUMMYFUNCTION("""COMPUTED_VALUE"""),"ZABALA")</f>
        <v>ZABALA</v>
      </c>
      <c r="C1199" s="9" t="str">
        <f>IFERROR(__xludf.DUMMYFUNCTION("""COMPUTED_VALUE"""),"RAIN")</f>
        <v>RAIN</v>
      </c>
      <c r="D1199" s="9"/>
      <c r="E1199" s="9" t="str">
        <f>IFERROR(__xludf.DUMMYFUNCTION("""COMPUTED_VALUE"""),"RASHEL L TABIRARA")</f>
        <v>RASHEL L TABIRARA</v>
      </c>
      <c r="F1199" s="133"/>
      <c r="G1199" s="133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60"/>
      <c r="B1200" s="9" t="str">
        <f>IFERROR(__xludf.DUMMYFUNCTION("""COMPUTED_VALUE"""),"ZABALA")</f>
        <v>ZABALA</v>
      </c>
      <c r="C1200" s="9" t="str">
        <f>IFERROR(__xludf.DUMMYFUNCTION("""COMPUTED_VALUE"""),"SHINE IRISH")</f>
        <v>SHINE IRISH</v>
      </c>
      <c r="D1200" s="9"/>
      <c r="E1200" s="9" t="str">
        <f>IFERROR(__xludf.DUMMYFUNCTION("""COMPUTED_VALUE"""),"RASHEL L TABIRARA")</f>
        <v>RASHEL L TABIRARA</v>
      </c>
      <c r="F1200" s="133"/>
      <c r="G1200" s="133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60"/>
      <c r="B1201" s="9" t="str">
        <f>IFERROR(__xludf.DUMMYFUNCTION("""COMPUTED_VALUE"""),"ZABALA")</f>
        <v>ZABALA</v>
      </c>
      <c r="C1201" s="9" t="str">
        <f>IFERROR(__xludf.DUMMYFUNCTION("""COMPUTED_VALUE"""),"JANETH")</f>
        <v>JANETH</v>
      </c>
      <c r="D1201" s="9"/>
      <c r="E1201" s="9" t="str">
        <f>IFERROR(__xludf.DUMMYFUNCTION("""COMPUTED_VALUE"""),"RASHEL L TABIRARA")</f>
        <v>RASHEL L TABIRARA</v>
      </c>
      <c r="F1201" s="133"/>
      <c r="G1201" s="133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60"/>
      <c r="B1202" s="9" t="str">
        <f>IFERROR(__xludf.DUMMYFUNCTION("""COMPUTED_VALUE"""),"TABIRARA")</f>
        <v>TABIRARA</v>
      </c>
      <c r="C1202" s="9" t="str">
        <f>IFERROR(__xludf.DUMMYFUNCTION("""COMPUTED_VALUE"""),"JASPER")</f>
        <v>JASPER</v>
      </c>
      <c r="D1202" s="9"/>
      <c r="E1202" s="9" t="str">
        <f>IFERROR(__xludf.DUMMYFUNCTION("""COMPUTED_VALUE"""),"CALIVER ARMAS")</f>
        <v>CALIVER ARMAS</v>
      </c>
      <c r="F1202" s="133"/>
      <c r="G1202" s="133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60"/>
      <c r="B1203" s="9" t="str">
        <f>IFERROR(__xludf.DUMMYFUNCTION("""COMPUTED_VALUE"""),"GROSPE")</f>
        <v>GROSPE</v>
      </c>
      <c r="C1203" s="9" t="str">
        <f>IFERROR(__xludf.DUMMYFUNCTION("""COMPUTED_VALUE"""),"ROLIN HOPI")</f>
        <v>ROLIN HOPI</v>
      </c>
      <c r="D1203" s="9"/>
      <c r="E1203" s="9" t="str">
        <f>IFERROR(__xludf.DUMMYFUNCTION("""COMPUTED_VALUE"""),"RONEL GROSPE")</f>
        <v>RONEL GROSPE</v>
      </c>
      <c r="F1203" s="133"/>
      <c r="G1203" s="133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60"/>
      <c r="B1204" s="9" t="str">
        <f>IFERROR(__xludf.DUMMYFUNCTION("""COMPUTED_VALUE"""),"TABIRARA")</f>
        <v>TABIRARA</v>
      </c>
      <c r="C1204" s="9" t="str">
        <f>IFERROR(__xludf.DUMMYFUNCTION("""COMPUTED_VALUE"""),"JOHN JEFFERSON")</f>
        <v>JOHN JEFFERSON</v>
      </c>
      <c r="D1204" s="9"/>
      <c r="E1204" s="9" t="str">
        <f>IFERROR(__xludf.DUMMYFUNCTION("""COMPUTED_VALUE"""),"MEL JOHN Z TABIRARA")</f>
        <v>MEL JOHN Z TABIRARA</v>
      </c>
      <c r="F1204" s="133"/>
      <c r="G1204" s="133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60"/>
      <c r="B1205" s="9" t="str">
        <f>IFERROR(__xludf.DUMMYFUNCTION("""COMPUTED_VALUE"""),"TABIRARA")</f>
        <v>TABIRARA</v>
      </c>
      <c r="C1205" s="9" t="str">
        <f>IFERROR(__xludf.DUMMYFUNCTION("""COMPUTED_VALUE"""),"JORGINA")</f>
        <v>JORGINA</v>
      </c>
      <c r="D1205" s="9"/>
      <c r="E1205" s="9" t="str">
        <f>IFERROR(__xludf.DUMMYFUNCTION("""COMPUTED_VALUE"""),"MEL JOHN Z TABIRARA")</f>
        <v>MEL JOHN Z TABIRARA</v>
      </c>
      <c r="F1205" s="133"/>
      <c r="G1205" s="133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60"/>
      <c r="B1206" s="9" t="str">
        <f>IFERROR(__xludf.DUMMYFUNCTION("""COMPUTED_VALUE"""),"ZABALA")</f>
        <v>ZABALA</v>
      </c>
      <c r="C1206" s="9" t="str">
        <f>IFERROR(__xludf.DUMMYFUNCTION("""COMPUTED_VALUE"""),"CHARLIE")</f>
        <v>CHARLIE</v>
      </c>
      <c r="D1206" s="9"/>
      <c r="E1206" s="9" t="str">
        <f>IFERROR(__xludf.DUMMYFUNCTION("""COMPUTED_VALUE"""),"REYNALD ZABALA")</f>
        <v>REYNALD ZABALA</v>
      </c>
      <c r="F1206" s="133"/>
      <c r="G1206" s="133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60"/>
      <c r="B1207" s="9" t="str">
        <f>IFERROR(__xludf.DUMMYFUNCTION("""COMPUTED_VALUE"""),"ZABALA")</f>
        <v>ZABALA</v>
      </c>
      <c r="C1207" s="9" t="str">
        <f>IFERROR(__xludf.DUMMYFUNCTION("""COMPUTED_VALUE"""),"CHRISTINE JOY")</f>
        <v>CHRISTINE JOY</v>
      </c>
      <c r="D1207" s="9"/>
      <c r="E1207" s="9" t="str">
        <f>IFERROR(__xludf.DUMMYFUNCTION("""COMPUTED_VALUE"""),"REYNALD ZABALA")</f>
        <v>REYNALD ZABALA</v>
      </c>
      <c r="F1207" s="133"/>
      <c r="G1207" s="133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60"/>
      <c r="B1208" s="9" t="str">
        <f>IFERROR(__xludf.DUMMYFUNCTION("""COMPUTED_VALUE"""),"ZABALA")</f>
        <v>ZABALA</v>
      </c>
      <c r="C1208" s="9" t="str">
        <f>IFERROR(__xludf.DUMMYFUNCTION("""COMPUTED_VALUE"""),"ANNE MARISTEL")</f>
        <v>ANNE MARISTEL</v>
      </c>
      <c r="D1208" s="9"/>
      <c r="E1208" s="9" t="str">
        <f>IFERROR(__xludf.DUMMYFUNCTION("""COMPUTED_VALUE"""),"REYNALD ZABALA")</f>
        <v>REYNALD ZABALA</v>
      </c>
      <c r="F1208" s="133"/>
      <c r="G1208" s="133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60"/>
      <c r="B1209" s="9" t="str">
        <f>IFERROR(__xludf.DUMMYFUNCTION("""COMPUTED_VALUE"""),"ZABALA")</f>
        <v>ZABALA</v>
      </c>
      <c r="C1209" s="9" t="str">
        <f>IFERROR(__xludf.DUMMYFUNCTION("""COMPUTED_VALUE"""),"ARRIANE ROSE")</f>
        <v>ARRIANE ROSE</v>
      </c>
      <c r="D1209" s="9"/>
      <c r="E1209" s="9" t="str">
        <f>IFERROR(__xludf.DUMMYFUNCTION("""COMPUTED_VALUE"""),"REYNALD ZABALA")</f>
        <v>REYNALD ZABALA</v>
      </c>
      <c r="F1209" s="133"/>
      <c r="G1209" s="133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60"/>
      <c r="B1210" s="9" t="str">
        <f>IFERROR(__xludf.DUMMYFUNCTION("""COMPUTED_VALUE"""),"ZABALA")</f>
        <v>ZABALA</v>
      </c>
      <c r="C1210" s="9" t="str">
        <f>IFERROR(__xludf.DUMMYFUNCTION("""COMPUTED_VALUE"""),"JUSTINE IROS")</f>
        <v>JUSTINE IROS</v>
      </c>
      <c r="D1210" s="9"/>
      <c r="E1210" s="9" t="str">
        <f>IFERROR(__xludf.DUMMYFUNCTION("""COMPUTED_VALUE"""),"REYNALD ZABALA")</f>
        <v>REYNALD ZABALA</v>
      </c>
      <c r="F1210" s="133"/>
      <c r="G1210" s="133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60"/>
      <c r="B1211" s="9" t="str">
        <f>IFERROR(__xludf.DUMMYFUNCTION("""COMPUTED_VALUE"""),"ZABALA")</f>
        <v>ZABALA</v>
      </c>
      <c r="C1211" s="9" t="str">
        <f>IFERROR(__xludf.DUMMYFUNCTION("""COMPUTED_VALUE"""),"JHON MARK")</f>
        <v>JHON MARK</v>
      </c>
      <c r="D1211" s="9"/>
      <c r="E1211" s="9" t="str">
        <f>IFERROR(__xludf.DUMMYFUNCTION("""COMPUTED_VALUE"""),"REYNALD ZABALA")</f>
        <v>REYNALD ZABALA</v>
      </c>
      <c r="F1211" s="133"/>
      <c r="G1211" s="133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60"/>
      <c r="B1212" s="9" t="str">
        <f>IFERROR(__xludf.DUMMYFUNCTION("""COMPUTED_VALUE"""),"ZABALA")</f>
        <v>ZABALA</v>
      </c>
      <c r="C1212" s="9" t="str">
        <f>IFERROR(__xludf.DUMMYFUNCTION("""COMPUTED_VALUE"""),"RHEALYN")</f>
        <v>RHEALYN</v>
      </c>
      <c r="D1212" s="9"/>
      <c r="E1212" s="9" t="str">
        <f>IFERROR(__xludf.DUMMYFUNCTION("""COMPUTED_VALUE"""),"REYNALD ZABALA")</f>
        <v>REYNALD ZABALA</v>
      </c>
      <c r="F1212" s="133"/>
      <c r="G1212" s="133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60"/>
      <c r="B1213" s="9" t="str">
        <f>IFERROR(__xludf.DUMMYFUNCTION("""COMPUTED_VALUE"""),"ZABALA")</f>
        <v>ZABALA</v>
      </c>
      <c r="C1213" s="9" t="str">
        <f>IFERROR(__xludf.DUMMYFUNCTION("""COMPUTED_VALUE"""),"CHRIS")</f>
        <v>CHRIS</v>
      </c>
      <c r="D1213" s="9"/>
      <c r="E1213" s="9" t="str">
        <f>IFERROR(__xludf.DUMMYFUNCTION("""COMPUTED_VALUE"""),"REYNALD ZABALA")</f>
        <v>REYNALD ZABALA</v>
      </c>
      <c r="F1213" s="133"/>
      <c r="G1213" s="133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60"/>
      <c r="B1214" s="9" t="str">
        <f>IFERROR(__xludf.DUMMYFUNCTION("""COMPUTED_VALUE"""),"ZABALA")</f>
        <v>ZABALA</v>
      </c>
      <c r="C1214" s="9" t="str">
        <f>IFERROR(__xludf.DUMMYFUNCTION("""COMPUTED_VALUE"""),"ARICLLE DEEN")</f>
        <v>ARICLLE DEEN</v>
      </c>
      <c r="D1214" s="9"/>
      <c r="E1214" s="9" t="str">
        <f>IFERROR(__xludf.DUMMYFUNCTION("""COMPUTED_VALUE"""),"REYNALD ZABALA")</f>
        <v>REYNALD ZABALA</v>
      </c>
      <c r="F1214" s="133"/>
      <c r="G1214" s="133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60"/>
      <c r="B1215" s="9" t="str">
        <f>IFERROR(__xludf.DUMMYFUNCTION("""COMPUTED_VALUE"""),"MIRASOL ")</f>
        <v>MIRASOL </v>
      </c>
      <c r="C1215" s="9" t="str">
        <f>IFERROR(__xludf.DUMMYFUNCTION("""COMPUTED_VALUE"""),"LESTER")</f>
        <v>LESTER</v>
      </c>
      <c r="D1215" s="9"/>
      <c r="E1215" s="9" t="str">
        <f>IFERROR(__xludf.DUMMYFUNCTION("""COMPUTED_VALUE"""),"RODRIGO ZABALA")</f>
        <v>RODRIGO ZABALA</v>
      </c>
      <c r="F1215" s="133"/>
      <c r="G1215" s="133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60"/>
      <c r="B1216" s="9" t="str">
        <f>IFERROR(__xludf.DUMMYFUNCTION("""COMPUTED_VALUE"""),"SANTOS")</f>
        <v>SANTOS</v>
      </c>
      <c r="C1216" s="9" t="str">
        <f>IFERROR(__xludf.DUMMYFUNCTION("""COMPUTED_VALUE"""),"MARK ANDREW")</f>
        <v>MARK ANDREW</v>
      </c>
      <c r="D1216" s="9"/>
      <c r="E1216" s="9" t="str">
        <f>IFERROR(__xludf.DUMMYFUNCTION("""COMPUTED_VALUE"""),"ALBERT SANTOS")</f>
        <v>ALBERT SANTOS</v>
      </c>
      <c r="F1216" s="133"/>
      <c r="G1216" s="133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60"/>
      <c r="B1217" s="9" t="str">
        <f>IFERROR(__xludf.DUMMYFUNCTION("""COMPUTED_VALUE"""),"SANTOS")</f>
        <v>SANTOS</v>
      </c>
      <c r="C1217" s="9" t="str">
        <f>IFERROR(__xludf.DUMMYFUNCTION("""COMPUTED_VALUE"""),"MJ")</f>
        <v>MJ</v>
      </c>
      <c r="D1217" s="9"/>
      <c r="E1217" s="9" t="str">
        <f>IFERROR(__xludf.DUMMYFUNCTION("""COMPUTED_VALUE"""),"ALBERT SANTOS")</f>
        <v>ALBERT SANTOS</v>
      </c>
      <c r="F1217" s="133"/>
      <c r="G1217" s="133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60"/>
      <c r="B1218" s="9" t="str">
        <f>IFERROR(__xludf.DUMMYFUNCTION("""COMPUTED_VALUE"""),"AMANCIO")</f>
        <v>AMANCIO</v>
      </c>
      <c r="C1218" s="9" t="str">
        <f>IFERROR(__xludf.DUMMYFUNCTION("""COMPUTED_VALUE"""),"PRECIOUS ANNE")</f>
        <v>PRECIOUS ANNE</v>
      </c>
      <c r="D1218" s="9" t="str">
        <f>IFERROR(__xludf.DUMMYFUNCTION("""COMPUTED_VALUE"""),"C")</f>
        <v>C</v>
      </c>
      <c r="E1218" s="9" t="str">
        <f>IFERROR(__xludf.DUMMYFUNCTION("""COMPUTED_VALUE"""),"JESSIE C AMANCIO")</f>
        <v>JESSIE C AMANCIO</v>
      </c>
      <c r="F1218" s="133"/>
      <c r="G1218" s="133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60"/>
      <c r="B1219" s="9" t="str">
        <f>IFERROR(__xludf.DUMMYFUNCTION("""COMPUTED_VALUE"""),"AMANCIO")</f>
        <v>AMANCIO</v>
      </c>
      <c r="C1219" s="9" t="str">
        <f>IFERROR(__xludf.DUMMYFUNCTION("""COMPUTED_VALUE"""),"HANNA MAE")</f>
        <v>HANNA MAE</v>
      </c>
      <c r="D1219" s="9" t="str">
        <f>IFERROR(__xludf.DUMMYFUNCTION("""COMPUTED_VALUE"""),"C")</f>
        <v>C</v>
      </c>
      <c r="E1219" s="9" t="str">
        <f>IFERROR(__xludf.DUMMYFUNCTION("""COMPUTED_VALUE"""),"JESSIE C AMANCIO")</f>
        <v>JESSIE C AMANCIO</v>
      </c>
      <c r="F1219" s="133"/>
      <c r="G1219" s="133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60"/>
      <c r="B1220" s="9" t="str">
        <f>IFERROR(__xludf.DUMMYFUNCTION("""COMPUTED_VALUE"""),"CUARTIZ")</f>
        <v>CUARTIZ</v>
      </c>
      <c r="C1220" s="9" t="str">
        <f>IFERROR(__xludf.DUMMYFUNCTION("""COMPUTED_VALUE"""),"JULIE")</f>
        <v>JULIE</v>
      </c>
      <c r="D1220" s="9" t="str">
        <f>IFERROR(__xludf.DUMMYFUNCTION("""COMPUTED_VALUE"""),"F")</f>
        <v>F</v>
      </c>
      <c r="E1220" s="9" t="str">
        <f>IFERROR(__xludf.DUMMYFUNCTION("""COMPUTED_VALUE"""),"VIRGINIA F CUARTIZ")</f>
        <v>VIRGINIA F CUARTIZ</v>
      </c>
      <c r="F1220" s="133"/>
      <c r="G1220" s="133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60"/>
      <c r="B1221" s="9" t="str">
        <f>IFERROR(__xludf.DUMMYFUNCTION("""COMPUTED_VALUE"""),"MACARAEG")</f>
        <v>MACARAEG</v>
      </c>
      <c r="C1221" s="9" t="str">
        <f>IFERROR(__xludf.DUMMYFUNCTION("""COMPUTED_VALUE"""),"SAM ANDREI")</f>
        <v>SAM ANDREI</v>
      </c>
      <c r="D1221" s="9"/>
      <c r="E1221" s="9" t="str">
        <f>IFERROR(__xludf.DUMMYFUNCTION("""COMPUTED_VALUE"""),"SAMUEL MACARAEG")</f>
        <v>SAMUEL MACARAEG</v>
      </c>
      <c r="F1221" s="133"/>
      <c r="G1221" s="133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60"/>
      <c r="B1222" s="9" t="str">
        <f>IFERROR(__xludf.DUMMYFUNCTION("""COMPUTED_VALUE"""),"MACARAEG")</f>
        <v>MACARAEG</v>
      </c>
      <c r="C1222" s="9" t="str">
        <f>IFERROR(__xludf.DUMMYFUNCTION("""COMPUTED_VALUE"""),"SAM JARED")</f>
        <v>SAM JARED</v>
      </c>
      <c r="D1222" s="9"/>
      <c r="E1222" s="9" t="str">
        <f>IFERROR(__xludf.DUMMYFUNCTION("""COMPUTED_VALUE"""),"SAMUEL MACARAEG")</f>
        <v>SAMUEL MACARAEG</v>
      </c>
      <c r="F1222" s="133"/>
      <c r="G1222" s="133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60"/>
      <c r="B1223" s="9" t="str">
        <f>IFERROR(__xludf.DUMMYFUNCTION("""COMPUTED_VALUE"""),"MACARAEG")</f>
        <v>MACARAEG</v>
      </c>
      <c r="C1223" s="9" t="str">
        <f>IFERROR(__xludf.DUMMYFUNCTION("""COMPUTED_VALUE"""),"SAM MIEL")</f>
        <v>SAM MIEL</v>
      </c>
      <c r="D1223" s="9"/>
      <c r="E1223" s="9" t="str">
        <f>IFERROR(__xludf.DUMMYFUNCTION("""COMPUTED_VALUE"""),"SAMUEL MACARAEG")</f>
        <v>SAMUEL MACARAEG</v>
      </c>
      <c r="F1223" s="133"/>
      <c r="G1223" s="133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60"/>
      <c r="B1224" s="9" t="str">
        <f>IFERROR(__xludf.DUMMYFUNCTION("""COMPUTED_VALUE"""),"MACARAEG")</f>
        <v>MACARAEG</v>
      </c>
      <c r="C1224" s="9" t="str">
        <f>IFERROR(__xludf.DUMMYFUNCTION("""COMPUTED_VALUE"""),"SAM EYYNA")</f>
        <v>SAM EYYNA</v>
      </c>
      <c r="D1224" s="9"/>
      <c r="E1224" s="9" t="str">
        <f>IFERROR(__xludf.DUMMYFUNCTION("""COMPUTED_VALUE"""),"SAMUEL MACARAEG")</f>
        <v>SAMUEL MACARAEG</v>
      </c>
      <c r="F1224" s="133"/>
      <c r="G1224" s="133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60"/>
      <c r="B1225" s="9" t="str">
        <f>IFERROR(__xludf.DUMMYFUNCTION("""COMPUTED_VALUE"""),"DAVID")</f>
        <v>DAVID</v>
      </c>
      <c r="C1225" s="9" t="str">
        <f>IFERROR(__xludf.DUMMYFUNCTION("""COMPUTED_VALUE"""),"ARZEL JOHN")</f>
        <v>ARZEL JOHN</v>
      </c>
      <c r="D1225" s="9"/>
      <c r="E1225" s="9" t="str">
        <f>IFERROR(__xludf.DUMMYFUNCTION("""COMPUTED_VALUE"""),"ARNULFO DAVID")</f>
        <v>ARNULFO DAVID</v>
      </c>
      <c r="F1225" s="133"/>
      <c r="G1225" s="133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60"/>
      <c r="B1226" s="9" t="str">
        <f>IFERROR(__xludf.DUMMYFUNCTION("""COMPUTED_VALUE"""),"DAVID")</f>
        <v>DAVID</v>
      </c>
      <c r="C1226" s="9" t="str">
        <f>IFERROR(__xludf.DUMMYFUNCTION("""COMPUTED_VALUE"""),"ALTHEA JOY")</f>
        <v>ALTHEA JOY</v>
      </c>
      <c r="D1226" s="9"/>
      <c r="E1226" s="9" t="str">
        <f>IFERROR(__xludf.DUMMYFUNCTION("""COMPUTED_VALUE"""),"ARNULFO DAVID")</f>
        <v>ARNULFO DAVID</v>
      </c>
      <c r="F1226" s="133"/>
      <c r="G1226" s="133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60"/>
      <c r="B1227" s="9" t="str">
        <f>IFERROR(__xludf.DUMMYFUNCTION("""COMPUTED_VALUE"""),"DIHAYCO")</f>
        <v>DIHAYCO</v>
      </c>
      <c r="C1227" s="9" t="str">
        <f>IFERROR(__xludf.DUMMYFUNCTION("""COMPUTED_VALUE"""),"DHEXIE KATE")</f>
        <v>DHEXIE KATE</v>
      </c>
      <c r="D1227" s="9" t="str">
        <f>IFERROR(__xludf.DUMMYFUNCTION("""COMPUTED_VALUE"""),"T")</f>
        <v>T</v>
      </c>
      <c r="E1227" s="9" t="str">
        <f>IFERROR(__xludf.DUMMYFUNCTION("""COMPUTED_VALUE"""),"DEXTER D DIHAYCO")</f>
        <v>DEXTER D DIHAYCO</v>
      </c>
      <c r="F1227" s="133"/>
      <c r="G1227" s="133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60"/>
      <c r="B1228" s="9" t="str">
        <f>IFERROR(__xludf.DUMMYFUNCTION("""COMPUTED_VALUE"""),"DIHAYCO")</f>
        <v>DIHAYCO</v>
      </c>
      <c r="C1228" s="9" t="str">
        <f>IFERROR(__xludf.DUMMYFUNCTION("""COMPUTED_VALUE"""),"REGENT MAY")</f>
        <v>REGENT MAY</v>
      </c>
      <c r="D1228" s="9" t="str">
        <f>IFERROR(__xludf.DUMMYFUNCTION("""COMPUTED_VALUE"""),"T")</f>
        <v>T</v>
      </c>
      <c r="E1228" s="9" t="str">
        <f>IFERROR(__xludf.DUMMYFUNCTION("""COMPUTED_VALUE"""),"DEXTER D DIHAYCO")</f>
        <v>DEXTER D DIHAYCO</v>
      </c>
      <c r="F1228" s="133"/>
      <c r="G1228" s="133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60"/>
      <c r="B1229" s="9" t="str">
        <f>IFERROR(__xludf.DUMMYFUNCTION("""COMPUTED_VALUE"""),"DIHAYCO")</f>
        <v>DIHAYCO</v>
      </c>
      <c r="C1229" s="9" t="str">
        <f>IFERROR(__xludf.DUMMYFUNCTION("""COMPUTED_VALUE"""),"BLACY DANE ")</f>
        <v>BLACY DANE </v>
      </c>
      <c r="D1229" s="9" t="str">
        <f>IFERROR(__xludf.DUMMYFUNCTION("""COMPUTED_VALUE"""),"T")</f>
        <v>T</v>
      </c>
      <c r="E1229" s="9" t="str">
        <f>IFERROR(__xludf.DUMMYFUNCTION("""COMPUTED_VALUE"""),"DEXTER D DIHAYCO")</f>
        <v>DEXTER D DIHAYCO</v>
      </c>
      <c r="F1229" s="133"/>
      <c r="G1229" s="133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60"/>
      <c r="B1230" s="9" t="str">
        <f>IFERROR(__xludf.DUMMYFUNCTION("""COMPUTED_VALUE"""),"LONTOC")</f>
        <v>LONTOC</v>
      </c>
      <c r="C1230" s="9" t="str">
        <f>IFERROR(__xludf.DUMMYFUNCTION("""COMPUTED_VALUE"""),"EVERJOHN BERNARD")</f>
        <v>EVERJOHN BERNARD</v>
      </c>
      <c r="D1230" s="9" t="str">
        <f>IFERROR(__xludf.DUMMYFUNCTION("""COMPUTED_VALUE"""),"B")</f>
        <v>B</v>
      </c>
      <c r="E1230" s="9" t="str">
        <f>IFERROR(__xludf.DUMMYFUNCTION("""COMPUTED_VALUE"""),"BERNARDO N. LONTOC")</f>
        <v>BERNARDO N. LONTOC</v>
      </c>
      <c r="F1230" s="133"/>
      <c r="G1230" s="133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60"/>
      <c r="B1231" s="9" t="str">
        <f>IFERROR(__xludf.DUMMYFUNCTION("""COMPUTED_VALUE"""),"HERNANDEZ")</f>
        <v>HERNANDEZ</v>
      </c>
      <c r="C1231" s="9" t="str">
        <f>IFERROR(__xludf.DUMMYFUNCTION("""COMPUTED_VALUE"""),"AKIO JOSIAH")</f>
        <v>AKIO JOSIAH</v>
      </c>
      <c r="D1231" s="9" t="str">
        <f>IFERROR(__xludf.DUMMYFUNCTION("""COMPUTED_VALUE"""),"F")</f>
        <v>F</v>
      </c>
      <c r="E1231" s="9" t="str">
        <f>IFERROR(__xludf.DUMMYFUNCTION("""COMPUTED_VALUE"""),"JEFFERSON G HERNANDEZ")</f>
        <v>JEFFERSON G HERNANDEZ</v>
      </c>
      <c r="F1231" s="133"/>
      <c r="G1231" s="133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60"/>
      <c r="B1232" s="9" t="str">
        <f>IFERROR(__xludf.DUMMYFUNCTION("""COMPUTED_VALUE"""),"HERNANDEZ")</f>
        <v>HERNANDEZ</v>
      </c>
      <c r="C1232" s="9" t="str">
        <f>IFERROR(__xludf.DUMMYFUNCTION("""COMPUTED_VALUE"""),"NABI MAYUMI")</f>
        <v>NABI MAYUMI</v>
      </c>
      <c r="D1232" s="9" t="str">
        <f>IFERROR(__xludf.DUMMYFUNCTION("""COMPUTED_VALUE"""),"F")</f>
        <v>F</v>
      </c>
      <c r="E1232" s="9" t="str">
        <f>IFERROR(__xludf.DUMMYFUNCTION("""COMPUTED_VALUE"""),"JEFFERSON G HERNANDEZ")</f>
        <v>JEFFERSON G HERNANDEZ</v>
      </c>
      <c r="F1232" s="133"/>
      <c r="G1232" s="133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60"/>
      <c r="B1233" s="9" t="str">
        <f>IFERROR(__xludf.DUMMYFUNCTION("""COMPUTED_VALUE"""),"AGUILAR")</f>
        <v>AGUILAR</v>
      </c>
      <c r="C1233" s="9" t="str">
        <f>IFERROR(__xludf.DUMMYFUNCTION("""COMPUTED_VALUE"""),"AERIELLE JAINE")</f>
        <v>AERIELLE JAINE</v>
      </c>
      <c r="D1233" s="9" t="str">
        <f>IFERROR(__xludf.DUMMYFUNCTION("""COMPUTED_VALUE"""),"L")</f>
        <v>L</v>
      </c>
      <c r="E1233" s="9" t="str">
        <f>IFERROR(__xludf.DUMMYFUNCTION("""COMPUTED_VALUE"""),"EUGENIA L AGUILAR")</f>
        <v>EUGENIA L AGUILAR</v>
      </c>
      <c r="F1233" s="133"/>
      <c r="G1233" s="133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60"/>
      <c r="B1234" s="9" t="str">
        <f>IFERROR(__xludf.DUMMYFUNCTION("""COMPUTED_VALUE"""),"AGUILAR")</f>
        <v>AGUILAR</v>
      </c>
      <c r="C1234" s="9" t="str">
        <f>IFERROR(__xludf.DUMMYFUNCTION("""COMPUTED_VALUE"""),"ALEZANDRA GIEN")</f>
        <v>ALEZANDRA GIEN</v>
      </c>
      <c r="D1234" s="9" t="str">
        <f>IFERROR(__xludf.DUMMYFUNCTION("""COMPUTED_VALUE"""),"L")</f>
        <v>L</v>
      </c>
      <c r="E1234" s="9" t="str">
        <f>IFERROR(__xludf.DUMMYFUNCTION("""COMPUTED_VALUE"""),"EUGENIA L AGUILAR")</f>
        <v>EUGENIA L AGUILAR</v>
      </c>
      <c r="F1234" s="133"/>
      <c r="G1234" s="133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60"/>
      <c r="B1235" s="9" t="str">
        <f>IFERROR(__xludf.DUMMYFUNCTION("""COMPUTED_VALUE"""),"GUTIERREZ")</f>
        <v>GUTIERREZ</v>
      </c>
      <c r="C1235" s="9" t="str">
        <f>IFERROR(__xludf.DUMMYFUNCTION("""COMPUTED_VALUE"""),"LIAM CEDRICK")</f>
        <v>LIAM CEDRICK</v>
      </c>
      <c r="D1235" s="9"/>
      <c r="E1235" s="9" t="str">
        <f>IFERROR(__xludf.DUMMYFUNCTION("""COMPUTED_VALUE"""),"JOHN ALDRIN GUTIERREZ")</f>
        <v>JOHN ALDRIN GUTIERREZ</v>
      </c>
      <c r="F1235" s="133"/>
      <c r="G1235" s="133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60"/>
      <c r="B1236" s="9" t="str">
        <f>IFERROR(__xludf.DUMMYFUNCTION("""COMPUTED_VALUE"""),"CORNELIO")</f>
        <v>CORNELIO</v>
      </c>
      <c r="C1236" s="9" t="str">
        <f>IFERROR(__xludf.DUMMYFUNCTION("""COMPUTED_VALUE"""),"LIRNA")</f>
        <v>LIRNA</v>
      </c>
      <c r="D1236" s="9"/>
      <c r="E1236" s="9" t="str">
        <f>IFERROR(__xludf.DUMMYFUNCTION("""COMPUTED_VALUE"""),"JOSELITO CORNELIO")</f>
        <v>JOSELITO CORNELIO</v>
      </c>
      <c r="F1236" s="133"/>
      <c r="G1236" s="133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60"/>
      <c r="B1237" s="9" t="str">
        <f>IFERROR(__xludf.DUMMYFUNCTION("""COMPUTED_VALUE"""),"CORNELIO")</f>
        <v>CORNELIO</v>
      </c>
      <c r="C1237" s="9" t="str">
        <f>IFERROR(__xludf.DUMMYFUNCTION("""COMPUTED_VALUE"""),"ANGELINA")</f>
        <v>ANGELINA</v>
      </c>
      <c r="D1237" s="9"/>
      <c r="E1237" s="9" t="str">
        <f>IFERROR(__xludf.DUMMYFUNCTION("""COMPUTED_VALUE"""),"JOSELITO CORNELIO")</f>
        <v>JOSELITO CORNELIO</v>
      </c>
      <c r="F1237" s="133"/>
      <c r="G1237" s="133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60"/>
      <c r="B1238" s="9" t="str">
        <f>IFERROR(__xludf.DUMMYFUNCTION("""COMPUTED_VALUE"""),"CORNELIO")</f>
        <v>CORNELIO</v>
      </c>
      <c r="C1238" s="9" t="str">
        <f>IFERROR(__xludf.DUMMYFUNCTION("""COMPUTED_VALUE"""),"ANGELICA")</f>
        <v>ANGELICA</v>
      </c>
      <c r="D1238" s="9"/>
      <c r="E1238" s="9" t="str">
        <f>IFERROR(__xludf.DUMMYFUNCTION("""COMPUTED_VALUE"""),"JOSELITO CORNELIO")</f>
        <v>JOSELITO CORNELIO</v>
      </c>
      <c r="F1238" s="133"/>
      <c r="G1238" s="133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60"/>
      <c r="B1239" s="9" t="str">
        <f>IFERROR(__xludf.DUMMYFUNCTION("""COMPUTED_VALUE"""),"TAN ")</f>
        <v>TAN </v>
      </c>
      <c r="C1239" s="9" t="str">
        <f>IFERROR(__xludf.DUMMYFUNCTION("""COMPUTED_VALUE"""),"KIERSTIN")</f>
        <v>KIERSTIN</v>
      </c>
      <c r="D1239" s="9"/>
      <c r="E1239" s="9" t="str">
        <f>IFERROR(__xludf.DUMMYFUNCTION("""COMPUTED_VALUE"""),"JEFFREY TAN ")</f>
        <v>JEFFREY TAN </v>
      </c>
      <c r="F1239" s="133"/>
      <c r="G1239" s="133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60"/>
      <c r="B1240" s="9" t="str">
        <f>IFERROR(__xludf.DUMMYFUNCTION("""COMPUTED_VALUE"""),"TAN ")</f>
        <v>TAN </v>
      </c>
      <c r="C1240" s="9" t="str">
        <f>IFERROR(__xludf.DUMMYFUNCTION("""COMPUTED_VALUE"""),"KYLE RENEKLE")</f>
        <v>KYLE RENEKLE</v>
      </c>
      <c r="D1240" s="9"/>
      <c r="E1240" s="9" t="str">
        <f>IFERROR(__xludf.DUMMYFUNCTION("""COMPUTED_VALUE"""),"JEFFREY TAN ")</f>
        <v>JEFFREY TAN </v>
      </c>
      <c r="F1240" s="133"/>
      <c r="G1240" s="133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60"/>
      <c r="B1241" s="9" t="str">
        <f>IFERROR(__xludf.DUMMYFUNCTION("""COMPUTED_VALUE"""),"DE GUZMAN")</f>
        <v>DE GUZMAN</v>
      </c>
      <c r="C1241" s="9" t="str">
        <f>IFERROR(__xludf.DUMMYFUNCTION("""COMPUTED_VALUE"""),"AYEN VANESSA")</f>
        <v>AYEN VANESSA</v>
      </c>
      <c r="D1241" s="9"/>
      <c r="E1241" s="9" t="str">
        <f>IFERROR(__xludf.DUMMYFUNCTION("""COMPUTED_VALUE"""),"JEFFREY TAN ")</f>
        <v>JEFFREY TAN </v>
      </c>
      <c r="F1241" s="133"/>
      <c r="G1241" s="133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60"/>
      <c r="B1242" s="9" t="str">
        <f>IFERROR(__xludf.DUMMYFUNCTION("""COMPUTED_VALUE"""),"TAN ")</f>
        <v>TAN </v>
      </c>
      <c r="C1242" s="9" t="str">
        <f>IFERROR(__xludf.DUMMYFUNCTION("""COMPUTED_VALUE"""),"AALIYA KENZA")</f>
        <v>AALIYA KENZA</v>
      </c>
      <c r="D1242" s="9"/>
      <c r="E1242" s="9" t="str">
        <f>IFERROR(__xludf.DUMMYFUNCTION("""COMPUTED_VALUE"""),"JEFFREY TAN ")</f>
        <v>JEFFREY TAN </v>
      </c>
      <c r="F1242" s="133"/>
      <c r="G1242" s="133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60"/>
      <c r="B1243" s="9" t="str">
        <f>IFERROR(__xludf.DUMMYFUNCTION("""COMPUTED_VALUE"""),"TAN ")</f>
        <v>TAN </v>
      </c>
      <c r="C1243" s="9" t="str">
        <f>IFERROR(__xludf.DUMMYFUNCTION("""COMPUTED_VALUE"""),"JOHAN MARCO")</f>
        <v>JOHAN MARCO</v>
      </c>
      <c r="D1243" s="9"/>
      <c r="E1243" s="9" t="str">
        <f>IFERROR(__xludf.DUMMYFUNCTION("""COMPUTED_VALUE"""),"JEFFREY TAN ")</f>
        <v>JEFFREY TAN </v>
      </c>
      <c r="F1243" s="133"/>
      <c r="G1243" s="133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60"/>
      <c r="B1244" s="9" t="str">
        <f>IFERROR(__xludf.DUMMYFUNCTION("""COMPUTED_VALUE"""),"TAN ")</f>
        <v>TAN </v>
      </c>
      <c r="C1244" s="9" t="str">
        <f>IFERROR(__xludf.DUMMYFUNCTION("""COMPUTED_VALUE"""),"AZNEA LEIGH")</f>
        <v>AZNEA LEIGH</v>
      </c>
      <c r="D1244" s="9"/>
      <c r="E1244" s="9" t="str">
        <f>IFERROR(__xludf.DUMMYFUNCTION("""COMPUTED_VALUE"""),"JEFFREY TAN ")</f>
        <v>JEFFREY TAN </v>
      </c>
      <c r="F1244" s="133"/>
      <c r="G1244" s="133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60"/>
      <c r="B1245" s="9" t="str">
        <f>IFERROR(__xludf.DUMMYFUNCTION("""COMPUTED_VALUE"""),"TAN ")</f>
        <v>TAN </v>
      </c>
      <c r="C1245" s="9" t="str">
        <f>IFERROR(__xludf.DUMMYFUNCTION("""COMPUTED_VALUE"""),"INUIGO GREY")</f>
        <v>INUIGO GREY</v>
      </c>
      <c r="D1245" s="9"/>
      <c r="E1245" s="9" t="str">
        <f>IFERROR(__xludf.DUMMYFUNCTION("""COMPUTED_VALUE"""),"JEFFREY TAN ")</f>
        <v>JEFFREY TAN </v>
      </c>
      <c r="F1245" s="133"/>
      <c r="G1245" s="133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60"/>
      <c r="B1246" s="9" t="str">
        <f>IFERROR(__xludf.DUMMYFUNCTION("""COMPUTED_VALUE"""),"TAN ")</f>
        <v>TAN </v>
      </c>
      <c r="C1246" s="9" t="str">
        <f>IFERROR(__xludf.DUMMYFUNCTION("""COMPUTED_VALUE"""),"ANYA ELLAINE")</f>
        <v>ANYA ELLAINE</v>
      </c>
      <c r="D1246" s="9"/>
      <c r="E1246" s="9" t="str">
        <f>IFERROR(__xludf.DUMMYFUNCTION("""COMPUTED_VALUE"""),"JEFFREY TAN ")</f>
        <v>JEFFREY TAN </v>
      </c>
      <c r="F1246" s="133"/>
      <c r="G1246" s="133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60"/>
      <c r="B1247" s="9" t="str">
        <f>IFERROR(__xludf.DUMMYFUNCTION("""COMPUTED_VALUE"""),"CHUNSIM")</f>
        <v>CHUNSIM</v>
      </c>
      <c r="C1247" s="9" t="str">
        <f>IFERROR(__xludf.DUMMYFUNCTION("""COMPUTED_VALUE"""),"GLENN CHRISTOPHER")</f>
        <v>GLENN CHRISTOPHER</v>
      </c>
      <c r="D1247" s="9"/>
      <c r="E1247" s="9" t="str">
        <f>IFERROR(__xludf.DUMMYFUNCTION("""COMPUTED_VALUE"""),"HONORIO F. CHUNSIM")</f>
        <v>HONORIO F. CHUNSIM</v>
      </c>
      <c r="F1247" s="133"/>
      <c r="G1247" s="133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60"/>
      <c r="B1248" s="9" t="str">
        <f>IFERROR(__xludf.DUMMYFUNCTION("""COMPUTED_VALUE"""),"GRANDE")</f>
        <v>GRANDE</v>
      </c>
      <c r="C1248" s="9" t="str">
        <f>IFERROR(__xludf.DUMMYFUNCTION("""COMPUTED_VALUE"""),"GENARDO")</f>
        <v>GENARDO</v>
      </c>
      <c r="D1248" s="9" t="str">
        <f>IFERROR(__xludf.DUMMYFUNCTION("""COMPUTED_VALUE"""),"B.")</f>
        <v>B.</v>
      </c>
      <c r="E1248" s="9" t="str">
        <f>IFERROR(__xludf.DUMMYFUNCTION("""COMPUTED_VALUE"""),"ELPIDIO M. GRANDE SR.")</f>
        <v>ELPIDIO M. GRANDE SR.</v>
      </c>
      <c r="F1248" s="133"/>
      <c r="G1248" s="133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60"/>
      <c r="B1249" s="9" t="str">
        <f>IFERROR(__xludf.DUMMYFUNCTION("""COMPUTED_VALUE"""),"GRANDE")</f>
        <v>GRANDE</v>
      </c>
      <c r="C1249" s="9" t="str">
        <f>IFERROR(__xludf.DUMMYFUNCTION("""COMPUTED_VALUE"""),"HAZALLE")</f>
        <v>HAZALLE</v>
      </c>
      <c r="D1249" s="9" t="str">
        <f>IFERROR(__xludf.DUMMYFUNCTION("""COMPUTED_VALUE"""),"B.")</f>
        <v>B.</v>
      </c>
      <c r="E1249" s="9" t="str">
        <f>IFERROR(__xludf.DUMMYFUNCTION("""COMPUTED_VALUE"""),"ELPIDIO M. GRANDE SR.")</f>
        <v>ELPIDIO M. GRANDE SR.</v>
      </c>
      <c r="F1249" s="133"/>
      <c r="G1249" s="133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60"/>
      <c r="B1250" s="9" t="str">
        <f>IFERROR(__xludf.DUMMYFUNCTION("""COMPUTED_VALUE"""),"GRANDE")</f>
        <v>GRANDE</v>
      </c>
      <c r="C1250" s="9" t="str">
        <f>IFERROR(__xludf.DUMMYFUNCTION("""COMPUTED_VALUE"""),"SAMANTHA ELLIE JOY")</f>
        <v>SAMANTHA ELLIE JOY</v>
      </c>
      <c r="D1250" s="9"/>
      <c r="E1250" s="9" t="str">
        <f>IFERROR(__xludf.DUMMYFUNCTION("""COMPUTED_VALUE"""),"GARDELIO B. GRANDE")</f>
        <v>GARDELIO B. GRANDE</v>
      </c>
      <c r="F1250" s="133"/>
      <c r="G1250" s="133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60"/>
      <c r="B1251" s="9" t="str">
        <f>IFERROR(__xludf.DUMMYFUNCTION("""COMPUTED_VALUE"""),"OLAES")</f>
        <v>OLAES</v>
      </c>
      <c r="C1251" s="9" t="str">
        <f>IFERROR(__xludf.DUMMYFUNCTION("""COMPUTED_VALUE"""),"KYLIE NICOLE")</f>
        <v>KYLIE NICOLE</v>
      </c>
      <c r="D1251" s="9" t="str">
        <f>IFERROR(__xludf.DUMMYFUNCTION("""COMPUTED_VALUE"""),"C.")</f>
        <v>C.</v>
      </c>
      <c r="E1251" s="9" t="str">
        <f>IFERROR(__xludf.DUMMYFUNCTION("""COMPUTED_VALUE"""),"MARION E. OLAES")</f>
        <v>MARION E. OLAES</v>
      </c>
      <c r="F1251" s="133"/>
      <c r="G1251" s="133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60"/>
      <c r="B1252" s="9" t="str">
        <f>IFERROR(__xludf.DUMMYFUNCTION("""COMPUTED_VALUE"""),"OLAES")</f>
        <v>OLAES</v>
      </c>
      <c r="C1252" s="9" t="str">
        <f>IFERROR(__xludf.DUMMYFUNCTION("""COMPUTED_VALUE"""),"MARIAN LORRAINE ")</f>
        <v>MARIAN LORRAINE </v>
      </c>
      <c r="D1252" s="9" t="str">
        <f>IFERROR(__xludf.DUMMYFUNCTION("""COMPUTED_VALUE"""),"C.")</f>
        <v>C.</v>
      </c>
      <c r="E1252" s="9" t="str">
        <f>IFERROR(__xludf.DUMMYFUNCTION("""COMPUTED_VALUE"""),"MARION E. OLAES")</f>
        <v>MARION E. OLAES</v>
      </c>
      <c r="F1252" s="133"/>
      <c r="G1252" s="133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60"/>
      <c r="B1253" s="9" t="str">
        <f>IFERROR(__xludf.DUMMYFUNCTION("""COMPUTED_VALUE"""),"ISOZA")</f>
        <v>ISOZA</v>
      </c>
      <c r="C1253" s="9" t="str">
        <f>IFERROR(__xludf.DUMMYFUNCTION("""COMPUTED_VALUE"""),"DANICA ALAIA")</f>
        <v>DANICA ALAIA</v>
      </c>
      <c r="D1253" s="9"/>
      <c r="E1253" s="9" t="str">
        <f>IFERROR(__xludf.DUMMYFUNCTION("""COMPUTED_VALUE"""),"PIZAR BERNARDOR")</f>
        <v>PIZAR BERNARDOR</v>
      </c>
      <c r="F1253" s="133"/>
      <c r="G1253" s="133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60"/>
      <c r="B1254" s="9" t="str">
        <f>IFERROR(__xludf.DUMMYFUNCTION("""COMPUTED_VALUE"""),"VILLEGAS")</f>
        <v>VILLEGAS</v>
      </c>
      <c r="C1254" s="9" t="str">
        <f>IFERROR(__xludf.DUMMYFUNCTION("""COMPUTED_VALUE"""),"SOFIA")</f>
        <v>SOFIA</v>
      </c>
      <c r="D1254" s="9"/>
      <c r="E1254" s="9" t="str">
        <f>IFERROR(__xludf.DUMMYFUNCTION("""COMPUTED_VALUE"""),"RYAN VILLEGAS ")</f>
        <v>RYAN VILLEGAS </v>
      </c>
      <c r="F1254" s="133"/>
      <c r="G1254" s="133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60"/>
      <c r="B1255" s="9" t="str">
        <f>IFERROR(__xludf.DUMMYFUNCTION("""COMPUTED_VALUE"""),"VILLEGAS")</f>
        <v>VILLEGAS</v>
      </c>
      <c r="C1255" s="9" t="str">
        <f>IFERROR(__xludf.DUMMYFUNCTION("""COMPUTED_VALUE"""),"RYAN")</f>
        <v>RYAN</v>
      </c>
      <c r="D1255" s="9"/>
      <c r="E1255" s="9" t="str">
        <f>IFERROR(__xludf.DUMMYFUNCTION("""COMPUTED_VALUE"""),"RYAN VILLEGAS ")</f>
        <v>RYAN VILLEGAS </v>
      </c>
      <c r="F1255" s="133"/>
      <c r="G1255" s="133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60"/>
      <c r="B1256" s="9" t="str">
        <f>IFERROR(__xludf.DUMMYFUNCTION("""COMPUTED_VALUE"""),"VILLEGAS")</f>
        <v>VILLEGAS</v>
      </c>
      <c r="C1256" s="9" t="str">
        <f>IFERROR(__xludf.DUMMYFUNCTION("""COMPUTED_VALUE"""),"KATELYN")</f>
        <v>KATELYN</v>
      </c>
      <c r="D1256" s="9"/>
      <c r="E1256" s="9" t="str">
        <f>IFERROR(__xludf.DUMMYFUNCTION("""COMPUTED_VALUE"""),"RYAN VILLEGAS ")</f>
        <v>RYAN VILLEGAS </v>
      </c>
      <c r="F1256" s="133"/>
      <c r="G1256" s="133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60"/>
      <c r="B1257" s="9" t="str">
        <f>IFERROR(__xludf.DUMMYFUNCTION("""COMPUTED_VALUE"""),"GRANDE ")</f>
        <v>GRANDE </v>
      </c>
      <c r="C1257" s="9" t="str">
        <f>IFERROR(__xludf.DUMMYFUNCTION("""COMPUTED_VALUE"""),"RUZZELL")</f>
        <v>RUZZELL</v>
      </c>
      <c r="D1257" s="9"/>
      <c r="E1257" s="9" t="str">
        <f>IFERROR(__xludf.DUMMYFUNCTION("""COMPUTED_VALUE"""),"ELPIDIO M. GRANDE JR.")</f>
        <v>ELPIDIO M. GRANDE JR.</v>
      </c>
      <c r="F1257" s="133"/>
      <c r="G1257" s="133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60"/>
      <c r="B1258" s="9" t="str">
        <f>IFERROR(__xludf.DUMMYFUNCTION("""COMPUTED_VALUE"""),"GRANDE")</f>
        <v>GRANDE</v>
      </c>
      <c r="C1258" s="9" t="str">
        <f>IFERROR(__xludf.DUMMYFUNCTION("""COMPUTED_VALUE"""),"GIN KEVIN")</f>
        <v>GIN KEVIN</v>
      </c>
      <c r="D1258" s="9"/>
      <c r="E1258" s="9" t="str">
        <f>IFERROR(__xludf.DUMMYFUNCTION("""COMPUTED_VALUE"""),"ELPIDIO M. GRANDE JR.")</f>
        <v>ELPIDIO M. GRANDE JR.</v>
      </c>
      <c r="F1258" s="133"/>
      <c r="G1258" s="133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60"/>
      <c r="B1259" s="9" t="str">
        <f>IFERROR(__xludf.DUMMYFUNCTION("""COMPUTED_VALUE"""),"ROMERO")</f>
        <v>ROMERO</v>
      </c>
      <c r="C1259" s="9" t="str">
        <f>IFERROR(__xludf.DUMMYFUNCTION("""COMPUTED_VALUE"""),"NORMILITA")</f>
        <v>NORMILITA</v>
      </c>
      <c r="D1259" s="9" t="str">
        <f>IFERROR(__xludf.DUMMYFUNCTION("""COMPUTED_VALUE"""),"F.")</f>
        <v>F.</v>
      </c>
      <c r="E1259" s="9" t="str">
        <f>IFERROR(__xludf.DUMMYFUNCTION("""COMPUTED_VALUE"""),"PABLO G ROMERO")</f>
        <v>PABLO G ROMERO</v>
      </c>
      <c r="F1259" s="133"/>
      <c r="G1259" s="133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60"/>
      <c r="B1260" s="9" t="str">
        <f>IFERROR(__xludf.DUMMYFUNCTION("""COMPUTED_VALUE"""),"ROMERO")</f>
        <v>ROMERO</v>
      </c>
      <c r="C1260" s="9" t="str">
        <f>IFERROR(__xludf.DUMMYFUNCTION("""COMPUTED_VALUE"""),"CYRIE MAE")</f>
        <v>CYRIE MAE</v>
      </c>
      <c r="D1260" s="9" t="str">
        <f>IFERROR(__xludf.DUMMYFUNCTION("""COMPUTED_VALUE"""),"V.")</f>
        <v>V.</v>
      </c>
      <c r="E1260" s="9" t="str">
        <f>IFERROR(__xludf.DUMMYFUNCTION("""COMPUTED_VALUE"""),"NOEL F. ROMERO")</f>
        <v>NOEL F. ROMERO</v>
      </c>
      <c r="F1260" s="133"/>
      <c r="G1260" s="133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60"/>
      <c r="B1261" s="9" t="str">
        <f>IFERROR(__xludf.DUMMYFUNCTION("""COMPUTED_VALUE"""),"ROMERO")</f>
        <v>ROMERO</v>
      </c>
      <c r="C1261" s="9" t="str">
        <f>IFERROR(__xludf.DUMMYFUNCTION("""COMPUTED_VALUE"""),"MARIA FAYE ")</f>
        <v>MARIA FAYE </v>
      </c>
      <c r="D1261" s="9" t="str">
        <f>IFERROR(__xludf.DUMMYFUNCTION("""COMPUTED_VALUE"""),"V.")</f>
        <v>V.</v>
      </c>
      <c r="E1261" s="9" t="str">
        <f>IFERROR(__xludf.DUMMYFUNCTION("""COMPUTED_VALUE"""),"NOEL F. ROMERO")</f>
        <v>NOEL F. ROMERO</v>
      </c>
      <c r="F1261" s="133"/>
      <c r="G1261" s="133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60"/>
      <c r="B1262" s="9" t="str">
        <f>IFERROR(__xludf.DUMMYFUNCTION("""COMPUTED_VALUE"""),"ROMERO")</f>
        <v>ROMERO</v>
      </c>
      <c r="C1262" s="9" t="str">
        <f>IFERROR(__xludf.DUMMYFUNCTION("""COMPUTED_VALUE"""),"ELIANA MAE ANN ")</f>
        <v>ELIANA MAE ANN </v>
      </c>
      <c r="D1262" s="9" t="str">
        <f>IFERROR(__xludf.DUMMYFUNCTION("""COMPUTED_VALUE"""),"V.")</f>
        <v>V.</v>
      </c>
      <c r="E1262" s="9" t="str">
        <f>IFERROR(__xludf.DUMMYFUNCTION("""COMPUTED_VALUE"""),"NOEL F. ROMERO")</f>
        <v>NOEL F. ROMERO</v>
      </c>
      <c r="F1262" s="133"/>
      <c r="G1262" s="133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60"/>
      <c r="B1263" s="9" t="str">
        <f>IFERROR(__xludf.DUMMYFUNCTION("""COMPUTED_VALUE"""),"ROMERO")</f>
        <v>ROMERO</v>
      </c>
      <c r="C1263" s="9" t="str">
        <f>IFERROR(__xludf.DUMMYFUNCTION("""COMPUTED_VALUE"""),"AVIEL ")</f>
        <v>AVIEL </v>
      </c>
      <c r="D1263" s="9" t="str">
        <f>IFERROR(__xludf.DUMMYFUNCTION("""COMPUTED_VALUE"""),"V.")</f>
        <v>V.</v>
      </c>
      <c r="E1263" s="9" t="str">
        <f>IFERROR(__xludf.DUMMYFUNCTION("""COMPUTED_VALUE"""),"NOEL F. ROMERO")</f>
        <v>NOEL F. ROMERO</v>
      </c>
      <c r="F1263" s="133"/>
      <c r="G1263" s="133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60"/>
      <c r="B1264" s="9" t="str">
        <f>IFERROR(__xludf.DUMMYFUNCTION("""COMPUTED_VALUE"""),"PANLAQUI")</f>
        <v>PANLAQUI</v>
      </c>
      <c r="C1264" s="9" t="str">
        <f>IFERROR(__xludf.DUMMYFUNCTION("""COMPUTED_VALUE"""),"BLESSILDA ")</f>
        <v>BLESSILDA </v>
      </c>
      <c r="D1264" s="9" t="str">
        <f>IFERROR(__xludf.DUMMYFUNCTION("""COMPUTED_VALUE"""),"F.")</f>
        <v>F.</v>
      </c>
      <c r="E1264" s="9" t="str">
        <f>IFERROR(__xludf.DUMMYFUNCTION("""COMPUTED_VALUE"""),"EDWIN F. PANLAQUI")</f>
        <v>EDWIN F. PANLAQUI</v>
      </c>
      <c r="F1264" s="133"/>
      <c r="G1264" s="133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60"/>
      <c r="B1265" s="9" t="str">
        <f>IFERROR(__xludf.DUMMYFUNCTION("""COMPUTED_VALUE"""),"FLORES")</f>
        <v>FLORES</v>
      </c>
      <c r="C1265" s="9" t="str">
        <f>IFERROR(__xludf.DUMMYFUNCTION("""COMPUTED_VALUE"""),"JONAS NICHOLO")</f>
        <v>JONAS NICHOLO</v>
      </c>
      <c r="D1265" s="9" t="str">
        <f>IFERROR(__xludf.DUMMYFUNCTION("""COMPUTED_VALUE"""),"C.")</f>
        <v>C.</v>
      </c>
      <c r="E1265" s="9" t="str">
        <f>IFERROR(__xludf.DUMMYFUNCTION("""COMPUTED_VALUE"""),"JONATHAN B. FLORES")</f>
        <v>JONATHAN B. FLORES</v>
      </c>
      <c r="F1265" s="133"/>
      <c r="G1265" s="133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60"/>
      <c r="B1266" s="9" t="str">
        <f>IFERROR(__xludf.DUMMYFUNCTION("""COMPUTED_VALUE"""),"FLORES")</f>
        <v>FLORES</v>
      </c>
      <c r="C1266" s="9" t="str">
        <f>IFERROR(__xludf.DUMMYFUNCTION("""COMPUTED_VALUE"""),"JUSTINE NATE")</f>
        <v>JUSTINE NATE</v>
      </c>
      <c r="D1266" s="9" t="str">
        <f>IFERROR(__xludf.DUMMYFUNCTION("""COMPUTED_VALUE"""),"C.")</f>
        <v>C.</v>
      </c>
      <c r="E1266" s="9" t="str">
        <f>IFERROR(__xludf.DUMMYFUNCTION("""COMPUTED_VALUE"""),"JONATHAN B. FLORES")</f>
        <v>JONATHAN B. FLORES</v>
      </c>
      <c r="F1266" s="133"/>
      <c r="G1266" s="133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60"/>
      <c r="B1267" s="9" t="str">
        <f>IFERROR(__xludf.DUMMYFUNCTION("""COMPUTED_VALUE"""),"QUIÑONES")</f>
        <v>QUIÑONES</v>
      </c>
      <c r="C1267" s="9" t="str">
        <f>IFERROR(__xludf.DUMMYFUNCTION("""COMPUTED_VALUE"""),"AZRAEL IAN")</f>
        <v>AZRAEL IAN</v>
      </c>
      <c r="D1267" s="9"/>
      <c r="E1267" s="9" t="str">
        <f>IFERROR(__xludf.DUMMYFUNCTION("""COMPUTED_VALUE"""),"JACK LESTER P. QUIÑONES")</f>
        <v>JACK LESTER P. QUIÑONES</v>
      </c>
      <c r="F1267" s="133"/>
      <c r="G1267" s="133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60"/>
      <c r="B1268" s="9" t="str">
        <f>IFERROR(__xludf.DUMMYFUNCTION("""COMPUTED_VALUE"""),"QUIÑONES")</f>
        <v>QUIÑONES</v>
      </c>
      <c r="C1268" s="9" t="str">
        <f>IFERROR(__xludf.DUMMYFUNCTION("""COMPUTED_VALUE"""),"ALEXIS JACK")</f>
        <v>ALEXIS JACK</v>
      </c>
      <c r="D1268" s="9"/>
      <c r="E1268" s="9" t="str">
        <f>IFERROR(__xludf.DUMMYFUNCTION("""COMPUTED_VALUE"""),"JACK LESTER P. QUIÑONES")</f>
        <v>JACK LESTER P. QUIÑONES</v>
      </c>
      <c r="F1268" s="133"/>
      <c r="G1268" s="133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60"/>
      <c r="B1269" s="9" t="str">
        <f>IFERROR(__xludf.DUMMYFUNCTION("""COMPUTED_VALUE"""),"QUIÑONES")</f>
        <v>QUIÑONES</v>
      </c>
      <c r="C1269" s="9" t="str">
        <f>IFERROR(__xludf.DUMMYFUNCTION("""COMPUTED_VALUE"""),"AZAIRAH")</f>
        <v>AZAIRAH</v>
      </c>
      <c r="D1269" s="9"/>
      <c r="E1269" s="9" t="str">
        <f>IFERROR(__xludf.DUMMYFUNCTION("""COMPUTED_VALUE"""),"JACK LESTER P. QUIÑONES")</f>
        <v>JACK LESTER P. QUIÑONES</v>
      </c>
      <c r="F1269" s="133"/>
      <c r="G1269" s="133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60"/>
      <c r="B1270" s="9" t="str">
        <f>IFERROR(__xludf.DUMMYFUNCTION("""COMPUTED_VALUE"""),"MERANDA")</f>
        <v>MERANDA</v>
      </c>
      <c r="C1270" s="9" t="str">
        <f>IFERROR(__xludf.DUMMYFUNCTION("""COMPUTED_VALUE"""),"IBER")</f>
        <v>IBER</v>
      </c>
      <c r="D1270" s="9"/>
      <c r="E1270" s="9" t="str">
        <f>IFERROR(__xludf.DUMMYFUNCTION("""COMPUTED_VALUE"""),"JR MERANDA")</f>
        <v>JR MERANDA</v>
      </c>
      <c r="F1270" s="133"/>
      <c r="G1270" s="133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60"/>
      <c r="B1271" s="9" t="str">
        <f>IFERROR(__xludf.DUMMYFUNCTION("""COMPUTED_VALUE"""),"MERANDA")</f>
        <v>MERANDA</v>
      </c>
      <c r="C1271" s="9" t="str">
        <f>IFERROR(__xludf.DUMMYFUNCTION("""COMPUTED_VALUE"""),"LOVELY")</f>
        <v>LOVELY</v>
      </c>
      <c r="D1271" s="9"/>
      <c r="E1271" s="9" t="str">
        <f>IFERROR(__xludf.DUMMYFUNCTION("""COMPUTED_VALUE"""),"JR MERANDA")</f>
        <v>JR MERANDA</v>
      </c>
      <c r="F1271" s="133"/>
      <c r="G1271" s="133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60"/>
      <c r="B1272" s="9" t="str">
        <f>IFERROR(__xludf.DUMMYFUNCTION("""COMPUTED_VALUE"""),"MERANDA")</f>
        <v>MERANDA</v>
      </c>
      <c r="C1272" s="9" t="str">
        <f>IFERROR(__xludf.DUMMYFUNCTION("""COMPUTED_VALUE"""),"BADONG")</f>
        <v>BADONG</v>
      </c>
      <c r="D1272" s="9"/>
      <c r="E1272" s="9" t="str">
        <f>IFERROR(__xludf.DUMMYFUNCTION("""COMPUTED_VALUE"""),"JR MERANDA")</f>
        <v>JR MERANDA</v>
      </c>
      <c r="F1272" s="133"/>
      <c r="G1272" s="133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60"/>
      <c r="B1273" s="9" t="str">
        <f>IFERROR(__xludf.DUMMYFUNCTION("""COMPUTED_VALUE"""),"MERANDA")</f>
        <v>MERANDA</v>
      </c>
      <c r="C1273" s="9" t="str">
        <f>IFERROR(__xludf.DUMMYFUNCTION("""COMPUTED_VALUE"""),"JUDAY")</f>
        <v>JUDAY</v>
      </c>
      <c r="D1273" s="9"/>
      <c r="E1273" s="9" t="str">
        <f>IFERROR(__xludf.DUMMYFUNCTION("""COMPUTED_VALUE"""),"JR MERANDA")</f>
        <v>JR MERANDA</v>
      </c>
      <c r="F1273" s="133"/>
      <c r="G1273" s="133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60"/>
      <c r="B1274" s="9" t="str">
        <f>IFERROR(__xludf.DUMMYFUNCTION("""COMPUTED_VALUE"""),"CAAWAY")</f>
        <v>CAAWAY</v>
      </c>
      <c r="C1274" s="9" t="str">
        <f>IFERROR(__xludf.DUMMYFUNCTION("""COMPUTED_VALUE"""),"MARCO")</f>
        <v>MARCO</v>
      </c>
      <c r="D1274" s="9"/>
      <c r="E1274" s="9" t="str">
        <f>IFERROR(__xludf.DUMMYFUNCTION("""COMPUTED_VALUE"""),"KARL KENNEDY DALISAY")</f>
        <v>KARL KENNEDY DALISAY</v>
      </c>
      <c r="F1274" s="133"/>
      <c r="G1274" s="133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60"/>
      <c r="B1275" s="9" t="str">
        <f>IFERROR(__xludf.DUMMYFUNCTION("""COMPUTED_VALUE"""),"DALISAY")</f>
        <v>DALISAY</v>
      </c>
      <c r="C1275" s="9" t="str">
        <f>IFERROR(__xludf.DUMMYFUNCTION("""COMPUTED_VALUE"""),"KIMBERLY")</f>
        <v>KIMBERLY</v>
      </c>
      <c r="D1275" s="9"/>
      <c r="E1275" s="9" t="str">
        <f>IFERROR(__xludf.DUMMYFUNCTION("""COMPUTED_VALUE"""),"NELMIDA DALISAY")</f>
        <v>NELMIDA DALISAY</v>
      </c>
      <c r="F1275" s="133"/>
      <c r="G1275" s="133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60"/>
      <c r="B1276" s="9" t="str">
        <f>IFERROR(__xludf.DUMMYFUNCTION("""COMPUTED_VALUE"""),"DALISAY")</f>
        <v>DALISAY</v>
      </c>
      <c r="C1276" s="9" t="str">
        <f>IFERROR(__xludf.DUMMYFUNCTION("""COMPUTED_VALUE"""),"KARL KENNEDY")</f>
        <v>KARL KENNEDY</v>
      </c>
      <c r="D1276" s="9"/>
      <c r="E1276" s="9" t="str">
        <f>IFERROR(__xludf.DUMMYFUNCTION("""COMPUTED_VALUE"""),"NELMIDA DALISAY")</f>
        <v>NELMIDA DALISAY</v>
      </c>
      <c r="F1276" s="133"/>
      <c r="G1276" s="133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60"/>
      <c r="B1277" s="9" t="str">
        <f>IFERROR(__xludf.DUMMYFUNCTION("""COMPUTED_VALUE"""),"DALISAY")</f>
        <v>DALISAY</v>
      </c>
      <c r="C1277" s="9" t="str">
        <f>IFERROR(__xludf.DUMMYFUNCTION("""COMPUTED_VALUE"""),"KARRIZA")</f>
        <v>KARRIZA</v>
      </c>
      <c r="D1277" s="9"/>
      <c r="E1277" s="9" t="str">
        <f>IFERROR(__xludf.DUMMYFUNCTION("""COMPUTED_VALUE"""),"NELMIDA DALISAY")</f>
        <v>NELMIDA DALISAY</v>
      </c>
      <c r="F1277" s="133"/>
      <c r="G1277" s="133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60"/>
      <c r="B1278" s="9" t="str">
        <f>IFERROR(__xludf.DUMMYFUNCTION("""COMPUTED_VALUE"""),"DOCOT")</f>
        <v>DOCOT</v>
      </c>
      <c r="C1278" s="9" t="str">
        <f>IFERROR(__xludf.DUMMYFUNCTION("""COMPUTED_VALUE"""),"JESTER")</f>
        <v>JESTER</v>
      </c>
      <c r="D1278" s="9"/>
      <c r="E1278" s="9" t="str">
        <f>IFERROR(__xludf.DUMMYFUNCTION("""COMPUTED_VALUE"""),"LLOYD DOCOT")</f>
        <v>LLOYD DOCOT</v>
      </c>
      <c r="F1278" s="133"/>
      <c r="G1278" s="133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60"/>
      <c r="B1279" s="9" t="str">
        <f>IFERROR(__xludf.DUMMYFUNCTION("""COMPUTED_VALUE"""),"DOCOT")</f>
        <v>DOCOT</v>
      </c>
      <c r="C1279" s="9" t="str">
        <f>IFERROR(__xludf.DUMMYFUNCTION("""COMPUTED_VALUE"""),"HOPE")</f>
        <v>HOPE</v>
      </c>
      <c r="D1279" s="9"/>
      <c r="E1279" s="9" t="str">
        <f>IFERROR(__xludf.DUMMYFUNCTION("""COMPUTED_VALUE"""),"LLOYD DOCOT")</f>
        <v>LLOYD DOCOT</v>
      </c>
      <c r="F1279" s="133"/>
      <c r="G1279" s="133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60"/>
      <c r="B1280" s="9" t="str">
        <f>IFERROR(__xludf.DUMMYFUNCTION("""COMPUTED_VALUE"""),"PARAYNO")</f>
        <v>PARAYNO</v>
      </c>
      <c r="C1280" s="9" t="str">
        <f>IFERROR(__xludf.DUMMYFUNCTION("""COMPUTED_VALUE"""),"CORAZON")</f>
        <v>CORAZON</v>
      </c>
      <c r="D1280" s="9"/>
      <c r="E1280" s="9" t="str">
        <f>IFERROR(__xludf.DUMMYFUNCTION("""COMPUTED_VALUE"""),"MAGDALENA PARAYNO")</f>
        <v>MAGDALENA PARAYNO</v>
      </c>
      <c r="F1280" s="133"/>
      <c r="G1280" s="133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60"/>
      <c r="B1281" s="9" t="str">
        <f>IFERROR(__xludf.DUMMYFUNCTION("""COMPUTED_VALUE"""),"PARAYNO")</f>
        <v>PARAYNO</v>
      </c>
      <c r="C1281" s="9" t="str">
        <f>IFERROR(__xludf.DUMMYFUNCTION("""COMPUTED_VALUE"""),"RONNIE")</f>
        <v>RONNIE</v>
      </c>
      <c r="D1281" s="9"/>
      <c r="E1281" s="9" t="str">
        <f>IFERROR(__xludf.DUMMYFUNCTION("""COMPUTED_VALUE"""),"MAGDALENA PARAYNO")</f>
        <v>MAGDALENA PARAYNO</v>
      </c>
      <c r="F1281" s="133"/>
      <c r="G1281" s="133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60"/>
      <c r="B1282" s="9" t="str">
        <f>IFERROR(__xludf.DUMMYFUNCTION("""COMPUTED_VALUE"""),"PARAYNO")</f>
        <v>PARAYNO</v>
      </c>
      <c r="C1282" s="9" t="str">
        <f>IFERROR(__xludf.DUMMYFUNCTION("""COMPUTED_VALUE"""),"JOCELYN")</f>
        <v>JOCELYN</v>
      </c>
      <c r="D1282" s="9"/>
      <c r="E1282" s="9" t="str">
        <f>IFERROR(__xludf.DUMMYFUNCTION("""COMPUTED_VALUE"""),"MAGDALENA PARAYNO")</f>
        <v>MAGDALENA PARAYNO</v>
      </c>
      <c r="F1282" s="133"/>
      <c r="G1282" s="133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60"/>
      <c r="B1283" s="9" t="str">
        <f>IFERROR(__xludf.DUMMYFUNCTION("""COMPUTED_VALUE"""),"PARAYNO")</f>
        <v>PARAYNO</v>
      </c>
      <c r="C1283" s="9" t="str">
        <f>IFERROR(__xludf.DUMMYFUNCTION("""COMPUTED_VALUE"""),"NHELMI")</f>
        <v>NHELMI</v>
      </c>
      <c r="D1283" s="9"/>
      <c r="E1283" s="9" t="str">
        <f>IFERROR(__xludf.DUMMYFUNCTION("""COMPUTED_VALUE"""),"MAGDALENA PARAYNO")</f>
        <v>MAGDALENA PARAYNO</v>
      </c>
      <c r="F1283" s="133"/>
      <c r="G1283" s="133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60"/>
      <c r="B1284" s="9" t="str">
        <f>IFERROR(__xludf.DUMMYFUNCTION("""COMPUTED_VALUE"""),"PARAYNO")</f>
        <v>PARAYNO</v>
      </c>
      <c r="C1284" s="9" t="str">
        <f>IFERROR(__xludf.DUMMYFUNCTION("""COMPUTED_VALUE"""),"CHRISTOPHER")</f>
        <v>CHRISTOPHER</v>
      </c>
      <c r="D1284" s="9"/>
      <c r="E1284" s="9" t="str">
        <f>IFERROR(__xludf.DUMMYFUNCTION("""COMPUTED_VALUE"""),"MAGDALENA PARAYNO")</f>
        <v>MAGDALENA PARAYNO</v>
      </c>
      <c r="F1284" s="133"/>
      <c r="G1284" s="133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60"/>
      <c r="B1285" s="9" t="str">
        <f>IFERROR(__xludf.DUMMYFUNCTION("""COMPUTED_VALUE"""),"PARAYNO")</f>
        <v>PARAYNO</v>
      </c>
      <c r="C1285" s="9" t="str">
        <f>IFERROR(__xludf.DUMMYFUNCTION("""COMPUTED_VALUE"""),"AYNNA")</f>
        <v>AYNNA</v>
      </c>
      <c r="D1285" s="9"/>
      <c r="E1285" s="9" t="str">
        <f>IFERROR(__xludf.DUMMYFUNCTION("""COMPUTED_VALUE"""),"MAGDALENA PARAYNO")</f>
        <v>MAGDALENA PARAYNO</v>
      </c>
      <c r="F1285" s="133"/>
      <c r="G1285" s="133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60"/>
      <c r="B1286" s="9" t="str">
        <f>IFERROR(__xludf.DUMMYFUNCTION("""COMPUTED_VALUE"""),"PARAYNO")</f>
        <v>PARAYNO</v>
      </c>
      <c r="C1286" s="9" t="str">
        <f>IFERROR(__xludf.DUMMYFUNCTION("""COMPUTED_VALUE"""),"CHRISTINE")</f>
        <v>CHRISTINE</v>
      </c>
      <c r="D1286" s="9"/>
      <c r="E1286" s="9" t="str">
        <f>IFERROR(__xludf.DUMMYFUNCTION("""COMPUTED_VALUE"""),"CHRISTOPHER PARAYNO")</f>
        <v>CHRISTOPHER PARAYNO</v>
      </c>
      <c r="F1286" s="133"/>
      <c r="G1286" s="133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60"/>
      <c r="B1287" s="9" t="str">
        <f>IFERROR(__xludf.DUMMYFUNCTION("""COMPUTED_VALUE"""),"PARAYNO")</f>
        <v>PARAYNO</v>
      </c>
      <c r="C1287" s="9" t="str">
        <f>IFERROR(__xludf.DUMMYFUNCTION("""COMPUTED_VALUE"""),"KATHERINE")</f>
        <v>KATHERINE</v>
      </c>
      <c r="D1287" s="9"/>
      <c r="E1287" s="9" t="str">
        <f>IFERROR(__xludf.DUMMYFUNCTION("""COMPUTED_VALUE"""),"CHRISTOPHER PARAYNO")</f>
        <v>CHRISTOPHER PARAYNO</v>
      </c>
      <c r="F1287" s="133"/>
      <c r="G1287" s="133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60"/>
      <c r="B1288" s="9" t="str">
        <f>IFERROR(__xludf.DUMMYFUNCTION("""COMPUTED_VALUE"""),"PARAYNO")</f>
        <v>PARAYNO</v>
      </c>
      <c r="C1288" s="9" t="str">
        <f>IFERROR(__xludf.DUMMYFUNCTION("""COMPUTED_VALUE"""),"KARLA MAE")</f>
        <v>KARLA MAE</v>
      </c>
      <c r="D1288" s="9"/>
      <c r="E1288" s="9" t="str">
        <f>IFERROR(__xludf.DUMMYFUNCTION("""COMPUTED_VALUE"""),"CHRISTOPHER PARAYNO")</f>
        <v>CHRISTOPHER PARAYNO</v>
      </c>
      <c r="F1288" s="133"/>
      <c r="G1288" s="133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60"/>
      <c r="B1289" s="9" t="str">
        <f>IFERROR(__xludf.DUMMYFUNCTION("""COMPUTED_VALUE"""),"PARAYNO")</f>
        <v>PARAYNO</v>
      </c>
      <c r="C1289" s="9" t="str">
        <f>IFERROR(__xludf.DUMMYFUNCTION("""COMPUTED_VALUE"""),"KRIZELLE")</f>
        <v>KRIZELLE</v>
      </c>
      <c r="D1289" s="9"/>
      <c r="E1289" s="9" t="str">
        <f>IFERROR(__xludf.DUMMYFUNCTION("""COMPUTED_VALUE"""),"CHRISTOPHER PARAYNO")</f>
        <v>CHRISTOPHER PARAYNO</v>
      </c>
      <c r="F1289" s="133"/>
      <c r="G1289" s="133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60"/>
      <c r="B1290" s="9" t="str">
        <f>IFERROR(__xludf.DUMMYFUNCTION("""COMPUTED_VALUE"""),"PARAYNO")</f>
        <v>PARAYNO</v>
      </c>
      <c r="C1290" s="9" t="str">
        <f>IFERROR(__xludf.DUMMYFUNCTION("""COMPUTED_VALUE"""),"JAMAELLA")</f>
        <v>JAMAELLA</v>
      </c>
      <c r="D1290" s="9"/>
      <c r="E1290" s="9" t="str">
        <f>IFERROR(__xludf.DUMMYFUNCTION("""COMPUTED_VALUE"""),"CHRISTOPHER PARAYNO")</f>
        <v>CHRISTOPHER PARAYNO</v>
      </c>
      <c r="F1290" s="133"/>
      <c r="G1290" s="133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60"/>
      <c r="B1291" s="9" t="str">
        <f>IFERROR(__xludf.DUMMYFUNCTION("""COMPUTED_VALUE"""),"PARAYNO")</f>
        <v>PARAYNO</v>
      </c>
      <c r="C1291" s="9" t="str">
        <f>IFERROR(__xludf.DUMMYFUNCTION("""COMPUTED_VALUE"""),"ABIEGAIL")</f>
        <v>ABIEGAIL</v>
      </c>
      <c r="D1291" s="9"/>
      <c r="E1291" s="9" t="str">
        <f>IFERROR(__xludf.DUMMYFUNCTION("""COMPUTED_VALUE"""),"CHRISTOPHER PARAYNO")</f>
        <v>CHRISTOPHER PARAYNO</v>
      </c>
      <c r="F1291" s="133"/>
      <c r="G1291" s="133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60"/>
      <c r="B1292" s="9" t="str">
        <f>IFERROR(__xludf.DUMMYFUNCTION("""COMPUTED_VALUE"""),"PARAYNO")</f>
        <v>PARAYNO</v>
      </c>
      <c r="C1292" s="9" t="str">
        <f>IFERROR(__xludf.DUMMYFUNCTION("""COMPUTED_VALUE"""),"CHRISTIIAN RHEIGNNE")</f>
        <v>CHRISTIIAN RHEIGNNE</v>
      </c>
      <c r="D1292" s="9"/>
      <c r="E1292" s="9" t="str">
        <f>IFERROR(__xludf.DUMMYFUNCTION("""COMPUTED_VALUE"""),"CHRISTOPHER PARAYNO")</f>
        <v>CHRISTOPHER PARAYNO</v>
      </c>
      <c r="F1292" s="133"/>
      <c r="G1292" s="133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60"/>
      <c r="B1293" s="9" t="str">
        <f>IFERROR(__xludf.DUMMYFUNCTION("""COMPUTED_VALUE"""),"PARAYNO")</f>
        <v>PARAYNO</v>
      </c>
      <c r="C1293" s="9" t="str">
        <f>IFERROR(__xludf.DUMMYFUNCTION("""COMPUTED_VALUE"""),"CATHLENE")</f>
        <v>CATHLENE</v>
      </c>
      <c r="D1293" s="9"/>
      <c r="E1293" s="9" t="str">
        <f>IFERROR(__xludf.DUMMYFUNCTION("""COMPUTED_VALUE"""),"CHRISTOPHER PARAYNO")</f>
        <v>CHRISTOPHER PARAYNO</v>
      </c>
      <c r="F1293" s="133"/>
      <c r="G1293" s="133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60"/>
      <c r="B1294" s="9" t="str">
        <f>IFERROR(__xludf.DUMMYFUNCTION("""COMPUTED_VALUE"""),"PARAYNO")</f>
        <v>PARAYNO</v>
      </c>
      <c r="C1294" s="9" t="str">
        <f>IFERROR(__xludf.DUMMYFUNCTION("""COMPUTED_VALUE"""),"CASANDRA LEIZA")</f>
        <v>CASANDRA LEIZA</v>
      </c>
      <c r="D1294" s="9"/>
      <c r="E1294" s="9" t="str">
        <f>IFERROR(__xludf.DUMMYFUNCTION("""COMPUTED_VALUE"""),"CHRISTOPHER PARAYNO")</f>
        <v>CHRISTOPHER PARAYNO</v>
      </c>
      <c r="F1294" s="133"/>
      <c r="G1294" s="133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60"/>
      <c r="B1295" s="9" t="str">
        <f>IFERROR(__xludf.DUMMYFUNCTION("""COMPUTED_VALUE"""),"CESA")</f>
        <v>CESA</v>
      </c>
      <c r="C1295" s="9" t="str">
        <f>IFERROR(__xludf.DUMMYFUNCTION("""COMPUTED_VALUE"""),"MARY SOFIE")</f>
        <v>MARY SOFIE</v>
      </c>
      <c r="D1295" s="9"/>
      <c r="E1295" s="9" t="str">
        <f>IFERROR(__xludf.DUMMYFUNCTION("""COMPUTED_VALUE"""),"REGINA ESTABILLO")</f>
        <v>REGINA ESTABILLO</v>
      </c>
      <c r="F1295" s="133"/>
      <c r="G1295" s="133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60"/>
      <c r="B1296" s="9" t="str">
        <f>IFERROR(__xludf.DUMMYFUNCTION("""COMPUTED_VALUE"""),"MENDOZA")</f>
        <v>MENDOZA</v>
      </c>
      <c r="C1296" s="9" t="str">
        <f>IFERROR(__xludf.DUMMYFUNCTION("""COMPUTED_VALUE"""),"ZABRINA NICOLE")</f>
        <v>ZABRINA NICOLE</v>
      </c>
      <c r="D1296" s="9"/>
      <c r="E1296" s="9" t="str">
        <f>IFERROR(__xludf.DUMMYFUNCTION("""COMPUTED_VALUE"""),"JONATHAN FAUSTINO")</f>
        <v>JONATHAN FAUSTINO</v>
      </c>
      <c r="F1296" s="133"/>
      <c r="G1296" s="133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60"/>
      <c r="B1297" s="9" t="str">
        <f>IFERROR(__xludf.DUMMYFUNCTION("""COMPUTED_VALUE"""),"FAUSTINO")</f>
        <v>FAUSTINO</v>
      </c>
      <c r="C1297" s="9" t="str">
        <f>IFERROR(__xludf.DUMMYFUNCTION("""COMPUTED_VALUE"""),"NICK ASHER")</f>
        <v>NICK ASHER</v>
      </c>
      <c r="D1297" s="9"/>
      <c r="E1297" s="9" t="str">
        <f>IFERROR(__xludf.DUMMYFUNCTION("""COMPUTED_VALUE"""),"JONATHAN FAUSTINO")</f>
        <v>JONATHAN FAUSTINO</v>
      </c>
      <c r="F1297" s="133"/>
      <c r="G1297" s="133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60"/>
      <c r="B1298" s="9" t="str">
        <f>IFERROR(__xludf.DUMMYFUNCTION("""COMPUTED_VALUE"""),"DE GUZMAN")</f>
        <v>DE GUZMAN</v>
      </c>
      <c r="C1298" s="9" t="str">
        <f>IFERROR(__xludf.DUMMYFUNCTION("""COMPUTED_VALUE"""),"KURT LESTER")</f>
        <v>KURT LESTER</v>
      </c>
      <c r="D1298" s="9"/>
      <c r="E1298" s="9" t="str">
        <f>IFERROR(__xludf.DUMMYFUNCTION("""COMPUTED_VALUE"""),"RYAN B. DE GUZMAN")</f>
        <v>RYAN B. DE GUZMAN</v>
      </c>
      <c r="F1298" s="133"/>
      <c r="G1298" s="133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60"/>
      <c r="B1299" s="9" t="str">
        <f>IFERROR(__xludf.DUMMYFUNCTION("""COMPUTED_VALUE"""),"DE GUZMAN")</f>
        <v>DE GUZMAN</v>
      </c>
      <c r="C1299" s="9" t="str">
        <f>IFERROR(__xludf.DUMMYFUNCTION("""COMPUTED_VALUE"""),"MARK ANDREI")</f>
        <v>MARK ANDREI</v>
      </c>
      <c r="D1299" s="9"/>
      <c r="E1299" s="9" t="str">
        <f>IFERROR(__xludf.DUMMYFUNCTION("""COMPUTED_VALUE"""),"RYAN B. DE GUZMAN")</f>
        <v>RYAN B. DE GUZMAN</v>
      </c>
      <c r="F1299" s="133"/>
      <c r="G1299" s="133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60"/>
      <c r="B1300" s="9" t="str">
        <f>IFERROR(__xludf.DUMMYFUNCTION("""COMPUTED_VALUE"""),"MIRASOL")</f>
        <v>MIRASOL</v>
      </c>
      <c r="C1300" s="9" t="str">
        <f>IFERROR(__xludf.DUMMYFUNCTION("""COMPUTED_VALUE"""),"CATHLEYA")</f>
        <v>CATHLEYA</v>
      </c>
      <c r="D1300" s="9"/>
      <c r="E1300" s="9" t="str">
        <f>IFERROR(__xludf.DUMMYFUNCTION("""COMPUTED_VALUE"""),"RAMIL MIRASOL")</f>
        <v>RAMIL MIRASOL</v>
      </c>
      <c r="F1300" s="133"/>
      <c r="G1300" s="133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60"/>
      <c r="B1301" s="9" t="str">
        <f>IFERROR(__xludf.DUMMYFUNCTION("""COMPUTED_VALUE"""),"MIRASOL")</f>
        <v>MIRASOL</v>
      </c>
      <c r="C1301" s="9" t="str">
        <f>IFERROR(__xludf.DUMMYFUNCTION("""COMPUTED_VALUE"""),"COLEEN ZHEA")</f>
        <v>COLEEN ZHEA</v>
      </c>
      <c r="D1301" s="9"/>
      <c r="E1301" s="9" t="str">
        <f>IFERROR(__xludf.DUMMYFUNCTION("""COMPUTED_VALUE"""),"RAMIL MIRASOL")</f>
        <v>RAMIL MIRASOL</v>
      </c>
      <c r="F1301" s="133"/>
      <c r="G1301" s="133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60"/>
      <c r="B1302" s="9" t="str">
        <f>IFERROR(__xludf.DUMMYFUNCTION("""COMPUTED_VALUE"""),"MIRASOL")</f>
        <v>MIRASOL</v>
      </c>
      <c r="C1302" s="9" t="str">
        <f>IFERROR(__xludf.DUMMYFUNCTION("""COMPUTED_VALUE"""),"CHLOE JANE")</f>
        <v>CHLOE JANE</v>
      </c>
      <c r="D1302" s="9"/>
      <c r="E1302" s="9" t="str">
        <f>IFERROR(__xludf.DUMMYFUNCTION("""COMPUTED_VALUE"""),"RAMIL MIRASOL")</f>
        <v>RAMIL MIRASOL</v>
      </c>
      <c r="F1302" s="133"/>
      <c r="G1302" s="133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60"/>
      <c r="B1303" s="9" t="str">
        <f>IFERROR(__xludf.DUMMYFUNCTION("""COMPUTED_VALUE"""),"MIRASOL")</f>
        <v>MIRASOL</v>
      </c>
      <c r="C1303" s="9" t="str">
        <f>IFERROR(__xludf.DUMMYFUNCTION("""COMPUTED_VALUE"""),"CHYD SAMUEL")</f>
        <v>CHYD SAMUEL</v>
      </c>
      <c r="D1303" s="9"/>
      <c r="E1303" s="9" t="str">
        <f>IFERROR(__xludf.DUMMYFUNCTION("""COMPUTED_VALUE"""),"RAMIL MIRASOL")</f>
        <v>RAMIL MIRASOL</v>
      </c>
      <c r="F1303" s="133"/>
      <c r="G1303" s="133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60"/>
      <c r="B1304" s="9" t="str">
        <f>IFERROR(__xludf.DUMMYFUNCTION("""COMPUTED_VALUE"""),"SANTOS ")</f>
        <v>SANTOS </v>
      </c>
      <c r="C1304" s="9" t="str">
        <f>IFERROR(__xludf.DUMMYFUNCTION("""COMPUTED_VALUE"""),"LANCELOT MIL")</f>
        <v>LANCELOT MIL</v>
      </c>
      <c r="D1304" s="9"/>
      <c r="E1304" s="9" t="str">
        <f>IFERROR(__xludf.DUMMYFUNCTION("""COMPUTED_VALUE"""),"RAMIL SANTOS")</f>
        <v>RAMIL SANTOS</v>
      </c>
      <c r="F1304" s="133"/>
      <c r="G1304" s="133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60"/>
      <c r="B1305" s="9" t="str">
        <f>IFERROR(__xludf.DUMMYFUNCTION("""COMPUTED_VALUE"""),"SANTOS ")</f>
        <v>SANTOS </v>
      </c>
      <c r="C1305" s="9" t="str">
        <f>IFERROR(__xludf.DUMMYFUNCTION("""COMPUTED_VALUE"""),"LUIGI MIL")</f>
        <v>LUIGI MIL</v>
      </c>
      <c r="D1305" s="9"/>
      <c r="E1305" s="9" t="str">
        <f>IFERROR(__xludf.DUMMYFUNCTION("""COMPUTED_VALUE"""),"RAMIL SANTOS")</f>
        <v>RAMIL SANTOS</v>
      </c>
      <c r="F1305" s="133"/>
      <c r="G1305" s="133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60"/>
      <c r="B1306" s="9" t="str">
        <f>IFERROR(__xludf.DUMMYFUNCTION("""COMPUTED_VALUE"""),"SANTOS ")</f>
        <v>SANTOS </v>
      </c>
      <c r="C1306" s="9" t="str">
        <f>IFERROR(__xludf.DUMMYFUNCTION("""COMPUTED_VALUE"""),"LEANNE")</f>
        <v>LEANNE</v>
      </c>
      <c r="D1306" s="9"/>
      <c r="E1306" s="9" t="str">
        <f>IFERROR(__xludf.DUMMYFUNCTION("""COMPUTED_VALUE"""),"RAMIL SANTOS")</f>
        <v>RAMIL SANTOS</v>
      </c>
      <c r="F1306" s="133"/>
      <c r="G1306" s="133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60"/>
      <c r="B1307" s="9" t="str">
        <f>IFERROR(__xludf.DUMMYFUNCTION("""COMPUTED_VALUE"""),"NAVARRO")</f>
        <v>NAVARRO</v>
      </c>
      <c r="C1307" s="9" t="str">
        <f>IFERROR(__xludf.DUMMYFUNCTION("""COMPUTED_VALUE"""),"EARL MAVERICK ")</f>
        <v>EARL MAVERICK </v>
      </c>
      <c r="D1307" s="9" t="str">
        <f>IFERROR(__xludf.DUMMYFUNCTION("""COMPUTED_VALUE"""),"Q.")</f>
        <v>Q.</v>
      </c>
      <c r="E1307" s="9" t="str">
        <f>IFERROR(__xludf.DUMMYFUNCTION("""COMPUTED_VALUE"""),"ANGELITA E. QUIRIT")</f>
        <v>ANGELITA E. QUIRIT</v>
      </c>
      <c r="F1307" s="133"/>
      <c r="G1307" s="133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60"/>
      <c r="B1308" s="9" t="str">
        <f>IFERROR(__xludf.DUMMYFUNCTION("""COMPUTED_VALUE"""),"SERAPIA")</f>
        <v>SERAPIA</v>
      </c>
      <c r="C1308" s="9" t="str">
        <f>IFERROR(__xludf.DUMMYFUNCTION("""COMPUTED_VALUE"""),"CARLO")</f>
        <v>CARLO</v>
      </c>
      <c r="D1308" s="9" t="str">
        <f>IFERROR(__xludf.DUMMYFUNCTION("""COMPUTED_VALUE"""),"G.")</f>
        <v>G.</v>
      </c>
      <c r="E1308" s="9" t="str">
        <f>IFERROR(__xludf.DUMMYFUNCTION("""COMPUTED_VALUE"""),"ELLEN G. SERAPIA")</f>
        <v>ELLEN G. SERAPIA</v>
      </c>
      <c r="F1308" s="133"/>
      <c r="G1308" s="133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60"/>
      <c r="B1309" s="9" t="str">
        <f>IFERROR(__xludf.DUMMYFUNCTION("""COMPUTED_VALUE"""),"BARBACENA")</f>
        <v>BARBACENA</v>
      </c>
      <c r="C1309" s="9" t="str">
        <f>IFERROR(__xludf.DUMMYFUNCTION("""COMPUTED_VALUE"""),"DEAN PAUL ")</f>
        <v>DEAN PAUL </v>
      </c>
      <c r="D1309" s="9" t="str">
        <f>IFERROR(__xludf.DUMMYFUNCTION("""COMPUTED_VALUE"""),"P.")</f>
        <v>P.</v>
      </c>
      <c r="E1309" s="9" t="str">
        <f>IFERROR(__xludf.DUMMYFUNCTION("""COMPUTED_VALUE"""),"DANILO PAUL P. BARBACENA")</f>
        <v>DANILO PAUL P. BARBACENA</v>
      </c>
      <c r="F1309" s="133"/>
      <c r="G1309" s="133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60"/>
      <c r="B1310" s="9" t="str">
        <f>IFERROR(__xludf.DUMMYFUNCTION("""COMPUTED_VALUE"""),"BARBACENA")</f>
        <v>BARBACENA</v>
      </c>
      <c r="C1310" s="9" t="str">
        <f>IFERROR(__xludf.DUMMYFUNCTION("""COMPUTED_VALUE"""),"DEAN NATHANIEL")</f>
        <v>DEAN NATHANIEL</v>
      </c>
      <c r="D1310" s="9" t="str">
        <f>IFERROR(__xludf.DUMMYFUNCTION("""COMPUTED_VALUE"""),"P.")</f>
        <v>P.</v>
      </c>
      <c r="E1310" s="9" t="str">
        <f>IFERROR(__xludf.DUMMYFUNCTION("""COMPUTED_VALUE"""),"DANILO PAUL P. BARBACENA")</f>
        <v>DANILO PAUL P. BARBACENA</v>
      </c>
      <c r="F1310" s="133"/>
      <c r="G1310" s="133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60"/>
      <c r="B1311" s="9" t="str">
        <f>IFERROR(__xludf.DUMMYFUNCTION("""COMPUTED_VALUE"""),"BARBACENA")</f>
        <v>BARBACENA</v>
      </c>
      <c r="C1311" s="9" t="str">
        <f>IFERROR(__xludf.DUMMYFUNCTION("""COMPUTED_VALUE"""),"JOLLY ROSE ANN")</f>
        <v>JOLLY ROSE ANN</v>
      </c>
      <c r="D1311" s="9" t="str">
        <f>IFERROR(__xludf.DUMMYFUNCTION("""COMPUTED_VALUE"""),"P.")</f>
        <v>P.</v>
      </c>
      <c r="E1311" s="9" t="str">
        <f>IFERROR(__xludf.DUMMYFUNCTION("""COMPUTED_VALUE"""),"DANILO PAUL P. BARBACENA")</f>
        <v>DANILO PAUL P. BARBACENA</v>
      </c>
      <c r="F1311" s="133"/>
      <c r="G1311" s="133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60"/>
      <c r="B1312" s="9" t="str">
        <f>IFERROR(__xludf.DUMMYFUNCTION("""COMPUTED_VALUE"""),"BARBACENA")</f>
        <v>BARBACENA</v>
      </c>
      <c r="C1312" s="9" t="str">
        <f>IFERROR(__xludf.DUMMYFUNCTION("""COMPUTED_VALUE"""),"DANICA PIA")</f>
        <v>DANICA PIA</v>
      </c>
      <c r="D1312" s="9" t="str">
        <f>IFERROR(__xludf.DUMMYFUNCTION("""COMPUTED_VALUE"""),"P.")</f>
        <v>P.</v>
      </c>
      <c r="E1312" s="9" t="str">
        <f>IFERROR(__xludf.DUMMYFUNCTION("""COMPUTED_VALUE"""),"DANILO PAUL P. BARBACENA")</f>
        <v>DANILO PAUL P. BARBACENA</v>
      </c>
      <c r="F1312" s="133"/>
      <c r="G1312" s="133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60"/>
      <c r="B1313" s="9" t="str">
        <f>IFERROR(__xludf.DUMMYFUNCTION("""COMPUTED_VALUE"""),"BARBACENA")</f>
        <v>BARBACENA</v>
      </c>
      <c r="C1313" s="9" t="str">
        <f>IFERROR(__xludf.DUMMYFUNCTION("""COMPUTED_VALUE"""),"JAMES PETER")</f>
        <v>JAMES PETER</v>
      </c>
      <c r="D1313" s="9" t="str">
        <f>IFERROR(__xludf.DUMMYFUNCTION("""COMPUTED_VALUE"""),"P.")</f>
        <v>P.</v>
      </c>
      <c r="E1313" s="9" t="str">
        <f>IFERROR(__xludf.DUMMYFUNCTION("""COMPUTED_VALUE"""),"DANILO PAUL P. BARBACENA")</f>
        <v>DANILO PAUL P. BARBACENA</v>
      </c>
      <c r="F1313" s="133"/>
      <c r="G1313" s="133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60"/>
      <c r="B1314" s="9" t="str">
        <f>IFERROR(__xludf.DUMMYFUNCTION("""COMPUTED_VALUE"""),"PULGA")</f>
        <v>PULGA</v>
      </c>
      <c r="C1314" s="9" t="str">
        <f>IFERROR(__xludf.DUMMYFUNCTION("""COMPUTED_VALUE"""),"JERRY")</f>
        <v>JERRY</v>
      </c>
      <c r="D1314" s="9" t="str">
        <f>IFERROR(__xludf.DUMMYFUNCTION("""COMPUTED_VALUE"""),"O.")</f>
        <v>O.</v>
      </c>
      <c r="E1314" s="9" t="str">
        <f>IFERROR(__xludf.DUMMYFUNCTION("""COMPUTED_VALUE"""),"ADELAIDA O. PULGA")</f>
        <v>ADELAIDA O. PULGA</v>
      </c>
      <c r="F1314" s="133"/>
      <c r="G1314" s="133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60"/>
      <c r="B1315" s="9" t="str">
        <f>IFERROR(__xludf.DUMMYFUNCTION("""COMPUTED_VALUE"""),"CHENG")</f>
        <v>CHENG</v>
      </c>
      <c r="C1315" s="9" t="str">
        <f>IFERROR(__xludf.DUMMYFUNCTION("""COMPUTED_VALUE"""),"ZANDER ALDRIDGE")</f>
        <v>ZANDER ALDRIDGE</v>
      </c>
      <c r="D1315" s="9"/>
      <c r="E1315" s="9" t="str">
        <f>IFERROR(__xludf.DUMMYFUNCTION("""COMPUTED_VALUE"""),"ALEX CHENG")</f>
        <v>ALEX CHENG</v>
      </c>
      <c r="F1315" s="133"/>
      <c r="G1315" s="133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60"/>
      <c r="B1316" s="9" t="str">
        <f>IFERROR(__xludf.DUMMYFUNCTION("""COMPUTED_VALUE"""),"CHENG")</f>
        <v>CHENG</v>
      </c>
      <c r="C1316" s="9" t="str">
        <f>IFERROR(__xludf.DUMMYFUNCTION("""COMPUTED_VALUE"""),"AZAMA QUINZY ")</f>
        <v>AZAMA QUINZY </v>
      </c>
      <c r="D1316" s="9"/>
      <c r="E1316" s="9" t="str">
        <f>IFERROR(__xludf.DUMMYFUNCTION("""COMPUTED_VALUE"""),"ALEX CHENG")</f>
        <v>ALEX CHENG</v>
      </c>
      <c r="F1316" s="133"/>
      <c r="G1316" s="133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60"/>
      <c r="B1317" s="9" t="str">
        <f>IFERROR(__xludf.DUMMYFUNCTION("""COMPUTED_VALUE"""),"CHENG")</f>
        <v>CHENG</v>
      </c>
      <c r="C1317" s="9" t="str">
        <f>IFERROR(__xludf.DUMMYFUNCTION("""COMPUTED_VALUE"""),"MICHAEL")</f>
        <v>MICHAEL</v>
      </c>
      <c r="D1317" s="9"/>
      <c r="E1317" s="9" t="str">
        <f>IFERROR(__xludf.DUMMYFUNCTION("""COMPUTED_VALUE"""),"ANCHITA P. ORCASITAS")</f>
        <v>ANCHITA P. ORCASITAS</v>
      </c>
      <c r="F1317" s="133" t="str">
        <f>IFERROR(__xludf.DUMMYFUNCTION("""COMPUTED_VALUE"""),"BRGY. OFFICIALS")</f>
        <v>BRGY. OFFICIALS</v>
      </c>
      <c r="G1317" s="133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60"/>
      <c r="B1318" s="9" t="str">
        <f>IFERROR(__xludf.DUMMYFUNCTION("""COMPUTED_VALUE"""),"CHENG")</f>
        <v>CHENG</v>
      </c>
      <c r="C1318" s="9" t="str">
        <f>IFERROR(__xludf.DUMMYFUNCTION("""COMPUTED_VALUE"""),"MARCUS ILLIAD ")</f>
        <v>MARCUS ILLIAD </v>
      </c>
      <c r="D1318" s="9"/>
      <c r="E1318" s="9" t="str">
        <f>IFERROR(__xludf.DUMMYFUNCTION("""COMPUTED_VALUE"""),"MARVIN CHENG")</f>
        <v>MARVIN CHENG</v>
      </c>
      <c r="F1318" s="133"/>
      <c r="G1318" s="133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60"/>
      <c r="B1319" s="9" t="str">
        <f>IFERROR(__xludf.DUMMYFUNCTION("""COMPUTED_VALUE"""),"ENRIQUEZ")</f>
        <v>ENRIQUEZ</v>
      </c>
      <c r="C1319" s="9" t="str">
        <f>IFERROR(__xludf.DUMMYFUNCTION("""COMPUTED_VALUE"""),"JANINE KYLE")</f>
        <v>JANINE KYLE</v>
      </c>
      <c r="D1319" s="9"/>
      <c r="E1319" s="9" t="str">
        <f>IFERROR(__xludf.DUMMYFUNCTION("""COMPUTED_VALUE"""),"JOSEPH O. PULGA")</f>
        <v>JOSEPH O. PULGA</v>
      </c>
      <c r="F1319" s="133"/>
      <c r="G1319" s="133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60"/>
      <c r="B1320" s="9" t="str">
        <f>IFERROR(__xludf.DUMMYFUNCTION("""COMPUTED_VALUE"""),"ENRIQUEZ")</f>
        <v>ENRIQUEZ</v>
      </c>
      <c r="C1320" s="9" t="str">
        <f>IFERROR(__xludf.DUMMYFUNCTION("""COMPUTED_VALUE"""),"ALLIAH")</f>
        <v>ALLIAH</v>
      </c>
      <c r="D1320" s="9"/>
      <c r="E1320" s="9" t="str">
        <f>IFERROR(__xludf.DUMMYFUNCTION("""COMPUTED_VALUE"""),"JOSEPH O. PULGA")</f>
        <v>JOSEPH O. PULGA</v>
      </c>
      <c r="F1320" s="133"/>
      <c r="G1320" s="133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60"/>
      <c r="B1321" s="9" t="str">
        <f>IFERROR(__xludf.DUMMYFUNCTION("""COMPUTED_VALUE"""),"PULGA")</f>
        <v>PULGA</v>
      </c>
      <c r="C1321" s="9" t="str">
        <f>IFERROR(__xludf.DUMMYFUNCTION("""COMPUTED_VALUE"""),"JOSEPH")</f>
        <v>JOSEPH</v>
      </c>
      <c r="D1321" s="9"/>
      <c r="E1321" s="9" t="str">
        <f>IFERROR(__xludf.DUMMYFUNCTION("""COMPUTED_VALUE"""),"JOSEPH O. PULGA")</f>
        <v>JOSEPH O. PULGA</v>
      </c>
      <c r="F1321" s="133"/>
      <c r="G1321" s="133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60"/>
      <c r="B1322" s="9" t="str">
        <f>IFERROR(__xludf.DUMMYFUNCTION("""COMPUTED_VALUE"""),"ANGELA")</f>
        <v>ANGELA</v>
      </c>
      <c r="C1322" s="9" t="str">
        <f>IFERROR(__xludf.DUMMYFUNCTION("""COMPUTED_VALUE"""),"PULGA")</f>
        <v>PULGA</v>
      </c>
      <c r="D1322" s="9"/>
      <c r="E1322" s="9" t="str">
        <f>IFERROR(__xludf.DUMMYFUNCTION("""COMPUTED_VALUE"""),"JOSEPH O. PULGA")</f>
        <v>JOSEPH O. PULGA</v>
      </c>
      <c r="F1322" s="133"/>
      <c r="G1322" s="133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60"/>
      <c r="B1323" s="9" t="str">
        <f>IFERROR(__xludf.DUMMYFUNCTION("""COMPUTED_VALUE"""),"ALYZA ")</f>
        <v>ALYZA </v>
      </c>
      <c r="C1323" s="9" t="str">
        <f>IFERROR(__xludf.DUMMYFUNCTION("""COMPUTED_VALUE"""),"PULGA")</f>
        <v>PULGA</v>
      </c>
      <c r="D1323" s="9"/>
      <c r="E1323" s="9" t="str">
        <f>IFERROR(__xludf.DUMMYFUNCTION("""COMPUTED_VALUE"""),"JOSEPH O. PULGA")</f>
        <v>JOSEPH O. PULGA</v>
      </c>
      <c r="F1323" s="133"/>
      <c r="G1323" s="133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60"/>
      <c r="B1324" s="9" t="str">
        <f>IFERROR(__xludf.DUMMYFUNCTION("""COMPUTED_VALUE"""),"PULGA")</f>
        <v>PULGA</v>
      </c>
      <c r="C1324" s="9" t="str">
        <f>IFERROR(__xludf.DUMMYFUNCTION("""COMPUTED_VALUE"""),"JILLIAN")</f>
        <v>JILLIAN</v>
      </c>
      <c r="D1324" s="9"/>
      <c r="E1324" s="9" t="str">
        <f>IFERROR(__xludf.DUMMYFUNCTION("""COMPUTED_VALUE"""),"JOSEPH O. PULGA")</f>
        <v>JOSEPH O. PULGA</v>
      </c>
      <c r="F1324" s="133"/>
      <c r="G1324" s="133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60"/>
      <c r="B1325" s="9" t="str">
        <f>IFERROR(__xludf.DUMMYFUNCTION("""COMPUTED_VALUE"""),"ORCASITAS")</f>
        <v>ORCASITAS</v>
      </c>
      <c r="C1325" s="9" t="str">
        <f>IFERROR(__xludf.DUMMYFUNCTION("""COMPUTED_VALUE"""),"MARY EUNICE")</f>
        <v>MARY EUNICE</v>
      </c>
      <c r="D1325" s="9"/>
      <c r="E1325" s="9" t="str">
        <f>IFERROR(__xludf.DUMMYFUNCTION("""COMPUTED_VALUE"""),"EDWIN EUNICE ORCASITAS")</f>
        <v>EDWIN EUNICE ORCASITAS</v>
      </c>
      <c r="F1325" s="133"/>
      <c r="G1325" s="133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60"/>
      <c r="B1326" s="9" t="str">
        <f>IFERROR(__xludf.DUMMYFUNCTION("""COMPUTED_VALUE"""),"ORCASITAS")</f>
        <v>ORCASITAS</v>
      </c>
      <c r="C1326" s="9" t="str">
        <f>IFERROR(__xludf.DUMMYFUNCTION("""COMPUTED_VALUE"""),"MARIA EUNICE")</f>
        <v>MARIA EUNICE</v>
      </c>
      <c r="D1326" s="9"/>
      <c r="E1326" s="9" t="str">
        <f>IFERROR(__xludf.DUMMYFUNCTION("""COMPUTED_VALUE"""),"EDWIN EUNICE ORCASITAS")</f>
        <v>EDWIN EUNICE ORCASITAS</v>
      </c>
      <c r="F1326" s="133"/>
      <c r="G1326" s="133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60"/>
      <c r="B1327" s="9" t="str">
        <f>IFERROR(__xludf.DUMMYFUNCTION("""COMPUTED_VALUE"""),"ORCASITAS JR.")</f>
        <v>ORCASITAS JR.</v>
      </c>
      <c r="C1327" s="9" t="str">
        <f>IFERROR(__xludf.DUMMYFUNCTION("""COMPUTED_VALUE"""),"EDWIN")</f>
        <v>EDWIN</v>
      </c>
      <c r="D1327" s="9"/>
      <c r="E1327" s="9" t="str">
        <f>IFERROR(__xludf.DUMMYFUNCTION("""COMPUTED_VALUE"""),"EDWIN EUNICE ORCASITAS")</f>
        <v>EDWIN EUNICE ORCASITAS</v>
      </c>
      <c r="F1327" s="133"/>
      <c r="G1327" s="133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60"/>
      <c r="B1328" s="9" t="str">
        <f>IFERROR(__xludf.DUMMYFUNCTION("""COMPUTED_VALUE"""),"ORCASITAS")</f>
        <v>ORCASITAS</v>
      </c>
      <c r="C1328" s="9" t="str">
        <f>IFERROR(__xludf.DUMMYFUNCTION("""COMPUTED_VALUE"""),"EMANUEL CHRISTIAN")</f>
        <v>EMANUEL CHRISTIAN</v>
      </c>
      <c r="D1328" s="9" t="str">
        <f>IFERROR(__xludf.DUMMYFUNCTION("""COMPUTED_VALUE"""),"Y.")</f>
        <v>Y.</v>
      </c>
      <c r="E1328" s="9" t="str">
        <f>IFERROR(__xludf.DUMMYFUNCTION("""COMPUTED_VALUE"""),"EFREN G. ORCASITAS")</f>
        <v>EFREN G. ORCASITAS</v>
      </c>
      <c r="F1328" s="133"/>
      <c r="G1328" s="133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60"/>
      <c r="B1329" s="9" t="str">
        <f>IFERROR(__xludf.DUMMYFUNCTION("""COMPUTED_VALUE"""),"ORCASITAS")</f>
        <v>ORCASITAS</v>
      </c>
      <c r="C1329" s="9" t="str">
        <f>IFERROR(__xludf.DUMMYFUNCTION("""COMPUTED_VALUE"""),"MIGUEL")</f>
        <v>MIGUEL</v>
      </c>
      <c r="D1329" s="9" t="str">
        <f>IFERROR(__xludf.DUMMYFUNCTION("""COMPUTED_VALUE"""),"Y.")</f>
        <v>Y.</v>
      </c>
      <c r="E1329" s="9" t="str">
        <f>IFERROR(__xludf.DUMMYFUNCTION("""COMPUTED_VALUE"""),"EFREN G. ORCASITAS")</f>
        <v>EFREN G. ORCASITAS</v>
      </c>
      <c r="F1329" s="133"/>
      <c r="G1329" s="133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60"/>
      <c r="B1330" s="9" t="str">
        <f>IFERROR(__xludf.DUMMYFUNCTION("""COMPUTED_VALUE"""),"ORCASITAS")</f>
        <v>ORCASITAS</v>
      </c>
      <c r="C1330" s="9" t="str">
        <f>IFERROR(__xludf.DUMMYFUNCTION("""COMPUTED_VALUE"""),"BRYN")</f>
        <v>BRYN</v>
      </c>
      <c r="D1330" s="9" t="str">
        <f>IFERROR(__xludf.DUMMYFUNCTION("""COMPUTED_VALUE"""),"Y.")</f>
        <v>Y.</v>
      </c>
      <c r="E1330" s="9" t="str">
        <f>IFERROR(__xludf.DUMMYFUNCTION("""COMPUTED_VALUE"""),"EFREN G. ORCASITAS")</f>
        <v>EFREN G. ORCASITAS</v>
      </c>
      <c r="F1330" s="133"/>
      <c r="G1330" s="133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60"/>
      <c r="B1331" s="9" t="str">
        <f>IFERROR(__xludf.DUMMYFUNCTION("""COMPUTED_VALUE"""),"ILAYA")</f>
        <v>ILAYA</v>
      </c>
      <c r="C1331" s="9" t="str">
        <f>IFERROR(__xludf.DUMMYFUNCTION("""COMPUTED_VALUE"""),"PRINCE KYLLER")</f>
        <v>PRINCE KYLLER</v>
      </c>
      <c r="D1331" s="9" t="str">
        <f>IFERROR(__xludf.DUMMYFUNCTION("""COMPUTED_VALUE"""),"C.")</f>
        <v>C.</v>
      </c>
      <c r="E1331" s="9" t="str">
        <f>IFERROR(__xludf.DUMMYFUNCTION("""COMPUTED_VALUE"""),"NELSON KYLE M. ILAYA")</f>
        <v>NELSON KYLE M. ILAYA</v>
      </c>
      <c r="F1331" s="133"/>
      <c r="G1331" s="133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60"/>
      <c r="B1332" s="9" t="str">
        <f>IFERROR(__xludf.DUMMYFUNCTION("""COMPUTED_VALUE"""),"ILAYA")</f>
        <v>ILAYA</v>
      </c>
      <c r="C1332" s="9" t="str">
        <f>IFERROR(__xludf.DUMMYFUNCTION("""COMPUTED_VALUE"""),"KAI SHAW")</f>
        <v>KAI SHAW</v>
      </c>
      <c r="D1332" s="9" t="str">
        <f>IFERROR(__xludf.DUMMYFUNCTION("""COMPUTED_VALUE"""),"C.")</f>
        <v>C.</v>
      </c>
      <c r="E1332" s="9" t="str">
        <f>IFERROR(__xludf.DUMMYFUNCTION("""COMPUTED_VALUE"""),"NELSON KYLE M. ILAYA")</f>
        <v>NELSON KYLE M. ILAYA</v>
      </c>
      <c r="F1332" s="133"/>
      <c r="G1332" s="133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60"/>
      <c r="B1333" s="9" t="str">
        <f>IFERROR(__xludf.DUMMYFUNCTION("""COMPUTED_VALUE"""),"ILAYA")</f>
        <v>ILAYA</v>
      </c>
      <c r="C1333" s="9" t="str">
        <f>IFERROR(__xludf.DUMMYFUNCTION("""COMPUTED_VALUE"""),"IXIAH KAYLEE")</f>
        <v>IXIAH KAYLEE</v>
      </c>
      <c r="D1333" s="9" t="str">
        <f>IFERROR(__xludf.DUMMYFUNCTION("""COMPUTED_VALUE"""),"C.")</f>
        <v>C.</v>
      </c>
      <c r="E1333" s="9" t="str">
        <f>IFERROR(__xludf.DUMMYFUNCTION("""COMPUTED_VALUE"""),"NELSON KYLE M. ILAYA")</f>
        <v>NELSON KYLE M. ILAYA</v>
      </c>
      <c r="F1333" s="133"/>
      <c r="G1333" s="133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60"/>
      <c r="B1334" s="9" t="str">
        <f>IFERROR(__xludf.DUMMYFUNCTION("""COMPUTED_VALUE"""),"ILAYA")</f>
        <v>ILAYA</v>
      </c>
      <c r="C1334" s="9" t="str">
        <f>IFERROR(__xludf.DUMMYFUNCTION("""COMPUTED_VALUE"""),"ALLIYAH KAE ")</f>
        <v>ALLIYAH KAE </v>
      </c>
      <c r="D1334" s="9" t="str">
        <f>IFERROR(__xludf.DUMMYFUNCTION("""COMPUTED_VALUE"""),"C.")</f>
        <v>C.</v>
      </c>
      <c r="E1334" s="9" t="str">
        <f>IFERROR(__xludf.DUMMYFUNCTION("""COMPUTED_VALUE"""),"NELSON KYLE M. ILAYA")</f>
        <v>NELSON KYLE M. ILAYA</v>
      </c>
      <c r="F1334" s="133"/>
      <c r="G1334" s="133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60"/>
      <c r="B1335" s="9" t="str">
        <f>IFERROR(__xludf.DUMMYFUNCTION("""COMPUTED_VALUE"""),"ILAYA")</f>
        <v>ILAYA</v>
      </c>
      <c r="C1335" s="9" t="str">
        <f>IFERROR(__xludf.DUMMYFUNCTION("""COMPUTED_VALUE"""),"KYLE  ")</f>
        <v>KYLE  </v>
      </c>
      <c r="D1335" s="9" t="str">
        <f>IFERROR(__xludf.DUMMYFUNCTION("""COMPUTED_VALUE"""),"M.")</f>
        <v>M.</v>
      </c>
      <c r="E1335" s="9" t="str">
        <f>IFERROR(__xludf.DUMMYFUNCTION("""COMPUTED_VALUE"""),"NELSON M. ILAYA")</f>
        <v>NELSON M. ILAYA</v>
      </c>
      <c r="F1335" s="133"/>
      <c r="G1335" s="133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60"/>
      <c r="B1336" s="9" t="str">
        <f>IFERROR(__xludf.DUMMYFUNCTION("""COMPUTED_VALUE"""),"ILAYA")</f>
        <v>ILAYA</v>
      </c>
      <c r="C1336" s="9" t="str">
        <f>IFERROR(__xludf.DUMMYFUNCTION("""COMPUTED_VALUE"""),"PRINCESS ALEXA ")</f>
        <v>PRINCESS ALEXA </v>
      </c>
      <c r="D1336" s="9" t="str">
        <f>IFERROR(__xludf.DUMMYFUNCTION("""COMPUTED_VALUE"""),"M.")</f>
        <v>M.</v>
      </c>
      <c r="E1336" s="9" t="str">
        <f>IFERROR(__xludf.DUMMYFUNCTION("""COMPUTED_VALUE"""),"NELSON M. ILAYA")</f>
        <v>NELSON M. ILAYA</v>
      </c>
      <c r="F1336" s="133"/>
      <c r="G1336" s="133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60"/>
      <c r="B1337" s="9" t="str">
        <f>IFERROR(__xludf.DUMMYFUNCTION("""COMPUTED_VALUE"""),"ILAYA")</f>
        <v>ILAYA</v>
      </c>
      <c r="C1337" s="9" t="str">
        <f>IFERROR(__xludf.DUMMYFUNCTION("""COMPUTED_VALUE"""),"KRISNEL ASHLEY")</f>
        <v>KRISNEL ASHLEY</v>
      </c>
      <c r="D1337" s="9" t="str">
        <f>IFERROR(__xludf.DUMMYFUNCTION("""COMPUTED_VALUE"""),"M.")</f>
        <v>M.</v>
      </c>
      <c r="E1337" s="9" t="str">
        <f>IFERROR(__xludf.DUMMYFUNCTION("""COMPUTED_VALUE"""),"NELSON M. ILAYA")</f>
        <v>NELSON M. ILAYA</v>
      </c>
      <c r="F1337" s="133"/>
      <c r="G1337" s="133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60"/>
      <c r="B1338" s="9" t="str">
        <f>IFERROR(__xludf.DUMMYFUNCTION("""COMPUTED_VALUE"""),"ILAYA")</f>
        <v>ILAYA</v>
      </c>
      <c r="C1338" s="9" t="str">
        <f>IFERROR(__xludf.DUMMYFUNCTION("""COMPUTED_VALUE"""),"CRYSTAL ALLISON")</f>
        <v>CRYSTAL ALLISON</v>
      </c>
      <c r="D1338" s="9" t="str">
        <f>IFERROR(__xludf.DUMMYFUNCTION("""COMPUTED_VALUE"""),"M.")</f>
        <v>M.</v>
      </c>
      <c r="E1338" s="9" t="str">
        <f>IFERROR(__xludf.DUMMYFUNCTION("""COMPUTED_VALUE"""),"NELSON M. ILAYA")</f>
        <v>NELSON M. ILAYA</v>
      </c>
      <c r="F1338" s="133"/>
      <c r="G1338" s="133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60"/>
      <c r="B1339" s="9" t="str">
        <f>IFERROR(__xludf.DUMMYFUNCTION("""COMPUTED_VALUE"""),"ILAYA")</f>
        <v>ILAYA</v>
      </c>
      <c r="C1339" s="9" t="str">
        <f>IFERROR(__xludf.DUMMYFUNCTION("""COMPUTED_VALUE"""),"QUEEN AERYN")</f>
        <v>QUEEN AERYN</v>
      </c>
      <c r="D1339" s="9" t="str">
        <f>IFERROR(__xludf.DUMMYFUNCTION("""COMPUTED_VALUE"""),"M.")</f>
        <v>M.</v>
      </c>
      <c r="E1339" s="9" t="str">
        <f>IFERROR(__xludf.DUMMYFUNCTION("""COMPUTED_VALUE"""),"NELSON M. ILAYA")</f>
        <v>NELSON M. ILAYA</v>
      </c>
      <c r="F1339" s="133"/>
      <c r="G1339" s="133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60"/>
      <c r="B1340" s="9" t="str">
        <f>IFERROR(__xludf.DUMMYFUNCTION("""COMPUTED_VALUE"""),"HONRADO")</f>
        <v>HONRADO</v>
      </c>
      <c r="C1340" s="9" t="str">
        <f>IFERROR(__xludf.DUMMYFUNCTION("""COMPUTED_VALUE"""),"DAN LUIZ")</f>
        <v>DAN LUIZ</v>
      </c>
      <c r="D1340" s="9"/>
      <c r="E1340" s="9" t="str">
        <f>IFERROR(__xludf.DUMMYFUNCTION("""COMPUTED_VALUE"""),"FELIMON HONRADO JR.")</f>
        <v>FELIMON HONRADO JR.</v>
      </c>
      <c r="F1340" s="133"/>
      <c r="G1340" s="133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60"/>
      <c r="B1341" s="9" t="str">
        <f>IFERROR(__xludf.DUMMYFUNCTION("""COMPUTED_VALUE"""),"HONRADO")</f>
        <v>HONRADO</v>
      </c>
      <c r="C1341" s="9" t="str">
        <f>IFERROR(__xludf.DUMMYFUNCTION("""COMPUTED_VALUE"""),"DANICA")</f>
        <v>DANICA</v>
      </c>
      <c r="D1341" s="9"/>
      <c r="E1341" s="9" t="str">
        <f>IFERROR(__xludf.DUMMYFUNCTION("""COMPUTED_VALUE"""),"FELIMON HONRADO JR.")</f>
        <v>FELIMON HONRADO JR.</v>
      </c>
      <c r="F1341" s="133"/>
      <c r="G1341" s="133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60"/>
      <c r="B1342" s="9" t="str">
        <f>IFERROR(__xludf.DUMMYFUNCTION("""COMPUTED_VALUE"""),"HONRADO")</f>
        <v>HONRADO</v>
      </c>
      <c r="C1342" s="9" t="str">
        <f>IFERROR(__xludf.DUMMYFUNCTION("""COMPUTED_VALUE"""),"DANIEL")</f>
        <v>DANIEL</v>
      </c>
      <c r="D1342" s="9"/>
      <c r="E1342" s="9" t="str">
        <f>IFERROR(__xludf.DUMMYFUNCTION("""COMPUTED_VALUE"""),"FELIMON HONRADO JR.")</f>
        <v>FELIMON HONRADO JR.</v>
      </c>
      <c r="F1342" s="133"/>
      <c r="G1342" s="133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60"/>
      <c r="B1343" s="9" t="str">
        <f>IFERROR(__xludf.DUMMYFUNCTION("""COMPUTED_VALUE"""),"VERGARA")</f>
        <v>VERGARA</v>
      </c>
      <c r="C1343" s="9" t="str">
        <f>IFERROR(__xludf.DUMMYFUNCTION("""COMPUTED_VALUE"""),"MARK ANDREI")</f>
        <v>MARK ANDREI</v>
      </c>
      <c r="D1343" s="9" t="str">
        <f>IFERROR(__xludf.DUMMYFUNCTION("""COMPUTED_VALUE"""),"B.")</f>
        <v>B.</v>
      </c>
      <c r="E1343" s="9" t="str">
        <f>IFERROR(__xludf.DUMMYFUNCTION("""COMPUTED_VALUE"""),"JANE I. BELTRAN")</f>
        <v>JANE I. BELTRAN</v>
      </c>
      <c r="F1343" s="133"/>
      <c r="G1343" s="133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60"/>
      <c r="B1344" s="9" t="str">
        <f>IFERROR(__xludf.DUMMYFUNCTION("""COMPUTED_VALUE"""),"VERGARA")</f>
        <v>VERGARA</v>
      </c>
      <c r="C1344" s="9" t="str">
        <f>IFERROR(__xludf.DUMMYFUNCTION("""COMPUTED_VALUE"""),"MICHAEL JAMES ")</f>
        <v>MICHAEL JAMES </v>
      </c>
      <c r="D1344" s="9" t="str">
        <f>IFERROR(__xludf.DUMMYFUNCTION("""COMPUTED_VALUE"""),"B")</f>
        <v>B</v>
      </c>
      <c r="E1344" s="9" t="str">
        <f>IFERROR(__xludf.DUMMYFUNCTION("""COMPUTED_VALUE"""),"JANE I. BELTRAN")</f>
        <v>JANE I. BELTRAN</v>
      </c>
      <c r="F1344" s="133"/>
      <c r="G1344" s="133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60"/>
      <c r="B1345" s="9" t="str">
        <f>IFERROR(__xludf.DUMMYFUNCTION("""COMPUTED_VALUE"""),"NATARTE")</f>
        <v>NATARTE</v>
      </c>
      <c r="C1345" s="9" t="str">
        <f>IFERROR(__xludf.DUMMYFUNCTION("""COMPUTED_VALUE"""),"KENNETH GAIL")</f>
        <v>KENNETH GAIL</v>
      </c>
      <c r="D1345" s="9" t="str">
        <f>IFERROR(__xludf.DUMMYFUNCTION("""COMPUTED_VALUE"""),"B.")</f>
        <v>B.</v>
      </c>
      <c r="E1345" s="9" t="str">
        <f>IFERROR(__xludf.DUMMYFUNCTION("""COMPUTED_VALUE"""),"CHRISTIAN NATARTE")</f>
        <v>CHRISTIAN NATARTE</v>
      </c>
      <c r="F1345" s="133" t="str">
        <f>IFERROR(__xludf.DUMMYFUNCTION("""COMPUTED_VALUE"""),"BRGY. OFFICIALS")</f>
        <v>BRGY. OFFICIALS</v>
      </c>
      <c r="G1345" s="133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60"/>
      <c r="B1346" s="9" t="str">
        <f>IFERROR(__xludf.DUMMYFUNCTION("""COMPUTED_VALUE"""),"NATARTE")</f>
        <v>NATARTE</v>
      </c>
      <c r="C1346" s="9" t="str">
        <f>IFERROR(__xludf.DUMMYFUNCTION("""COMPUTED_VALUE"""),"KIAN AIRIES")</f>
        <v>KIAN AIRIES</v>
      </c>
      <c r="D1346" s="9" t="str">
        <f>IFERROR(__xludf.DUMMYFUNCTION("""COMPUTED_VALUE"""),"B.")</f>
        <v>B.</v>
      </c>
      <c r="E1346" s="9" t="str">
        <f>IFERROR(__xludf.DUMMYFUNCTION("""COMPUTED_VALUE"""),"CHRISTIAN NATARTE")</f>
        <v>CHRISTIAN NATARTE</v>
      </c>
      <c r="F1346" s="133"/>
      <c r="G1346" s="133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60"/>
      <c r="B1347" s="9" t="str">
        <f>IFERROR(__xludf.DUMMYFUNCTION("""COMPUTED_VALUE"""),"NATARTE")</f>
        <v>NATARTE</v>
      </c>
      <c r="C1347" s="9" t="str">
        <f>IFERROR(__xludf.DUMMYFUNCTION("""COMPUTED_VALUE"""),"KISS ASHBIE")</f>
        <v>KISS ASHBIE</v>
      </c>
      <c r="D1347" s="9" t="str">
        <f>IFERROR(__xludf.DUMMYFUNCTION("""COMPUTED_VALUE"""),"B.")</f>
        <v>B.</v>
      </c>
      <c r="E1347" s="9" t="str">
        <f>IFERROR(__xludf.DUMMYFUNCTION("""COMPUTED_VALUE"""),"CHRISTIAN NATARTE")</f>
        <v>CHRISTIAN NATARTE</v>
      </c>
      <c r="F1347" s="133"/>
      <c r="G1347" s="133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60"/>
      <c r="B1348" s="9" t="str">
        <f>IFERROR(__xludf.DUMMYFUNCTION("""COMPUTED_VALUE"""),"NATARTE")</f>
        <v>NATARTE</v>
      </c>
      <c r="C1348" s="9" t="str">
        <f>IFERROR(__xludf.DUMMYFUNCTION("""COMPUTED_VALUE"""),"KRITZ DARELLE")</f>
        <v>KRITZ DARELLE</v>
      </c>
      <c r="D1348" s="9" t="str">
        <f>IFERROR(__xludf.DUMMYFUNCTION("""COMPUTED_VALUE"""),"B.")</f>
        <v>B.</v>
      </c>
      <c r="E1348" s="9" t="str">
        <f>IFERROR(__xludf.DUMMYFUNCTION("""COMPUTED_VALUE"""),"CHRISTIAN NATARTE")</f>
        <v>CHRISTIAN NATARTE</v>
      </c>
      <c r="F1348" s="133"/>
      <c r="G1348" s="133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60"/>
      <c r="B1349" s="9" t="str">
        <f>IFERROR(__xludf.DUMMYFUNCTION("""COMPUTED_VALUE"""),"PUNZALAN")</f>
        <v>PUNZALAN</v>
      </c>
      <c r="C1349" s="9" t="str">
        <f>IFERROR(__xludf.DUMMYFUNCTION("""COMPUTED_VALUE"""),"KURT CEDRIC")</f>
        <v>KURT CEDRIC</v>
      </c>
      <c r="D1349" s="9" t="str">
        <f>IFERROR(__xludf.DUMMYFUNCTION("""COMPUTED_VALUE"""),"H.")</f>
        <v>H.</v>
      </c>
      <c r="E1349" s="9" t="str">
        <f>IFERROR(__xludf.DUMMYFUNCTION("""COMPUTED_VALUE"""),"CARLO H. PUNZALAN ")</f>
        <v>CARLO H. PUNZALAN </v>
      </c>
      <c r="F1349" s="133"/>
      <c r="G1349" s="133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60"/>
      <c r="B1350" s="9" t="str">
        <f>IFERROR(__xludf.DUMMYFUNCTION("""COMPUTED_VALUE"""),"PUNZALAN")</f>
        <v>PUNZALAN</v>
      </c>
      <c r="C1350" s="9" t="str">
        <f>IFERROR(__xludf.DUMMYFUNCTION("""COMPUTED_VALUE"""),"CARL BENEDICTH")</f>
        <v>CARL BENEDICTH</v>
      </c>
      <c r="D1350" s="9" t="str">
        <f>IFERROR(__xludf.DUMMYFUNCTION("""COMPUTED_VALUE"""),"H.")</f>
        <v>H.</v>
      </c>
      <c r="E1350" s="9" t="str">
        <f>IFERROR(__xludf.DUMMYFUNCTION("""COMPUTED_VALUE"""),"CARLO H. PUNZALAN ")</f>
        <v>CARLO H. PUNZALAN </v>
      </c>
      <c r="F1350" s="133"/>
      <c r="G1350" s="133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60"/>
      <c r="B1351" s="9" t="str">
        <f>IFERROR(__xludf.DUMMYFUNCTION("""COMPUTED_VALUE"""),"PUNZALAN")</f>
        <v>PUNZALAN</v>
      </c>
      <c r="C1351" s="9" t="str">
        <f>IFERROR(__xludf.DUMMYFUNCTION("""COMPUTED_VALUE"""),"CHRISTOPHER")</f>
        <v>CHRISTOPHER</v>
      </c>
      <c r="D1351" s="9" t="str">
        <f>IFERROR(__xludf.DUMMYFUNCTION("""COMPUTED_VALUE"""),"H.")</f>
        <v>H.</v>
      </c>
      <c r="E1351" s="9" t="str">
        <f>IFERROR(__xludf.DUMMYFUNCTION("""COMPUTED_VALUE"""),"CESAR P. PUNZZALAN")</f>
        <v>CESAR P. PUNZZALAN</v>
      </c>
      <c r="F1351" s="133"/>
      <c r="G1351" s="133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60"/>
      <c r="B1352" s="9" t="str">
        <f>IFERROR(__xludf.DUMMYFUNCTION("""COMPUTED_VALUE"""),"PUNZALAN")</f>
        <v>PUNZALAN</v>
      </c>
      <c r="C1352" s="9" t="str">
        <f>IFERROR(__xludf.DUMMYFUNCTION("""COMPUTED_VALUE"""),"CHRISTIAN")</f>
        <v>CHRISTIAN</v>
      </c>
      <c r="D1352" s="9" t="str">
        <f>IFERROR(__xludf.DUMMYFUNCTION("""COMPUTED_VALUE"""),"H.")</f>
        <v>H.</v>
      </c>
      <c r="E1352" s="9" t="str">
        <f>IFERROR(__xludf.DUMMYFUNCTION("""COMPUTED_VALUE"""),"CESAR P. PUNZZALAN")</f>
        <v>CESAR P. PUNZZALAN</v>
      </c>
      <c r="F1352" s="133"/>
      <c r="G1352" s="133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60"/>
      <c r="B1353" s="9" t="str">
        <f>IFERROR(__xludf.DUMMYFUNCTION("""COMPUTED_VALUE"""),"PUNZALAN")</f>
        <v>PUNZALAN</v>
      </c>
      <c r="C1353" s="9" t="str">
        <f>IFERROR(__xludf.DUMMYFUNCTION("""COMPUTED_VALUE"""),"ARJEY")</f>
        <v>ARJEY</v>
      </c>
      <c r="D1353" s="9"/>
      <c r="E1353" s="9" t="str">
        <f>IFERROR(__xludf.DUMMYFUNCTION("""COMPUTED_VALUE"""),"ISAGANI PUNZALAN ")</f>
        <v>ISAGANI PUNZALAN </v>
      </c>
      <c r="F1353" s="133"/>
      <c r="G1353" s="133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60"/>
      <c r="B1354" s="9" t="str">
        <f>IFERROR(__xludf.DUMMYFUNCTION("""COMPUTED_VALUE"""),"PUNZALAN")</f>
        <v>PUNZALAN</v>
      </c>
      <c r="C1354" s="9" t="str">
        <f>IFERROR(__xludf.DUMMYFUNCTION("""COMPUTED_VALUE"""),"JAYNE")</f>
        <v>JAYNE</v>
      </c>
      <c r="D1354" s="9"/>
      <c r="E1354" s="9" t="str">
        <f>IFERROR(__xludf.DUMMYFUNCTION("""COMPUTED_VALUE"""),"JEYSON PUNZALAN")</f>
        <v>JEYSON PUNZALAN</v>
      </c>
      <c r="F1354" s="133"/>
      <c r="G1354" s="133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60"/>
      <c r="B1355" s="9" t="str">
        <f>IFERROR(__xludf.DUMMYFUNCTION("""COMPUTED_VALUE"""),"PALLER")</f>
        <v>PALLER</v>
      </c>
      <c r="C1355" s="9" t="str">
        <f>IFERROR(__xludf.DUMMYFUNCTION("""COMPUTED_VALUE"""),"JOHN MICHAEL")</f>
        <v>JOHN MICHAEL</v>
      </c>
      <c r="D1355" s="9"/>
      <c r="E1355" s="9" t="str">
        <f>IFERROR(__xludf.DUMMYFUNCTION("""COMPUTED_VALUE"""),"EFREN PALLER")</f>
        <v>EFREN PALLER</v>
      </c>
      <c r="F1355" s="133" t="str">
        <f>IFERROR(__xludf.DUMMYFUNCTION("""COMPUTED_VALUE"""),"PWD")</f>
        <v>PWD</v>
      </c>
      <c r="G1355" s="133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60"/>
      <c r="B1356" s="9" t="str">
        <f>IFERROR(__xludf.DUMMYFUNCTION("""COMPUTED_VALUE"""),"PALLER")</f>
        <v>PALLER</v>
      </c>
      <c r="C1356" s="9" t="str">
        <f>IFERROR(__xludf.DUMMYFUNCTION("""COMPUTED_VALUE"""),"CRISTINE JOY ")</f>
        <v>CRISTINE JOY </v>
      </c>
      <c r="D1356" s="9"/>
      <c r="E1356" s="9" t="str">
        <f>IFERROR(__xludf.DUMMYFUNCTION("""COMPUTED_VALUE"""),"EFREN PALLER")</f>
        <v>EFREN PALLER</v>
      </c>
      <c r="F1356" s="133"/>
      <c r="G1356" s="133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60"/>
      <c r="B1357" s="9" t="str">
        <f>IFERROR(__xludf.DUMMYFUNCTION("""COMPUTED_VALUE"""),"PALLER ")</f>
        <v>PALLER </v>
      </c>
      <c r="C1357" s="9" t="str">
        <f>IFERROR(__xludf.DUMMYFUNCTION("""COMPUTED_VALUE"""),"CATHIRIN")</f>
        <v>CATHIRIN</v>
      </c>
      <c r="D1357" s="9"/>
      <c r="E1357" s="9" t="str">
        <f>IFERROR(__xludf.DUMMYFUNCTION("""COMPUTED_VALUE"""),"EFREN PALLER")</f>
        <v>EFREN PALLER</v>
      </c>
      <c r="F1357" s="133"/>
      <c r="G1357" s="133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60"/>
      <c r="B1358" s="9" t="str">
        <f>IFERROR(__xludf.DUMMYFUNCTION("""COMPUTED_VALUE"""),"PALLER JR.")</f>
        <v>PALLER JR.</v>
      </c>
      <c r="C1358" s="9" t="str">
        <f>IFERROR(__xludf.DUMMYFUNCTION("""COMPUTED_VALUE"""),"EFREN")</f>
        <v>EFREN</v>
      </c>
      <c r="D1358" s="9"/>
      <c r="E1358" s="9" t="str">
        <f>IFERROR(__xludf.DUMMYFUNCTION("""COMPUTED_VALUE"""),"EFREN PALLER")</f>
        <v>EFREN PALLER</v>
      </c>
      <c r="F1358" s="133"/>
      <c r="G1358" s="133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60"/>
      <c r="B1359" s="9" t="str">
        <f>IFERROR(__xludf.DUMMYFUNCTION("""COMPUTED_VALUE"""),"PALLER")</f>
        <v>PALLER</v>
      </c>
      <c r="C1359" s="9" t="str">
        <f>IFERROR(__xludf.DUMMYFUNCTION("""COMPUTED_VALUE"""),"SHIRE MAE")</f>
        <v>SHIRE MAE</v>
      </c>
      <c r="D1359" s="9"/>
      <c r="E1359" s="9" t="str">
        <f>IFERROR(__xludf.DUMMYFUNCTION("""COMPUTED_VALUE"""),"EFREN PALLER")</f>
        <v>EFREN PALLER</v>
      </c>
      <c r="F1359" s="133"/>
      <c r="G1359" s="133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60"/>
      <c r="B1360" s="9" t="str">
        <f>IFERROR(__xludf.DUMMYFUNCTION("""COMPUTED_VALUE"""),"MEJICO")</f>
        <v>MEJICO</v>
      </c>
      <c r="C1360" s="9" t="str">
        <f>IFERROR(__xludf.DUMMYFUNCTION("""COMPUTED_VALUE"""),"KRISTOFFER")</f>
        <v>KRISTOFFER</v>
      </c>
      <c r="D1360" s="9"/>
      <c r="E1360" s="9" t="str">
        <f>IFERROR(__xludf.DUMMYFUNCTION("""COMPUTED_VALUE"""),"MARY ANN S. MEJICO")</f>
        <v>MARY ANN S. MEJICO</v>
      </c>
      <c r="F1360" s="133"/>
      <c r="G1360" s="133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60"/>
      <c r="B1361" s="9" t="str">
        <f>IFERROR(__xludf.DUMMYFUNCTION("""COMPUTED_VALUE"""),"MEJICO")</f>
        <v>MEJICO</v>
      </c>
      <c r="C1361" s="9" t="str">
        <f>IFERROR(__xludf.DUMMYFUNCTION("""COMPUTED_VALUE"""),"KLARISSE")</f>
        <v>KLARISSE</v>
      </c>
      <c r="D1361" s="9"/>
      <c r="E1361" s="9" t="str">
        <f>IFERROR(__xludf.DUMMYFUNCTION("""COMPUTED_VALUE"""),"MARY ANN S. MEJICO")</f>
        <v>MARY ANN S. MEJICO</v>
      </c>
      <c r="F1361" s="133"/>
      <c r="G1361" s="133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60"/>
      <c r="B1362" s="9" t="str">
        <f>IFERROR(__xludf.DUMMYFUNCTION("""COMPUTED_VALUE"""),"MARCOS")</f>
        <v>MARCOS</v>
      </c>
      <c r="C1362" s="9" t="str">
        <f>IFERROR(__xludf.DUMMYFUNCTION("""COMPUTED_VALUE"""),"PSALM")</f>
        <v>PSALM</v>
      </c>
      <c r="D1362" s="9"/>
      <c r="E1362" s="9" t="str">
        <f>IFERROR(__xludf.DUMMYFUNCTION("""COMPUTED_VALUE"""),"RICHARD MARCOS")</f>
        <v>RICHARD MARCOS</v>
      </c>
      <c r="F1362" s="133"/>
      <c r="G1362" s="133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60"/>
      <c r="B1363" s="9" t="str">
        <f>IFERROR(__xludf.DUMMYFUNCTION("""COMPUTED_VALUE"""),"MARCOS")</f>
        <v>MARCOS</v>
      </c>
      <c r="C1363" s="9" t="str">
        <f>IFERROR(__xludf.DUMMYFUNCTION("""COMPUTED_VALUE"""),"SHALOME")</f>
        <v>SHALOME</v>
      </c>
      <c r="D1363" s="9"/>
      <c r="E1363" s="9" t="str">
        <f>IFERROR(__xludf.DUMMYFUNCTION("""COMPUTED_VALUE"""),"RICHARD MARCOS")</f>
        <v>RICHARD MARCOS</v>
      </c>
      <c r="F1363" s="133"/>
      <c r="G1363" s="133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60"/>
      <c r="B1364" s="9" t="str">
        <f>IFERROR(__xludf.DUMMYFUNCTION("""COMPUTED_VALUE"""),"MARCOS")</f>
        <v>MARCOS</v>
      </c>
      <c r="C1364" s="9" t="str">
        <f>IFERROR(__xludf.DUMMYFUNCTION("""COMPUTED_VALUE"""),"RAYMOND")</f>
        <v>RAYMOND</v>
      </c>
      <c r="D1364" s="9"/>
      <c r="E1364" s="9" t="str">
        <f>IFERROR(__xludf.DUMMYFUNCTION("""COMPUTED_VALUE"""),"AMPARO L. MARCOS ")</f>
        <v>AMPARO L. MARCOS </v>
      </c>
      <c r="F1364" s="133"/>
      <c r="G1364" s="133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60"/>
      <c r="B1365" s="9" t="str">
        <f>IFERROR(__xludf.DUMMYFUNCTION("""COMPUTED_VALUE"""),"MARCOS")</f>
        <v>MARCOS</v>
      </c>
      <c r="C1365" s="9" t="str">
        <f>IFERROR(__xludf.DUMMYFUNCTION("""COMPUTED_VALUE"""),"ROHAN ELWS")</f>
        <v>ROHAN ELWS</v>
      </c>
      <c r="D1365" s="9"/>
      <c r="E1365" s="9" t="str">
        <f>IFERROR(__xludf.DUMMYFUNCTION("""COMPUTED_VALUE"""),"AMPARO L. MARCOS ")</f>
        <v>AMPARO L. MARCOS </v>
      </c>
      <c r="F1365" s="133"/>
      <c r="G1365" s="133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60"/>
      <c r="B1366" s="9" t="str">
        <f>IFERROR(__xludf.DUMMYFUNCTION("""COMPUTED_VALUE"""),"PUSING")</f>
        <v>PUSING</v>
      </c>
      <c r="C1366" s="9" t="str">
        <f>IFERROR(__xludf.DUMMYFUNCTION("""COMPUTED_VALUE"""),"JACE ARNORLD")</f>
        <v>JACE ARNORLD</v>
      </c>
      <c r="D1366" s="9" t="str">
        <f>IFERROR(__xludf.DUMMYFUNCTION("""COMPUTED_VALUE"""),"P.")</f>
        <v>P.</v>
      </c>
      <c r="E1366" s="9" t="str">
        <f>IFERROR(__xludf.DUMMYFUNCTION("""COMPUTED_VALUE"""),"RONALD S. PUSING")</f>
        <v>RONALD S. PUSING</v>
      </c>
      <c r="F1366" s="133"/>
      <c r="G1366" s="133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60"/>
      <c r="B1367" s="9" t="str">
        <f>IFERROR(__xludf.DUMMYFUNCTION("""COMPUTED_VALUE"""),"PUSING")</f>
        <v>PUSING</v>
      </c>
      <c r="C1367" s="9" t="str">
        <f>IFERROR(__xludf.DUMMYFUNCTION("""COMPUTED_VALUE"""),"JOSE MARI")</f>
        <v>JOSE MARI</v>
      </c>
      <c r="D1367" s="9"/>
      <c r="E1367" s="9" t="str">
        <f>IFERROR(__xludf.DUMMYFUNCTION("""COMPUTED_VALUE"""),"JOSELITO PUSING")</f>
        <v>JOSELITO PUSING</v>
      </c>
      <c r="F1367" s="133"/>
      <c r="G1367" s="133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60"/>
      <c r="B1368" s="9" t="str">
        <f>IFERROR(__xludf.DUMMYFUNCTION("""COMPUTED_VALUE"""),"PUSING")</f>
        <v>PUSING</v>
      </c>
      <c r="C1368" s="9" t="str">
        <f>IFERROR(__xludf.DUMMYFUNCTION("""COMPUTED_VALUE"""),"JOANNA MARI")</f>
        <v>JOANNA MARI</v>
      </c>
      <c r="D1368" s="9"/>
      <c r="E1368" s="9" t="str">
        <f>IFERROR(__xludf.DUMMYFUNCTION("""COMPUTED_VALUE"""),"JOSELITO PUSING")</f>
        <v>JOSELITO PUSING</v>
      </c>
      <c r="F1368" s="133"/>
      <c r="G1368" s="133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60"/>
      <c r="B1369" s="9" t="str">
        <f>IFERROR(__xludf.DUMMYFUNCTION("""COMPUTED_VALUE"""),"PUSING")</f>
        <v>PUSING</v>
      </c>
      <c r="C1369" s="9" t="str">
        <f>IFERROR(__xludf.DUMMYFUNCTION("""COMPUTED_VALUE"""),"JOURNALYN")</f>
        <v>JOURNALYN</v>
      </c>
      <c r="D1369" s="9"/>
      <c r="E1369" s="9" t="str">
        <f>IFERROR(__xludf.DUMMYFUNCTION("""COMPUTED_VALUE"""),"JOSELITO PUSING")</f>
        <v>JOSELITO PUSING</v>
      </c>
      <c r="F1369" s="133"/>
      <c r="G1369" s="133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60"/>
      <c r="B1370" s="9" t="str">
        <f>IFERROR(__xludf.DUMMYFUNCTION("""COMPUTED_VALUE"""),"PUSING")</f>
        <v>PUSING</v>
      </c>
      <c r="C1370" s="9" t="str">
        <f>IFERROR(__xludf.DUMMYFUNCTION("""COMPUTED_VALUE"""),"JULIUS")</f>
        <v>JULIUS</v>
      </c>
      <c r="D1370" s="9"/>
      <c r="E1370" s="9" t="str">
        <f>IFERROR(__xludf.DUMMYFUNCTION("""COMPUTED_VALUE"""),"JOSELITO PUSING")</f>
        <v>JOSELITO PUSING</v>
      </c>
      <c r="F1370" s="133"/>
      <c r="G1370" s="133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60"/>
      <c r="B1371" s="9" t="str">
        <f>IFERROR(__xludf.DUMMYFUNCTION("""COMPUTED_VALUE"""),"PUSING")</f>
        <v>PUSING</v>
      </c>
      <c r="C1371" s="9" t="str">
        <f>IFERROR(__xludf.DUMMYFUNCTION("""COMPUTED_VALUE"""),"JERICO")</f>
        <v>JERICO</v>
      </c>
      <c r="D1371" s="9"/>
      <c r="E1371" s="9" t="str">
        <f>IFERROR(__xludf.DUMMYFUNCTION("""COMPUTED_VALUE"""),"JOSELITO PUSING")</f>
        <v>JOSELITO PUSING</v>
      </c>
      <c r="F1371" s="133"/>
      <c r="G1371" s="133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60"/>
      <c r="B1372" s="9" t="str">
        <f>IFERROR(__xludf.DUMMYFUNCTION("""COMPUTED_VALUE"""),"PAGUDAR ")</f>
        <v>PAGUDAR </v>
      </c>
      <c r="C1372" s="9" t="str">
        <f>IFERROR(__xludf.DUMMYFUNCTION("""COMPUTED_VALUE"""),"DANICA")</f>
        <v>DANICA</v>
      </c>
      <c r="D1372" s="9"/>
      <c r="E1372" s="9" t="str">
        <f>IFERROR(__xludf.DUMMYFUNCTION("""COMPUTED_VALUE"""),"JOSELITO PUSING")</f>
        <v>JOSELITO PUSING</v>
      </c>
      <c r="F1372" s="133"/>
      <c r="G1372" s="133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60"/>
      <c r="B1373" s="9" t="str">
        <f>IFERROR(__xludf.DUMMYFUNCTION("""COMPUTED_VALUE"""),"PUSING")</f>
        <v>PUSING</v>
      </c>
      <c r="C1373" s="9" t="str">
        <f>IFERROR(__xludf.DUMMYFUNCTION("""COMPUTED_VALUE"""),"CIELITO")</f>
        <v>CIELITO</v>
      </c>
      <c r="D1373" s="9"/>
      <c r="E1373" s="9" t="str">
        <f>IFERROR(__xludf.DUMMYFUNCTION("""COMPUTED_VALUE"""),"JOSELITO PUSING")</f>
        <v>JOSELITO PUSING</v>
      </c>
      <c r="F1373" s="133"/>
      <c r="G1373" s="133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60"/>
      <c r="B1374" s="9" t="str">
        <f>IFERROR(__xludf.DUMMYFUNCTION("""COMPUTED_VALUE"""),"GUILLEN")</f>
        <v>GUILLEN</v>
      </c>
      <c r="C1374" s="9" t="str">
        <f>IFERROR(__xludf.DUMMYFUNCTION("""COMPUTED_VALUE"""),"GAVIN")</f>
        <v>GAVIN</v>
      </c>
      <c r="D1374" s="9"/>
      <c r="E1374" s="9" t="str">
        <f>IFERROR(__xludf.DUMMYFUNCTION("""COMPUTED_VALUE"""),"JOSELITO PUSING")</f>
        <v>JOSELITO PUSING</v>
      </c>
      <c r="F1374" s="133"/>
      <c r="G1374" s="133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60"/>
      <c r="B1375" s="9" t="str">
        <f>IFERROR(__xludf.DUMMYFUNCTION("""COMPUTED_VALUE"""),"PUSING")</f>
        <v>PUSING</v>
      </c>
      <c r="C1375" s="9" t="str">
        <f>IFERROR(__xludf.DUMMYFUNCTION("""COMPUTED_VALUE"""),"VON VERRALD")</f>
        <v>VON VERRALD</v>
      </c>
      <c r="D1375" s="9"/>
      <c r="E1375" s="9" t="str">
        <f>IFERROR(__xludf.DUMMYFUNCTION("""COMPUTED_VALUE"""),"MYRNA D. PUSING")</f>
        <v>MYRNA D. PUSING</v>
      </c>
      <c r="F1375" s="133"/>
      <c r="G1375" s="133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60"/>
      <c r="B1376" s="9" t="str">
        <f>IFERROR(__xludf.DUMMYFUNCTION("""COMPUTED_VALUE"""),"SIBAYAN")</f>
        <v>SIBAYAN</v>
      </c>
      <c r="C1376" s="9" t="str">
        <f>IFERROR(__xludf.DUMMYFUNCTION("""COMPUTED_VALUE"""),"RHUTHIE ROSE")</f>
        <v>RHUTHIE ROSE</v>
      </c>
      <c r="D1376" s="9" t="str">
        <f>IFERROR(__xludf.DUMMYFUNCTION("""COMPUTED_VALUE"""),"A.")</f>
        <v>A.</v>
      </c>
      <c r="E1376" s="9" t="str">
        <f>IFERROR(__xludf.DUMMYFUNCTION("""COMPUTED_VALUE"""),"RUEL C. SIBAYAN")</f>
        <v>RUEL C. SIBAYAN</v>
      </c>
      <c r="F1376" s="133"/>
      <c r="G1376" s="133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60"/>
      <c r="B1377" s="9" t="str">
        <f>IFERROR(__xludf.DUMMYFUNCTION("""COMPUTED_VALUE"""),"SIBAYAN")</f>
        <v>SIBAYAN</v>
      </c>
      <c r="C1377" s="9" t="str">
        <f>IFERROR(__xludf.DUMMYFUNCTION("""COMPUTED_VALUE"""),"RHEI ANNE")</f>
        <v>RHEI ANNE</v>
      </c>
      <c r="D1377" s="9" t="str">
        <f>IFERROR(__xludf.DUMMYFUNCTION("""COMPUTED_VALUE"""),"A.")</f>
        <v>A.</v>
      </c>
      <c r="E1377" s="9" t="str">
        <f>IFERROR(__xludf.DUMMYFUNCTION("""COMPUTED_VALUE"""),"RUEL C. SIBAYAN")</f>
        <v>RUEL C. SIBAYAN</v>
      </c>
      <c r="F1377" s="133"/>
      <c r="G1377" s="133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60"/>
      <c r="B1378" s="9" t="str">
        <f>IFERROR(__xludf.DUMMYFUNCTION("""COMPUTED_VALUE"""),"SIBAYAN")</f>
        <v>SIBAYAN</v>
      </c>
      <c r="C1378" s="9" t="str">
        <f>IFERROR(__xludf.DUMMYFUNCTION("""COMPUTED_VALUE"""),"RHAINE ")</f>
        <v>RHAINE </v>
      </c>
      <c r="D1378" s="9" t="str">
        <f>IFERROR(__xludf.DUMMYFUNCTION("""COMPUTED_VALUE"""),"A.")</f>
        <v>A.</v>
      </c>
      <c r="E1378" s="9" t="str">
        <f>IFERROR(__xludf.DUMMYFUNCTION("""COMPUTED_VALUE"""),"RUEL C. SIBAYAN")</f>
        <v>RUEL C. SIBAYAN</v>
      </c>
      <c r="F1378" s="133"/>
      <c r="G1378" s="133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60"/>
      <c r="B1379" s="9" t="str">
        <f>IFERROR(__xludf.DUMMYFUNCTION("""COMPUTED_VALUE"""),"SIBAYAN")</f>
        <v>SIBAYAN</v>
      </c>
      <c r="C1379" s="9" t="str">
        <f>IFERROR(__xludf.DUMMYFUNCTION("""COMPUTED_VALUE"""),"RHIANNON ELLIANA ")</f>
        <v>RHIANNON ELLIANA </v>
      </c>
      <c r="D1379" s="9" t="str">
        <f>IFERROR(__xludf.DUMMYFUNCTION("""COMPUTED_VALUE"""),"A.")</f>
        <v>A.</v>
      </c>
      <c r="E1379" s="9" t="str">
        <f>IFERROR(__xludf.DUMMYFUNCTION("""COMPUTED_VALUE"""),"RUEL C. SIBAYAN")</f>
        <v>RUEL C. SIBAYAN</v>
      </c>
      <c r="F1379" s="133"/>
      <c r="G1379" s="133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60"/>
      <c r="B1380" s="9" t="str">
        <f>IFERROR(__xludf.DUMMYFUNCTION("""COMPUTED_VALUE"""),"SIBAYAN")</f>
        <v>SIBAYAN</v>
      </c>
      <c r="C1380" s="9" t="str">
        <f>IFERROR(__xludf.DUMMYFUNCTION("""COMPUTED_VALUE"""),"RHION JASON JAMES ")</f>
        <v>RHION JASON JAMES </v>
      </c>
      <c r="D1380" s="9" t="str">
        <f>IFERROR(__xludf.DUMMYFUNCTION("""COMPUTED_VALUE"""),"A.")</f>
        <v>A.</v>
      </c>
      <c r="E1380" s="9" t="str">
        <f>IFERROR(__xludf.DUMMYFUNCTION("""COMPUTED_VALUE"""),"RUEL C. SIBAYAN")</f>
        <v>RUEL C. SIBAYAN</v>
      </c>
      <c r="F1380" s="133" t="str">
        <f>IFERROR(__xludf.DUMMYFUNCTION("""COMPUTED_VALUE"""),"PWD")</f>
        <v>PWD</v>
      </c>
      <c r="G1380" s="133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60"/>
      <c r="B1381" s="9" t="str">
        <f>IFERROR(__xludf.DUMMYFUNCTION("""COMPUTED_VALUE"""),"ABUEG")</f>
        <v>ABUEG</v>
      </c>
      <c r="C1381" s="9" t="str">
        <f>IFERROR(__xludf.DUMMYFUNCTION("""COMPUTED_VALUE"""),"JEARNALD URIEL")</f>
        <v>JEARNALD URIEL</v>
      </c>
      <c r="D1381" s="9" t="str">
        <f>IFERROR(__xludf.DUMMYFUNCTION("""COMPUTED_VALUE"""),"R.")</f>
        <v>R.</v>
      </c>
      <c r="E1381" s="9" t="str">
        <f>IFERROR(__xludf.DUMMYFUNCTION("""COMPUTED_VALUE"""),"YERNALD P. ABUEG ")</f>
        <v>YERNALD P. ABUEG </v>
      </c>
      <c r="F1381" s="133"/>
      <c r="G1381" s="133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60"/>
      <c r="B1382" s="9" t="str">
        <f>IFERROR(__xludf.DUMMYFUNCTION("""COMPUTED_VALUE"""),"ABUEG")</f>
        <v>ABUEG</v>
      </c>
      <c r="C1382" s="9" t="str">
        <f>IFERROR(__xludf.DUMMYFUNCTION("""COMPUTED_VALUE"""),"JERALD ZALHRIEL")</f>
        <v>JERALD ZALHRIEL</v>
      </c>
      <c r="D1382" s="9" t="str">
        <f>IFERROR(__xludf.DUMMYFUNCTION("""COMPUTED_VALUE"""),"R.")</f>
        <v>R.</v>
      </c>
      <c r="E1382" s="9" t="str">
        <f>IFERROR(__xludf.DUMMYFUNCTION("""COMPUTED_VALUE"""),"YERNALD P. ABUEG ")</f>
        <v>YERNALD P. ABUEG </v>
      </c>
      <c r="F1382" s="133"/>
      <c r="G1382" s="133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60"/>
      <c r="B1383" s="9" t="str">
        <f>IFERROR(__xludf.DUMMYFUNCTION("""COMPUTED_VALUE"""),"ABUEG")</f>
        <v>ABUEG</v>
      </c>
      <c r="C1383" s="9" t="str">
        <f>IFERROR(__xludf.DUMMYFUNCTION("""COMPUTED_VALUE"""),"JERARD NATHANIEL")</f>
        <v>JERARD NATHANIEL</v>
      </c>
      <c r="D1383" s="9" t="str">
        <f>IFERROR(__xludf.DUMMYFUNCTION("""COMPUTED_VALUE"""),"R.")</f>
        <v>R.</v>
      </c>
      <c r="E1383" s="9" t="str">
        <f>IFERROR(__xludf.DUMMYFUNCTION("""COMPUTED_VALUE"""),"YERNALD P. ABUEG ")</f>
        <v>YERNALD P. ABUEG </v>
      </c>
      <c r="F1383" s="133"/>
      <c r="G1383" s="133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60"/>
      <c r="B1384" s="9" t="str">
        <f>IFERROR(__xludf.DUMMYFUNCTION("""COMPUTED_VALUE"""),"SASIS")</f>
        <v>SASIS</v>
      </c>
      <c r="C1384" s="9" t="str">
        <f>IFERROR(__xludf.DUMMYFUNCTION("""COMPUTED_VALUE"""),"CHRISTINE GILYSSA")</f>
        <v>CHRISTINE GILYSSA</v>
      </c>
      <c r="D1384" s="9" t="str">
        <f>IFERROR(__xludf.DUMMYFUNCTION("""COMPUTED_VALUE"""),"A.")</f>
        <v>A.</v>
      </c>
      <c r="E1384" s="9" t="str">
        <f>IFERROR(__xludf.DUMMYFUNCTION("""COMPUTED_VALUE"""),"GIL ALBERT OBAOB A. SASIS")</f>
        <v>GIL ALBERT OBAOB A. SASIS</v>
      </c>
      <c r="F1384" s="133"/>
      <c r="G1384" s="133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60"/>
      <c r="B1385" s="9" t="str">
        <f>IFERROR(__xludf.DUMMYFUNCTION("""COMPUTED_VALUE"""),"PUSING")</f>
        <v>PUSING</v>
      </c>
      <c r="C1385" s="9" t="str">
        <f>IFERROR(__xludf.DUMMYFUNCTION("""COMPUTED_VALUE"""),"ALYSSA JOY")</f>
        <v>ALYSSA JOY</v>
      </c>
      <c r="D1385" s="9"/>
      <c r="E1385" s="9" t="str">
        <f>IFERROR(__xludf.DUMMYFUNCTION("""COMPUTED_VALUE"""),"ALLAN S. PUSING ")</f>
        <v>ALLAN S. PUSING </v>
      </c>
      <c r="F1385" s="133"/>
      <c r="G1385" s="133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60"/>
      <c r="B1386" s="9" t="str">
        <f>IFERROR(__xludf.DUMMYFUNCTION("""COMPUTED_VALUE"""),"PUSING")</f>
        <v>PUSING</v>
      </c>
      <c r="C1386" s="9" t="str">
        <f>IFERROR(__xludf.DUMMYFUNCTION("""COMPUTED_VALUE"""),"ALEXA JOYCE")</f>
        <v>ALEXA JOYCE</v>
      </c>
      <c r="D1386" s="9"/>
      <c r="E1386" s="9" t="str">
        <f>IFERROR(__xludf.DUMMYFUNCTION("""COMPUTED_VALUE"""),"ALLAN S. PUSING ")</f>
        <v>ALLAN S. PUSING </v>
      </c>
      <c r="F1386" s="133"/>
      <c r="G1386" s="133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60"/>
      <c r="B1387" s="9" t="str">
        <f>IFERROR(__xludf.DUMMYFUNCTION("""COMPUTED_VALUE"""),"PUSING")</f>
        <v>PUSING</v>
      </c>
      <c r="C1387" s="9" t="str">
        <f>IFERROR(__xludf.DUMMYFUNCTION("""COMPUTED_VALUE"""),"ROLAN")</f>
        <v>ROLAN</v>
      </c>
      <c r="D1387" s="9"/>
      <c r="E1387" s="9" t="str">
        <f>IFERROR(__xludf.DUMMYFUNCTION("""COMPUTED_VALUE"""),"LARITA RUEL")</f>
        <v>LARITA RUEL</v>
      </c>
      <c r="F1387" s="133"/>
      <c r="G1387" s="133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60"/>
      <c r="B1388" s="9" t="str">
        <f>IFERROR(__xludf.DUMMYFUNCTION("""COMPUTED_VALUE"""),"LAGUNDAY")</f>
        <v>LAGUNDAY</v>
      </c>
      <c r="C1388" s="9" t="str">
        <f>IFERROR(__xludf.DUMMYFUNCTION("""COMPUTED_VALUE"""),"ALLAN NIKOL")</f>
        <v>ALLAN NIKOL</v>
      </c>
      <c r="D1388" s="9"/>
      <c r="E1388" s="9" t="str">
        <f>IFERROR(__xludf.DUMMYFUNCTION("""COMPUTED_VALUE"""),"LARITA RUEL")</f>
        <v>LARITA RUEL</v>
      </c>
      <c r="F1388" s="133"/>
      <c r="G1388" s="133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60"/>
      <c r="B1389" s="9" t="str">
        <f>IFERROR(__xludf.DUMMYFUNCTION("""COMPUTED_VALUE"""),"PUSING")</f>
        <v>PUSING</v>
      </c>
      <c r="C1389" s="9" t="str">
        <f>IFERROR(__xludf.DUMMYFUNCTION("""COMPUTED_VALUE"""),"ERNALD")</f>
        <v>ERNALD</v>
      </c>
      <c r="D1389" s="9"/>
      <c r="E1389" s="9" t="str">
        <f>IFERROR(__xludf.DUMMYFUNCTION("""COMPUTED_VALUE"""),"LARITA RUEL")</f>
        <v>LARITA RUEL</v>
      </c>
      <c r="F1389" s="133"/>
      <c r="G1389" s="133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60"/>
      <c r="B1390" s="9" t="str">
        <f>IFERROR(__xludf.DUMMYFUNCTION("""COMPUTED_VALUE"""),"CAMPOS")</f>
        <v>CAMPOS</v>
      </c>
      <c r="C1390" s="9" t="str">
        <f>IFERROR(__xludf.DUMMYFUNCTION("""COMPUTED_VALUE"""),"JOVELYN")</f>
        <v>JOVELYN</v>
      </c>
      <c r="D1390" s="9"/>
      <c r="E1390" s="9" t="str">
        <f>IFERROR(__xludf.DUMMYFUNCTION("""COMPUTED_VALUE"""),"LARITA RUEL")</f>
        <v>LARITA RUEL</v>
      </c>
      <c r="F1390" s="133"/>
      <c r="G1390" s="133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60"/>
      <c r="B1391" s="9" t="str">
        <f>IFERROR(__xludf.DUMMYFUNCTION("""COMPUTED_VALUE"""),"PUSING")</f>
        <v>PUSING</v>
      </c>
      <c r="C1391" s="9" t="str">
        <f>IFERROR(__xludf.DUMMYFUNCTION("""COMPUTED_VALUE"""),"EULETTE ACE")</f>
        <v>EULETTE ACE</v>
      </c>
      <c r="D1391" s="9"/>
      <c r="E1391" s="9" t="str">
        <f>IFERROR(__xludf.DUMMYFUNCTION("""COMPUTED_VALUE"""),"LARITA RUEL")</f>
        <v>LARITA RUEL</v>
      </c>
      <c r="F1391" s="133"/>
      <c r="G1391" s="133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60"/>
      <c r="B1392" s="9" t="str">
        <f>IFERROR(__xludf.DUMMYFUNCTION("""COMPUTED_VALUE"""),"CATINDOY")</f>
        <v>CATINDOY</v>
      </c>
      <c r="C1392" s="9" t="str">
        <f>IFERROR(__xludf.DUMMYFUNCTION("""COMPUTED_VALUE"""),"NICA JOY ")</f>
        <v>NICA JOY </v>
      </c>
      <c r="D1392" s="9" t="str">
        <f>IFERROR(__xludf.DUMMYFUNCTION("""COMPUTED_VALUE"""),"S.")</f>
        <v>S.</v>
      </c>
      <c r="E1392" s="9" t="str">
        <f>IFERROR(__xludf.DUMMYFUNCTION("""COMPUTED_VALUE"""),"NICOLAS R. CATINDOY")</f>
        <v>NICOLAS R. CATINDOY</v>
      </c>
      <c r="F1392" s="133"/>
      <c r="G1392" s="133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60"/>
      <c r="B1393" s="9" t="str">
        <f>IFERROR(__xludf.DUMMYFUNCTION("""COMPUTED_VALUE"""),"CATINDOY")</f>
        <v>CATINDOY</v>
      </c>
      <c r="C1393" s="9" t="str">
        <f>IFERROR(__xludf.DUMMYFUNCTION("""COMPUTED_VALUE"""),"NHICKSON")</f>
        <v>NHICKSON</v>
      </c>
      <c r="D1393" s="9" t="str">
        <f>IFERROR(__xludf.DUMMYFUNCTION("""COMPUTED_VALUE"""),"S.")</f>
        <v>S.</v>
      </c>
      <c r="E1393" s="9" t="str">
        <f>IFERROR(__xludf.DUMMYFUNCTION("""COMPUTED_VALUE"""),"NICOLAS R. CATINDOY")</f>
        <v>NICOLAS R. CATINDOY</v>
      </c>
      <c r="F1393" s="133"/>
      <c r="G1393" s="133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60"/>
      <c r="B1394" s="9" t="str">
        <f>IFERROR(__xludf.DUMMYFUNCTION("""COMPUTED_VALUE"""),"CATINDOY")</f>
        <v>CATINDOY</v>
      </c>
      <c r="C1394" s="9" t="str">
        <f>IFERROR(__xludf.DUMMYFUNCTION("""COMPUTED_VALUE"""),"NICA  ")</f>
        <v>NICA  </v>
      </c>
      <c r="D1394" s="9" t="str">
        <f>IFERROR(__xludf.DUMMYFUNCTION("""COMPUTED_VALUE"""),"S.")</f>
        <v>S.</v>
      </c>
      <c r="E1394" s="9" t="str">
        <f>IFERROR(__xludf.DUMMYFUNCTION("""COMPUTED_VALUE"""),"NICOLAS R. CATINDOY")</f>
        <v>NICOLAS R. CATINDOY</v>
      </c>
      <c r="F1394" s="133"/>
      <c r="G1394" s="133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60"/>
      <c r="B1395" s="9" t="str">
        <f>IFERROR(__xludf.DUMMYFUNCTION("""COMPUTED_VALUE"""),"SALINAS")</f>
        <v>SALINAS</v>
      </c>
      <c r="C1395" s="9" t="str">
        <f>IFERROR(__xludf.DUMMYFUNCTION("""COMPUTED_VALUE"""),"JUN - JUN")</f>
        <v>JUN - JUN</v>
      </c>
      <c r="D1395" s="9" t="str">
        <f>IFERROR(__xludf.DUMMYFUNCTION("""COMPUTED_VALUE"""),"S.")</f>
        <v>S.</v>
      </c>
      <c r="E1395" s="9" t="str">
        <f>IFERROR(__xludf.DUMMYFUNCTION("""COMPUTED_VALUE"""),"NICOLAS R. CATINDOY")</f>
        <v>NICOLAS R. CATINDOY</v>
      </c>
      <c r="F1395" s="133"/>
      <c r="G1395" s="133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60"/>
      <c r="B1396" s="9" t="str">
        <f>IFERROR(__xludf.DUMMYFUNCTION("""COMPUTED_VALUE"""),"CATINDOY")</f>
        <v>CATINDOY</v>
      </c>
      <c r="C1396" s="9" t="str">
        <f>IFERROR(__xludf.DUMMYFUNCTION("""COMPUTED_VALUE"""),"JAYSON")</f>
        <v>JAYSON</v>
      </c>
      <c r="D1396" s="9" t="str">
        <f>IFERROR(__xludf.DUMMYFUNCTION("""COMPUTED_VALUE"""),"S.")</f>
        <v>S.</v>
      </c>
      <c r="E1396" s="9" t="str">
        <f>IFERROR(__xludf.DUMMYFUNCTION("""COMPUTED_VALUE"""),"NICOLAS R. CATINDOY")</f>
        <v>NICOLAS R. CATINDOY</v>
      </c>
      <c r="F1396" s="133"/>
      <c r="G1396" s="133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60"/>
      <c r="B1397" s="9" t="str">
        <f>IFERROR(__xludf.DUMMYFUNCTION("""COMPUTED_VALUE"""),"SALINAS")</f>
        <v>SALINAS</v>
      </c>
      <c r="C1397" s="9" t="str">
        <f>IFERROR(__xludf.DUMMYFUNCTION("""COMPUTED_VALUE"""),"JENNYLYN")</f>
        <v>JENNYLYN</v>
      </c>
      <c r="D1397" s="9"/>
      <c r="E1397" s="9" t="str">
        <f>IFERROR(__xludf.DUMMYFUNCTION("""COMPUTED_VALUE"""),"NICOLAS R. CATINDOY")</f>
        <v>NICOLAS R. CATINDOY</v>
      </c>
      <c r="F1397" s="133"/>
      <c r="G1397" s="133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60"/>
      <c r="B1398" s="9" t="str">
        <f>IFERROR(__xludf.DUMMYFUNCTION("""COMPUTED_VALUE"""),"SALINAS")</f>
        <v>SALINAS</v>
      </c>
      <c r="C1398" s="9" t="str">
        <f>IFERROR(__xludf.DUMMYFUNCTION("""COMPUTED_VALUE"""),"JACQUILYN")</f>
        <v>JACQUILYN</v>
      </c>
      <c r="D1398" s="9"/>
      <c r="E1398" s="9" t="str">
        <f>IFERROR(__xludf.DUMMYFUNCTION("""COMPUTED_VALUE"""),"NICOLAS R. CATINDOY")</f>
        <v>NICOLAS R. CATINDOY</v>
      </c>
      <c r="F1398" s="133"/>
      <c r="G1398" s="133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60"/>
      <c r="B1399" s="9" t="str">
        <f>IFERROR(__xludf.DUMMYFUNCTION("""COMPUTED_VALUE"""),"CATINDOY")</f>
        <v>CATINDOY</v>
      </c>
      <c r="C1399" s="9" t="str">
        <f>IFERROR(__xludf.DUMMYFUNCTION("""COMPUTED_VALUE"""),"JHAYCEE")</f>
        <v>JHAYCEE</v>
      </c>
      <c r="D1399" s="9" t="str">
        <f>IFERROR(__xludf.DUMMYFUNCTION("""COMPUTED_VALUE"""),"S.")</f>
        <v>S.</v>
      </c>
      <c r="E1399" s="9" t="str">
        <f>IFERROR(__xludf.DUMMYFUNCTION("""COMPUTED_VALUE"""),"NICOLAS R. CATINDOY")</f>
        <v>NICOLAS R. CATINDOY</v>
      </c>
      <c r="F1399" s="133"/>
      <c r="G1399" s="133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60"/>
      <c r="B1400" s="9" t="str">
        <f>IFERROR(__xludf.DUMMYFUNCTION("""COMPUTED_VALUE"""),"GERONIMO JR.")</f>
        <v>GERONIMO JR.</v>
      </c>
      <c r="C1400" s="9" t="str">
        <f>IFERROR(__xludf.DUMMYFUNCTION("""COMPUTED_VALUE"""),"MANUEL")</f>
        <v>MANUEL</v>
      </c>
      <c r="D1400" s="9"/>
      <c r="E1400" s="9" t="str">
        <f>IFERROR(__xludf.DUMMYFUNCTION("""COMPUTED_VALUE"""),"MANUEL C. GERONIMO SR.")</f>
        <v>MANUEL C. GERONIMO SR.</v>
      </c>
      <c r="F1400" s="133"/>
      <c r="G1400" s="133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60"/>
      <c r="B1401" s="9" t="str">
        <f>IFERROR(__xludf.DUMMYFUNCTION("""COMPUTED_VALUE"""),"GERONIMO  ")</f>
        <v>GERONIMO  </v>
      </c>
      <c r="C1401" s="9" t="str">
        <f>IFERROR(__xludf.DUMMYFUNCTION("""COMPUTED_VALUE"""),"ANGELITA")</f>
        <v>ANGELITA</v>
      </c>
      <c r="D1401" s="9"/>
      <c r="E1401" s="9" t="str">
        <f>IFERROR(__xludf.DUMMYFUNCTION("""COMPUTED_VALUE"""),"MANUEL C. GERONIMO SR.")</f>
        <v>MANUEL C. GERONIMO SR.</v>
      </c>
      <c r="F1401" s="133"/>
      <c r="G1401" s="133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60"/>
      <c r="B1402" s="9" t="str">
        <f>IFERROR(__xludf.DUMMYFUNCTION("""COMPUTED_VALUE"""),"GERONIMO")</f>
        <v>GERONIMO</v>
      </c>
      <c r="C1402" s="9" t="str">
        <f>IFERROR(__xludf.DUMMYFUNCTION("""COMPUTED_VALUE"""),"JOHN DWIGHT")</f>
        <v>JOHN DWIGHT</v>
      </c>
      <c r="D1402" s="9"/>
      <c r="E1402" s="9" t="str">
        <f>IFERROR(__xludf.DUMMYFUNCTION("""COMPUTED_VALUE"""),"MANUEL C. GERONIMO SR.")</f>
        <v>MANUEL C. GERONIMO SR.</v>
      </c>
      <c r="F1402" s="133"/>
      <c r="G1402" s="133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60"/>
      <c r="B1403" s="9" t="str">
        <f>IFERROR(__xludf.DUMMYFUNCTION("""COMPUTED_VALUE"""),"BAES")</f>
        <v>BAES</v>
      </c>
      <c r="C1403" s="9" t="str">
        <f>IFERROR(__xludf.DUMMYFUNCTION("""COMPUTED_VALUE"""),"ENALYN")</f>
        <v>ENALYN</v>
      </c>
      <c r="D1403" s="9"/>
      <c r="E1403" s="9" t="str">
        <f>IFERROR(__xludf.DUMMYFUNCTION("""COMPUTED_VALUE"""),"MARITES R. GERONIMO")</f>
        <v>MARITES R. GERONIMO</v>
      </c>
      <c r="F1403" s="133"/>
      <c r="G1403" s="133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60"/>
      <c r="B1404" s="9" t="str">
        <f>IFERROR(__xludf.DUMMYFUNCTION("""COMPUTED_VALUE"""),"BENITEZ")</f>
        <v>BENITEZ</v>
      </c>
      <c r="C1404" s="9" t="str">
        <f>IFERROR(__xludf.DUMMYFUNCTION("""COMPUTED_VALUE"""),"JANNO")</f>
        <v>JANNO</v>
      </c>
      <c r="D1404" s="9"/>
      <c r="E1404" s="9" t="str">
        <f>IFERROR(__xludf.DUMMYFUNCTION("""COMPUTED_VALUE"""),"MARITES R. GERONIMO")</f>
        <v>MARITES R. GERONIMO</v>
      </c>
      <c r="F1404" s="133"/>
      <c r="G1404" s="133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60"/>
      <c r="B1405" s="9" t="str">
        <f>IFERROR(__xludf.DUMMYFUNCTION("""COMPUTED_VALUE"""),"CASTILO")</f>
        <v>CASTILO</v>
      </c>
      <c r="C1405" s="9" t="str">
        <f>IFERROR(__xludf.DUMMYFUNCTION("""COMPUTED_VALUE"""),"LIEANE AMBER")</f>
        <v>LIEANE AMBER</v>
      </c>
      <c r="D1405" s="9"/>
      <c r="E1405" s="9" t="str">
        <f>IFERROR(__xludf.DUMMYFUNCTION("""COMPUTED_VALUE"""),"CHARLIE B. CASTILO")</f>
        <v>CHARLIE B. CASTILO</v>
      </c>
      <c r="F1405" s="133"/>
      <c r="G1405" s="133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60"/>
      <c r="B1406" s="9" t="str">
        <f>IFERROR(__xludf.DUMMYFUNCTION("""COMPUTED_VALUE"""),"CASTILO")</f>
        <v>CASTILO</v>
      </c>
      <c r="C1406" s="9" t="str">
        <f>IFERROR(__xludf.DUMMYFUNCTION("""COMPUTED_VALUE"""),"CHARLES CALEB ")</f>
        <v>CHARLES CALEB </v>
      </c>
      <c r="D1406" s="9"/>
      <c r="E1406" s="9" t="str">
        <f>IFERROR(__xludf.DUMMYFUNCTION("""COMPUTED_VALUE"""),"CHARLIE B. CASTILO")</f>
        <v>CHARLIE B. CASTILO</v>
      </c>
      <c r="F1406" s="133"/>
      <c r="G1406" s="133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60"/>
      <c r="B1407" s="9" t="str">
        <f>IFERROR(__xludf.DUMMYFUNCTION("""COMPUTED_VALUE"""),"CASTILO")</f>
        <v>CASTILO</v>
      </c>
      <c r="C1407" s="9" t="str">
        <f>IFERROR(__xludf.DUMMYFUNCTION("""COMPUTED_VALUE"""),"LEYANNA ALEXA")</f>
        <v>LEYANNA ALEXA</v>
      </c>
      <c r="D1407" s="9"/>
      <c r="E1407" s="9" t="str">
        <f>IFERROR(__xludf.DUMMYFUNCTION("""COMPUTED_VALUE"""),"CHARLIE B. CASTILO")</f>
        <v>CHARLIE B. CASTILO</v>
      </c>
      <c r="F1407" s="133"/>
      <c r="G1407" s="133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60"/>
      <c r="B1408" s="9" t="str">
        <f>IFERROR(__xludf.DUMMYFUNCTION("""COMPUTED_VALUE"""),"LOPEZ")</f>
        <v>LOPEZ</v>
      </c>
      <c r="C1408" s="9" t="str">
        <f>IFERROR(__xludf.DUMMYFUNCTION("""COMPUTED_VALUE"""),"PRINCESS ELLAINE")</f>
        <v>PRINCESS ELLAINE</v>
      </c>
      <c r="D1408" s="9"/>
      <c r="E1408" s="9" t="str">
        <f>IFERROR(__xludf.DUMMYFUNCTION("""COMPUTED_VALUE"""),"ROSE MARIE SARMIENTO")</f>
        <v>ROSE MARIE SARMIENTO</v>
      </c>
      <c r="F1408" s="133"/>
      <c r="G1408" s="133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60"/>
      <c r="B1409" s="9" t="str">
        <f>IFERROR(__xludf.DUMMYFUNCTION("""COMPUTED_VALUE"""),"LOPEZ")</f>
        <v>LOPEZ</v>
      </c>
      <c r="C1409" s="9" t="str">
        <f>IFERROR(__xludf.DUMMYFUNCTION("""COMPUTED_VALUE"""),"ZAIRAH")</f>
        <v>ZAIRAH</v>
      </c>
      <c r="D1409" s="9"/>
      <c r="E1409" s="9" t="str">
        <f>IFERROR(__xludf.DUMMYFUNCTION("""COMPUTED_VALUE"""),"ROSE MARIE SARMIENTO")</f>
        <v>ROSE MARIE SARMIENTO</v>
      </c>
      <c r="F1409" s="133"/>
      <c r="G1409" s="133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60"/>
      <c r="B1410" s="9" t="str">
        <f>IFERROR(__xludf.DUMMYFUNCTION("""COMPUTED_VALUE"""),"TULABOT")</f>
        <v>TULABOT</v>
      </c>
      <c r="C1410" s="9" t="str">
        <f>IFERROR(__xludf.DUMMYFUNCTION("""COMPUTED_VALUE"""),"JOSE MARLON")</f>
        <v>JOSE MARLON</v>
      </c>
      <c r="D1410" s="9"/>
      <c r="E1410" s="9" t="str">
        <f>IFERROR(__xludf.DUMMYFUNCTION("""COMPUTED_VALUE"""),"MARLON TULABOT")</f>
        <v>MARLON TULABOT</v>
      </c>
      <c r="F1410" s="133"/>
      <c r="G1410" s="133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60"/>
      <c r="B1411" s="9" t="str">
        <f>IFERROR(__xludf.DUMMYFUNCTION("""COMPUTED_VALUE"""),"SARMIENTO")</f>
        <v>SARMIENTO</v>
      </c>
      <c r="C1411" s="9" t="str">
        <f>IFERROR(__xludf.DUMMYFUNCTION("""COMPUTED_VALUE"""),"LOIS ")</f>
        <v>LOIS </v>
      </c>
      <c r="D1411" s="9" t="str">
        <f>IFERROR(__xludf.DUMMYFUNCTION("""COMPUTED_VALUE"""),"L.")</f>
        <v>L.</v>
      </c>
      <c r="E1411" s="9" t="str">
        <f>IFERROR(__xludf.DUMMYFUNCTION("""COMPUTED_VALUE"""),"BERNAND SARMIENTO")</f>
        <v>BERNAND SARMIENTO</v>
      </c>
      <c r="F1411" s="133"/>
      <c r="G1411" s="133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60"/>
      <c r="B1412" s="9" t="str">
        <f>IFERROR(__xludf.DUMMYFUNCTION("""COMPUTED_VALUE"""),"SARMIENTO")</f>
        <v>SARMIENTO</v>
      </c>
      <c r="C1412" s="9" t="str">
        <f>IFERROR(__xludf.DUMMYFUNCTION("""COMPUTED_VALUE"""),"LHEANNA")</f>
        <v>LHEANNA</v>
      </c>
      <c r="D1412" s="9" t="str">
        <f>IFERROR(__xludf.DUMMYFUNCTION("""COMPUTED_VALUE"""),"L.")</f>
        <v>L.</v>
      </c>
      <c r="E1412" s="9" t="str">
        <f>IFERROR(__xludf.DUMMYFUNCTION("""COMPUTED_VALUE"""),"BERNAND SARMIENTO")</f>
        <v>BERNAND SARMIENTO</v>
      </c>
      <c r="F1412" s="133"/>
      <c r="G1412" s="133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60"/>
      <c r="B1413" s="9" t="str">
        <f>IFERROR(__xludf.DUMMYFUNCTION("""COMPUTED_VALUE"""),"GOZO")</f>
        <v>GOZO</v>
      </c>
      <c r="C1413" s="9" t="str">
        <f>IFERROR(__xludf.DUMMYFUNCTION("""COMPUTED_VALUE"""),"RICH AIDAN ")</f>
        <v>RICH AIDAN </v>
      </c>
      <c r="D1413" s="9" t="str">
        <f>IFERROR(__xludf.DUMMYFUNCTION("""COMPUTED_VALUE"""),"G.")</f>
        <v>G.</v>
      </c>
      <c r="E1413" s="9" t="str">
        <f>IFERROR(__xludf.DUMMYFUNCTION("""COMPUTED_VALUE"""),"RICHARD B. GOZO")</f>
        <v>RICHARD B. GOZO</v>
      </c>
      <c r="F1413" s="133"/>
      <c r="G1413" s="133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60"/>
      <c r="B1414" s="9" t="str">
        <f>IFERROR(__xludf.DUMMYFUNCTION("""COMPUTED_VALUE"""),"GOZO")</f>
        <v>GOZO</v>
      </c>
      <c r="C1414" s="9" t="str">
        <f>IFERROR(__xludf.DUMMYFUNCTION("""COMPUTED_VALUE"""),"RICH DYLAN")</f>
        <v>RICH DYLAN</v>
      </c>
      <c r="D1414" s="9" t="str">
        <f>IFERROR(__xludf.DUMMYFUNCTION("""COMPUTED_VALUE"""),"G.")</f>
        <v>G.</v>
      </c>
      <c r="E1414" s="9" t="str">
        <f>IFERROR(__xludf.DUMMYFUNCTION("""COMPUTED_VALUE"""),"RICHARD B. GOZO")</f>
        <v>RICHARD B. GOZO</v>
      </c>
      <c r="F1414" s="133"/>
      <c r="G1414" s="133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60"/>
      <c r="B1415" s="9" t="str">
        <f>IFERROR(__xludf.DUMMYFUNCTION("""COMPUTED_VALUE"""),"SALONGA")</f>
        <v>SALONGA</v>
      </c>
      <c r="C1415" s="9" t="str">
        <f>IFERROR(__xludf.DUMMYFUNCTION("""COMPUTED_VALUE"""),"CALEB")</f>
        <v>CALEB</v>
      </c>
      <c r="D1415" s="9" t="str">
        <f>IFERROR(__xludf.DUMMYFUNCTION("""COMPUTED_VALUE"""),"M.")</f>
        <v>M.</v>
      </c>
      <c r="E1415" s="9" t="str">
        <f>IFERROR(__xludf.DUMMYFUNCTION("""COMPUTED_VALUE"""),"JOSUE SALONGA")</f>
        <v>JOSUE SALONGA</v>
      </c>
      <c r="F1415" s="133"/>
      <c r="G1415" s="133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60"/>
      <c r="B1416" s="9" t="str">
        <f>IFERROR(__xludf.DUMMYFUNCTION("""COMPUTED_VALUE"""),"SARMIENTO")</f>
        <v>SARMIENTO</v>
      </c>
      <c r="C1416" s="9" t="str">
        <f>IFERROR(__xludf.DUMMYFUNCTION("""COMPUTED_VALUE"""),"PAULA ELAINE")</f>
        <v>PAULA ELAINE</v>
      </c>
      <c r="D1416" s="9" t="str">
        <f>IFERROR(__xludf.DUMMYFUNCTION("""COMPUTED_VALUE"""),"V.")</f>
        <v>V.</v>
      </c>
      <c r="E1416" s="9" t="str">
        <f>IFERROR(__xludf.DUMMYFUNCTION("""COMPUTED_VALUE"""),"PAUL M. SARMIENTO")</f>
        <v>PAUL M. SARMIENTO</v>
      </c>
      <c r="F1416" s="133"/>
      <c r="G1416" s="133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60"/>
      <c r="B1417" s="9" t="str">
        <f>IFERROR(__xludf.DUMMYFUNCTION("""COMPUTED_VALUE"""),"VILLAR")</f>
        <v>VILLAR</v>
      </c>
      <c r="C1417" s="9" t="str">
        <f>IFERROR(__xludf.DUMMYFUNCTION("""COMPUTED_VALUE"""),"ANDREI")</f>
        <v>ANDREI</v>
      </c>
      <c r="D1417" s="9" t="str">
        <f>IFERROR(__xludf.DUMMYFUNCTION("""COMPUTED_VALUE"""),"M.")</f>
        <v>M.</v>
      </c>
      <c r="E1417" s="9" t="str">
        <f>IFERROR(__xludf.DUMMYFUNCTION("""COMPUTED_VALUE"""),"DANILO P. VILLAR")</f>
        <v>DANILO P. VILLAR</v>
      </c>
      <c r="F1417" s="133"/>
      <c r="G1417" s="133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60"/>
      <c r="B1418" s="9" t="str">
        <f>IFERROR(__xludf.DUMMYFUNCTION("""COMPUTED_VALUE"""),"VILLAR")</f>
        <v>VILLAR</v>
      </c>
      <c r="C1418" s="9" t="str">
        <f>IFERROR(__xludf.DUMMYFUNCTION("""COMPUTED_VALUE"""),"RAYMOND")</f>
        <v>RAYMOND</v>
      </c>
      <c r="D1418" s="9" t="str">
        <f>IFERROR(__xludf.DUMMYFUNCTION("""COMPUTED_VALUE"""),"M.")</f>
        <v>M.</v>
      </c>
      <c r="E1418" s="9" t="str">
        <f>IFERROR(__xludf.DUMMYFUNCTION("""COMPUTED_VALUE"""),"DANILO P. VILLAR")</f>
        <v>DANILO P. VILLAR</v>
      </c>
      <c r="F1418" s="133"/>
      <c r="G1418" s="133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60"/>
      <c r="B1419" s="9" t="str">
        <f>IFERROR(__xludf.DUMMYFUNCTION("""COMPUTED_VALUE"""),"VILLAR")</f>
        <v>VILLAR</v>
      </c>
      <c r="C1419" s="9" t="str">
        <f>IFERROR(__xludf.DUMMYFUNCTION("""COMPUTED_VALUE"""),"ALEYAH")</f>
        <v>ALEYAH</v>
      </c>
      <c r="D1419" s="9" t="str">
        <f>IFERROR(__xludf.DUMMYFUNCTION("""COMPUTED_VALUE"""),"M.")</f>
        <v>M.</v>
      </c>
      <c r="E1419" s="9" t="str">
        <f>IFERROR(__xludf.DUMMYFUNCTION("""COMPUTED_VALUE"""),"DANILO P. VILLAR")</f>
        <v>DANILO P. VILLAR</v>
      </c>
      <c r="F1419" s="133"/>
      <c r="G1419" s="133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60"/>
      <c r="B1420" s="9" t="str">
        <f>IFERROR(__xludf.DUMMYFUNCTION("""COMPUTED_VALUE"""),"VILLAR")</f>
        <v>VILLAR</v>
      </c>
      <c r="C1420" s="9" t="str">
        <f>IFERROR(__xludf.DUMMYFUNCTION("""COMPUTED_VALUE"""),"AARON PAUL")</f>
        <v>AARON PAUL</v>
      </c>
      <c r="D1420" s="9" t="str">
        <f>IFERROR(__xludf.DUMMYFUNCTION("""COMPUTED_VALUE"""),"M.")</f>
        <v>M.</v>
      </c>
      <c r="E1420" s="9" t="str">
        <f>IFERROR(__xludf.DUMMYFUNCTION("""COMPUTED_VALUE"""),"DANILO P. VILLAR")</f>
        <v>DANILO P. VILLAR</v>
      </c>
      <c r="F1420" s="133"/>
      <c r="G1420" s="133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60"/>
      <c r="B1421" s="9" t="str">
        <f>IFERROR(__xludf.DUMMYFUNCTION("""COMPUTED_VALUE"""),"VILLAR")</f>
        <v>VILLAR</v>
      </c>
      <c r="C1421" s="9" t="str">
        <f>IFERROR(__xludf.DUMMYFUNCTION("""COMPUTED_VALUE"""),"ADRIAN")</f>
        <v>ADRIAN</v>
      </c>
      <c r="D1421" s="9" t="str">
        <f>IFERROR(__xludf.DUMMYFUNCTION("""COMPUTED_VALUE"""),"M.")</f>
        <v>M.</v>
      </c>
      <c r="E1421" s="9" t="str">
        <f>IFERROR(__xludf.DUMMYFUNCTION("""COMPUTED_VALUE"""),"DANILO P. VILLAR")</f>
        <v>DANILO P. VILLAR</v>
      </c>
      <c r="F1421" s="133"/>
      <c r="G1421" s="133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60"/>
      <c r="B1422" s="9" t="str">
        <f>IFERROR(__xludf.DUMMYFUNCTION("""COMPUTED_VALUE"""),"HILOT")</f>
        <v>HILOT</v>
      </c>
      <c r="C1422" s="9" t="str">
        <f>IFERROR(__xludf.DUMMYFUNCTION("""COMPUTED_VALUE"""),"JAYDEN  ASHER")</f>
        <v>JAYDEN  ASHER</v>
      </c>
      <c r="D1422" s="9" t="str">
        <f>IFERROR(__xludf.DUMMYFUNCTION("""COMPUTED_VALUE"""),"V.")</f>
        <v>V.</v>
      </c>
      <c r="E1422" s="9" t="str">
        <f>IFERROR(__xludf.DUMMYFUNCTION("""COMPUTED_VALUE"""),"JUSTINE HILOT")</f>
        <v>JUSTINE HILOT</v>
      </c>
      <c r="F1422" s="133"/>
      <c r="G1422" s="133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60"/>
      <c r="B1423" s="9" t="str">
        <f>IFERROR(__xludf.DUMMYFUNCTION("""COMPUTED_VALUE"""),"GUTIERREZ")</f>
        <v>GUTIERREZ</v>
      </c>
      <c r="C1423" s="9" t="str">
        <f>IFERROR(__xludf.DUMMYFUNCTION("""COMPUTED_VALUE"""),"BEA ")</f>
        <v>BEA </v>
      </c>
      <c r="D1423" s="9" t="str">
        <f>IFERROR(__xludf.DUMMYFUNCTION("""COMPUTED_VALUE"""),"I.")</f>
        <v>I.</v>
      </c>
      <c r="E1423" s="9" t="str">
        <f>IFERROR(__xludf.DUMMYFUNCTION("""COMPUTED_VALUE"""),"BENJAMIN H. GUTIERREZ")</f>
        <v>BENJAMIN H. GUTIERREZ</v>
      </c>
      <c r="F1423" s="133"/>
      <c r="G1423" s="133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60"/>
      <c r="B1424" s="9" t="str">
        <f>IFERROR(__xludf.DUMMYFUNCTION("""COMPUTED_VALUE"""),"GUETIERREZ")</f>
        <v>GUETIERREZ</v>
      </c>
      <c r="C1424" s="9" t="str">
        <f>IFERROR(__xludf.DUMMYFUNCTION("""COMPUTED_VALUE"""),"BIEL")</f>
        <v>BIEL</v>
      </c>
      <c r="D1424" s="9" t="str">
        <f>IFERROR(__xludf.DUMMYFUNCTION("""COMPUTED_VALUE"""),"I.")</f>
        <v>I.</v>
      </c>
      <c r="E1424" s="9" t="str">
        <f>IFERROR(__xludf.DUMMYFUNCTION("""COMPUTED_VALUE"""),"BENJAMIN H. GUTIERREZ")</f>
        <v>BENJAMIN H. GUTIERREZ</v>
      </c>
      <c r="F1424" s="133"/>
      <c r="G1424" s="133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60"/>
      <c r="B1425" s="9" t="str">
        <f>IFERROR(__xludf.DUMMYFUNCTION("""COMPUTED_VALUE"""),"MACARIO")</f>
        <v>MACARIO</v>
      </c>
      <c r="C1425" s="9" t="str">
        <f>IFERROR(__xludf.DUMMYFUNCTION("""COMPUTED_VALUE"""),"JAYSON")</f>
        <v>JAYSON</v>
      </c>
      <c r="D1425" s="9"/>
      <c r="E1425" s="9" t="str">
        <f>IFERROR(__xludf.DUMMYFUNCTION("""COMPUTED_VALUE"""),"FERNANDO HIMAN")</f>
        <v>FERNANDO HIMAN</v>
      </c>
      <c r="F1425" s="133"/>
      <c r="G1425" s="133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60"/>
      <c r="B1426" s="9" t="str">
        <f>IFERROR(__xludf.DUMMYFUNCTION("""COMPUTED_VALUE"""),"MACARIO")</f>
        <v>MACARIO</v>
      </c>
      <c r="C1426" s="9" t="str">
        <f>IFERROR(__xludf.DUMMYFUNCTION("""COMPUTED_VALUE"""),"EBRIAN")</f>
        <v>EBRIAN</v>
      </c>
      <c r="D1426" s="9"/>
      <c r="E1426" s="9" t="str">
        <f>IFERROR(__xludf.DUMMYFUNCTION("""COMPUTED_VALUE"""),"FERNANDO HIMAN")</f>
        <v>FERNANDO HIMAN</v>
      </c>
      <c r="F1426" s="133"/>
      <c r="G1426" s="133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60"/>
      <c r="B1427" s="9" t="str">
        <f>IFERROR(__xludf.DUMMYFUNCTION("""COMPUTED_VALUE"""),"VICTORIa ")</f>
        <v>VICTORIa </v>
      </c>
      <c r="C1427" s="9" t="str">
        <f>IFERROR(__xludf.DUMMYFUNCTION("""COMPUTED_VALUE"""),"aliah ")</f>
        <v>aliah </v>
      </c>
      <c r="D1427" s="9"/>
      <c r="E1427" s="9" t="str">
        <f>IFERROR(__xludf.DUMMYFUNCTION("""COMPUTED_VALUE"""),"BIENVENIDO C. VITORIA SR. ")</f>
        <v>BIENVENIDO C. VITORIA SR. </v>
      </c>
      <c r="F1427" s="133"/>
      <c r="G1427" s="133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60"/>
      <c r="B1428" s="9" t="str">
        <f>IFERROR(__xludf.DUMMYFUNCTION("""COMPUTED_VALUE"""),"SOLOMON")</f>
        <v>SOLOMON</v>
      </c>
      <c r="C1428" s="9" t="str">
        <f>IFERROR(__xludf.DUMMYFUNCTION("""COMPUTED_VALUE"""),"JAYLORD REYYN ")</f>
        <v>JAYLORD REYYN </v>
      </c>
      <c r="D1428" s="9"/>
      <c r="E1428" s="9" t="str">
        <f>IFERROR(__xludf.DUMMYFUNCTION("""COMPUTED_VALUE"""),"REYNALD H. SOLOMON")</f>
        <v>REYNALD H. SOLOMON</v>
      </c>
      <c r="F1428" s="133"/>
      <c r="G1428" s="133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60"/>
      <c r="B1429" s="9" t="str">
        <f>IFERROR(__xludf.DUMMYFUNCTION("""COMPUTED_VALUE"""),"HILARIO JR.")</f>
        <v>HILARIO JR.</v>
      </c>
      <c r="C1429" s="9" t="str">
        <f>IFERROR(__xludf.DUMMYFUNCTION("""COMPUTED_VALUE"""),"TEODORO")</f>
        <v>TEODORO</v>
      </c>
      <c r="D1429" s="9"/>
      <c r="E1429" s="9" t="str">
        <f>IFERROR(__xludf.DUMMYFUNCTION("""COMPUTED_VALUE"""),"JAYRENE S. HILARIO")</f>
        <v>JAYRENE S. HILARIO</v>
      </c>
      <c r="F1429" s="133"/>
      <c r="G1429" s="133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60"/>
      <c r="B1430" s="9" t="str">
        <f>IFERROR(__xludf.DUMMYFUNCTION("""COMPUTED_VALUE"""),"PESIGAN")</f>
        <v>PESIGAN</v>
      </c>
      <c r="C1430" s="9" t="str">
        <f>IFERROR(__xludf.DUMMYFUNCTION("""COMPUTED_VALUE"""),"PRINCE CEIVAN ")</f>
        <v>PRINCE CEIVAN </v>
      </c>
      <c r="D1430" s="9" t="str">
        <f>IFERROR(__xludf.DUMMYFUNCTION("""COMPUTED_VALUE"""),"V.")</f>
        <v>V.</v>
      </c>
      <c r="E1430" s="9" t="str">
        <f>IFERROR(__xludf.DUMMYFUNCTION("""COMPUTED_VALUE"""),"IVAN ROE S. PESIGAN")</f>
        <v>IVAN ROE S. PESIGAN</v>
      </c>
      <c r="F1430" s="133"/>
      <c r="G1430" s="133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60"/>
      <c r="B1431" s="9" t="str">
        <f>IFERROR(__xludf.DUMMYFUNCTION("""COMPUTED_VALUE"""),"PESIGAN")</f>
        <v>PESIGAN</v>
      </c>
      <c r="C1431" s="9" t="str">
        <f>IFERROR(__xludf.DUMMYFUNCTION("""COMPUTED_VALUE"""),"PRESTON CAILEIGH")</f>
        <v>PRESTON CAILEIGH</v>
      </c>
      <c r="D1431" s="9" t="str">
        <f>IFERROR(__xludf.DUMMYFUNCTION("""COMPUTED_VALUE"""),"V.")</f>
        <v>V.</v>
      </c>
      <c r="E1431" s="9" t="str">
        <f>IFERROR(__xludf.DUMMYFUNCTION("""COMPUTED_VALUE"""),"IVAN ROE S. PESIGAN")</f>
        <v>IVAN ROE S. PESIGAN</v>
      </c>
      <c r="F1431" s="133"/>
      <c r="G1431" s="133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60"/>
      <c r="B1432" s="9" t="str">
        <f>IFERROR(__xludf.DUMMYFUNCTION("""COMPUTED_VALUE"""),"ESCUADRO")</f>
        <v>ESCUADRO</v>
      </c>
      <c r="C1432" s="9" t="str">
        <f>IFERROR(__xludf.DUMMYFUNCTION("""COMPUTED_VALUE"""),"TIARA EMAMANUELLE")</f>
        <v>TIARA EMAMANUELLE</v>
      </c>
      <c r="D1432" s="9" t="str">
        <f>IFERROR(__xludf.DUMMYFUNCTION("""COMPUTED_VALUE"""),"O.")</f>
        <v>O.</v>
      </c>
      <c r="E1432" s="9" t="str">
        <f>IFERROR(__xludf.DUMMYFUNCTION("""COMPUTED_VALUE"""),"TITO ESCUADRO JR.")</f>
        <v>TITO ESCUADRO JR.</v>
      </c>
      <c r="F1432" s="133"/>
      <c r="G1432" s="133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60"/>
      <c r="B1433" s="9" t="str">
        <f>IFERROR(__xludf.DUMMYFUNCTION("""COMPUTED_VALUE"""),"SORILLA")</f>
        <v>SORILLA</v>
      </c>
      <c r="C1433" s="9" t="str">
        <f>IFERROR(__xludf.DUMMYFUNCTION("""COMPUTED_VALUE"""),"ZAECHIES ZEREF ")</f>
        <v>ZAECHIES ZEREF </v>
      </c>
      <c r="D1433" s="9"/>
      <c r="E1433" s="9" t="str">
        <f>IFERROR(__xludf.DUMMYFUNCTION("""COMPUTED_VALUE"""),"DOMINIC SORILLA")</f>
        <v>DOMINIC SORILLA</v>
      </c>
      <c r="F1433" s="133"/>
      <c r="G1433" s="133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60"/>
      <c r="B1434" s="9" t="str">
        <f>IFERROR(__xludf.DUMMYFUNCTION("""COMPUTED_VALUE"""),"DE VERA")</f>
        <v>DE VERA</v>
      </c>
      <c r="C1434" s="9" t="str">
        <f>IFERROR(__xludf.DUMMYFUNCTION("""COMPUTED_VALUE"""),"HADASSAH ZARYMAY ")</f>
        <v>HADASSAH ZARYMAY </v>
      </c>
      <c r="D1434" s="9" t="str">
        <f>IFERROR(__xludf.DUMMYFUNCTION("""COMPUTED_VALUE"""),"G.")</f>
        <v>G.</v>
      </c>
      <c r="E1434" s="9" t="str">
        <f>IFERROR(__xludf.DUMMYFUNCTION("""COMPUTED_VALUE"""),"JAN MICHAEL E. DE VERA III")</f>
        <v>JAN MICHAEL E. DE VERA III</v>
      </c>
      <c r="F1434" s="133"/>
      <c r="G1434" s="133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60"/>
      <c r="B1435" s="9" t="str">
        <f>IFERROR(__xludf.DUMMYFUNCTION("""COMPUTED_VALUE"""),"DE VERA")</f>
        <v>DE VERA</v>
      </c>
      <c r="C1435" s="9" t="str">
        <f>IFERROR(__xludf.DUMMYFUNCTION("""COMPUTED_VALUE"""),"HILKIAH JULIO MIGUEL")</f>
        <v>HILKIAH JULIO MIGUEL</v>
      </c>
      <c r="D1435" s="9" t="str">
        <f>IFERROR(__xludf.DUMMYFUNCTION("""COMPUTED_VALUE"""),"G.")</f>
        <v>G.</v>
      </c>
      <c r="E1435" s="9" t="str">
        <f>IFERROR(__xludf.DUMMYFUNCTION("""COMPUTED_VALUE"""),"JAN MICHAEL E. DE VERA III")</f>
        <v>JAN MICHAEL E. DE VERA III</v>
      </c>
      <c r="F1435" s="133"/>
      <c r="G1435" s="133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60"/>
      <c r="B1436" s="9" t="str">
        <f>IFERROR(__xludf.DUMMYFUNCTION("""COMPUTED_VALUE"""),"PAMINTUAN")</f>
        <v>PAMINTUAN</v>
      </c>
      <c r="C1436" s="9" t="str">
        <f>IFERROR(__xludf.DUMMYFUNCTION("""COMPUTED_VALUE"""),"AMIE")</f>
        <v>AMIE</v>
      </c>
      <c r="D1436" s="9"/>
      <c r="E1436" s="9" t="str">
        <f>IFERROR(__xludf.DUMMYFUNCTION("""COMPUTED_VALUE"""),"MARITESS M. PAMINTUHAN")</f>
        <v>MARITESS M. PAMINTUHAN</v>
      </c>
      <c r="F1436" s="133"/>
      <c r="G1436" s="133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60"/>
      <c r="B1437" s="9"/>
      <c r="C1437" s="9"/>
      <c r="D1437" s="9"/>
      <c r="E1437" s="9"/>
      <c r="F1437" s="133"/>
      <c r="G1437" s="133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60"/>
      <c r="B1438" s="9"/>
      <c r="C1438" s="9"/>
      <c r="D1438" s="9"/>
      <c r="E1438" s="9"/>
      <c r="F1438" s="133"/>
      <c r="G1438" s="133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60"/>
      <c r="B1439" s="9"/>
      <c r="C1439" s="9"/>
      <c r="D1439" s="9"/>
      <c r="E1439" s="9"/>
      <c r="F1439" s="133"/>
      <c r="G1439" s="133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60"/>
      <c r="B1440" s="9"/>
      <c r="C1440" s="9"/>
      <c r="D1440" s="9"/>
      <c r="E1440" s="9"/>
      <c r="F1440" s="133"/>
      <c r="G1440" s="133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60"/>
      <c r="B1441" s="9"/>
      <c r="C1441" s="9"/>
      <c r="D1441" s="9"/>
      <c r="E1441" s="9"/>
      <c r="F1441" s="133"/>
      <c r="G1441" s="133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60"/>
      <c r="B1442" s="9"/>
      <c r="C1442" s="9"/>
      <c r="D1442" s="9"/>
      <c r="E1442" s="9"/>
      <c r="F1442" s="133"/>
      <c r="G1442" s="133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60"/>
      <c r="B1443" s="9"/>
      <c r="C1443" s="9"/>
      <c r="D1443" s="9"/>
      <c r="E1443" s="9"/>
      <c r="F1443" s="133"/>
      <c r="G1443" s="133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60"/>
      <c r="B1444" s="9"/>
      <c r="C1444" s="9"/>
      <c r="D1444" s="9"/>
      <c r="E1444" s="9"/>
      <c r="F1444" s="133"/>
      <c r="G1444" s="133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60"/>
      <c r="B1445" s="9"/>
      <c r="C1445" s="9"/>
      <c r="D1445" s="9"/>
      <c r="E1445" s="9"/>
      <c r="F1445" s="133"/>
      <c r="G1445" s="133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60"/>
      <c r="B1446" s="9"/>
      <c r="C1446" s="9"/>
      <c r="D1446" s="9"/>
      <c r="E1446" s="9"/>
      <c r="F1446" s="133"/>
      <c r="G1446" s="133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60"/>
      <c r="B1447" s="9"/>
      <c r="C1447" s="9"/>
      <c r="D1447" s="9"/>
      <c r="E1447" s="9"/>
      <c r="F1447" s="133"/>
      <c r="G1447" s="133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60"/>
      <c r="B1448" s="9"/>
      <c r="C1448" s="9"/>
      <c r="D1448" s="9"/>
      <c r="E1448" s="9"/>
      <c r="F1448" s="133"/>
      <c r="G1448" s="133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60"/>
      <c r="B1449" s="9"/>
      <c r="C1449" s="9"/>
      <c r="D1449" s="9"/>
      <c r="E1449" s="9"/>
      <c r="F1449" s="133"/>
      <c r="G1449" s="133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60"/>
      <c r="B1450" s="9"/>
      <c r="C1450" s="9"/>
      <c r="D1450" s="9"/>
      <c r="E1450" s="9"/>
      <c r="F1450" s="133"/>
      <c r="G1450" s="133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60"/>
      <c r="B1451" s="9"/>
      <c r="C1451" s="9"/>
      <c r="D1451" s="9"/>
      <c r="E1451" s="9"/>
      <c r="F1451" s="133"/>
      <c r="G1451" s="133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60"/>
      <c r="B1452" s="9"/>
      <c r="C1452" s="9"/>
      <c r="D1452" s="9"/>
      <c r="E1452" s="9"/>
      <c r="F1452" s="133"/>
      <c r="G1452" s="133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60"/>
      <c r="B1453" s="9"/>
      <c r="C1453" s="9"/>
      <c r="D1453" s="9"/>
      <c r="E1453" s="9"/>
      <c r="F1453" s="133"/>
      <c r="G1453" s="133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60"/>
      <c r="B1454" s="9"/>
      <c r="C1454" s="9"/>
      <c r="D1454" s="9"/>
      <c r="E1454" s="9"/>
      <c r="F1454" s="133"/>
      <c r="G1454" s="133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60"/>
      <c r="B1455" s="9"/>
      <c r="C1455" s="9"/>
      <c r="D1455" s="9"/>
      <c r="E1455" s="9"/>
      <c r="F1455" s="133"/>
      <c r="G1455" s="133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60"/>
      <c r="B1456" s="9"/>
      <c r="C1456" s="9"/>
      <c r="D1456" s="9"/>
      <c r="E1456" s="9"/>
      <c r="F1456" s="133"/>
      <c r="G1456" s="133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60"/>
      <c r="B1457" s="9"/>
      <c r="C1457" s="9"/>
      <c r="D1457" s="9"/>
      <c r="E1457" s="9"/>
      <c r="F1457" s="133"/>
      <c r="G1457" s="133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60"/>
      <c r="B1458" s="9"/>
      <c r="C1458" s="9"/>
      <c r="D1458" s="9"/>
      <c r="E1458" s="9"/>
      <c r="F1458" s="133"/>
      <c r="G1458" s="133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60"/>
      <c r="B1459" s="9"/>
      <c r="C1459" s="9"/>
      <c r="D1459" s="9"/>
      <c r="E1459" s="9"/>
      <c r="F1459" s="133"/>
      <c r="G1459" s="133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60"/>
      <c r="B1460" s="9"/>
      <c r="C1460" s="9"/>
      <c r="D1460" s="9"/>
      <c r="E1460" s="9"/>
      <c r="F1460" s="133"/>
      <c r="G1460" s="133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60"/>
      <c r="B1461" s="9"/>
      <c r="C1461" s="9"/>
      <c r="D1461" s="9"/>
      <c r="E1461" s="9"/>
      <c r="F1461" s="133"/>
      <c r="G1461" s="133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60"/>
      <c r="B1462" s="9"/>
      <c r="C1462" s="9"/>
      <c r="D1462" s="9"/>
      <c r="E1462" s="9"/>
      <c r="F1462" s="133"/>
      <c r="G1462" s="133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60"/>
      <c r="B1463" s="9"/>
      <c r="C1463" s="9"/>
      <c r="D1463" s="9"/>
      <c r="E1463" s="9"/>
      <c r="F1463" s="133"/>
      <c r="G1463" s="133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60"/>
      <c r="B1464" s="9"/>
      <c r="C1464" s="9"/>
      <c r="D1464" s="9"/>
      <c r="E1464" s="9"/>
      <c r="F1464" s="133"/>
      <c r="G1464" s="133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60"/>
      <c r="B1465" s="9"/>
      <c r="C1465" s="9"/>
      <c r="D1465" s="9"/>
      <c r="E1465" s="9"/>
      <c r="F1465" s="133"/>
      <c r="G1465" s="133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60"/>
      <c r="B1466" s="9"/>
      <c r="C1466" s="9"/>
      <c r="D1466" s="9"/>
      <c r="E1466" s="9"/>
      <c r="F1466" s="133"/>
      <c r="G1466" s="133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60"/>
      <c r="B1467" s="9"/>
      <c r="C1467" s="9"/>
      <c r="D1467" s="9"/>
      <c r="E1467" s="9"/>
      <c r="F1467" s="133"/>
      <c r="G1467" s="133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60"/>
      <c r="B1468" s="9"/>
      <c r="C1468" s="9"/>
      <c r="D1468" s="9"/>
      <c r="E1468" s="9"/>
      <c r="F1468" s="133"/>
      <c r="G1468" s="133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60"/>
      <c r="B1469" s="9"/>
      <c r="C1469" s="9"/>
      <c r="D1469" s="9"/>
      <c r="E1469" s="9"/>
      <c r="F1469" s="133"/>
      <c r="G1469" s="133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60"/>
      <c r="B1470" s="9"/>
      <c r="C1470" s="9"/>
      <c r="D1470" s="9"/>
      <c r="E1470" s="9"/>
      <c r="F1470" s="133"/>
      <c r="G1470" s="133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60"/>
      <c r="B1471" s="9"/>
      <c r="C1471" s="9"/>
      <c r="D1471" s="9"/>
      <c r="E1471" s="9"/>
      <c r="F1471" s="133"/>
      <c r="G1471" s="133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60"/>
      <c r="B1472" s="9"/>
      <c r="C1472" s="9"/>
      <c r="D1472" s="9"/>
      <c r="E1472" s="9"/>
      <c r="F1472" s="133"/>
      <c r="G1472" s="133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60"/>
      <c r="B1473" s="9"/>
      <c r="C1473" s="9"/>
      <c r="D1473" s="9"/>
      <c r="E1473" s="9"/>
      <c r="F1473" s="133"/>
      <c r="G1473" s="133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60"/>
      <c r="B1474" s="9"/>
      <c r="C1474" s="9"/>
      <c r="D1474" s="9"/>
      <c r="E1474" s="9"/>
      <c r="F1474" s="133"/>
      <c r="G1474" s="133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60"/>
      <c r="B1475" s="9"/>
      <c r="C1475" s="9"/>
      <c r="D1475" s="9"/>
      <c r="E1475" s="9"/>
      <c r="F1475" s="133"/>
      <c r="G1475" s="133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60"/>
      <c r="B1476" s="9"/>
      <c r="C1476" s="9"/>
      <c r="D1476" s="9"/>
      <c r="E1476" s="9"/>
      <c r="F1476" s="133"/>
      <c r="G1476" s="133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60"/>
      <c r="B1477" s="9"/>
      <c r="C1477" s="9"/>
      <c r="D1477" s="9"/>
      <c r="E1477" s="9"/>
      <c r="F1477" s="133"/>
      <c r="G1477" s="133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60"/>
      <c r="B1478" s="9"/>
      <c r="C1478" s="9"/>
      <c r="D1478" s="9"/>
      <c r="E1478" s="9"/>
      <c r="F1478" s="133"/>
      <c r="G1478" s="133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60"/>
      <c r="B1479" s="9"/>
      <c r="C1479" s="9"/>
      <c r="D1479" s="9"/>
      <c r="E1479" s="9"/>
      <c r="F1479" s="133"/>
      <c r="G1479" s="133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60"/>
      <c r="B1480" s="9"/>
      <c r="C1480" s="9"/>
      <c r="D1480" s="9"/>
      <c r="E1480" s="9"/>
      <c r="F1480" s="133"/>
      <c r="G1480" s="133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60"/>
      <c r="B1481" s="9"/>
      <c r="C1481" s="9"/>
      <c r="D1481" s="9"/>
      <c r="E1481" s="9"/>
      <c r="F1481" s="133"/>
      <c r="G1481" s="133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60"/>
      <c r="B1482" s="9"/>
      <c r="C1482" s="9"/>
      <c r="D1482" s="9"/>
      <c r="E1482" s="9"/>
      <c r="F1482" s="133"/>
      <c r="G1482" s="133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60"/>
      <c r="B1483" s="9"/>
      <c r="C1483" s="9"/>
      <c r="D1483" s="9"/>
      <c r="E1483" s="9"/>
      <c r="F1483" s="133"/>
      <c r="G1483" s="133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60"/>
      <c r="B1484" s="9"/>
      <c r="C1484" s="9"/>
      <c r="D1484" s="9"/>
      <c r="E1484" s="9"/>
      <c r="F1484" s="133"/>
      <c r="G1484" s="133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60"/>
      <c r="B1485" s="9"/>
      <c r="C1485" s="9"/>
      <c r="D1485" s="9"/>
      <c r="E1485" s="9"/>
      <c r="F1485" s="133"/>
      <c r="G1485" s="133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60"/>
      <c r="B1486" s="9"/>
      <c r="C1486" s="9"/>
      <c r="D1486" s="9"/>
      <c r="E1486" s="9"/>
      <c r="F1486" s="133"/>
      <c r="G1486" s="133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60"/>
      <c r="B1487" s="9"/>
      <c r="C1487" s="9"/>
      <c r="D1487" s="9"/>
      <c r="E1487" s="9"/>
      <c r="F1487" s="133"/>
      <c r="G1487" s="133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60"/>
      <c r="B1488" s="9"/>
      <c r="C1488" s="9"/>
      <c r="D1488" s="9"/>
      <c r="E1488" s="9"/>
      <c r="F1488" s="133"/>
      <c r="G1488" s="133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60"/>
      <c r="B1489" s="9"/>
      <c r="C1489" s="9"/>
      <c r="D1489" s="9"/>
      <c r="E1489" s="9"/>
      <c r="F1489" s="133"/>
      <c r="G1489" s="133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60"/>
      <c r="B1490" s="9"/>
      <c r="C1490" s="9"/>
      <c r="D1490" s="9"/>
      <c r="E1490" s="9"/>
      <c r="F1490" s="133"/>
      <c r="G1490" s="133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60"/>
      <c r="B1491" s="9"/>
      <c r="C1491" s="9"/>
      <c r="D1491" s="9"/>
      <c r="E1491" s="9"/>
      <c r="F1491" s="133"/>
      <c r="G1491" s="133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60"/>
      <c r="B1492" s="9"/>
      <c r="C1492" s="9"/>
      <c r="D1492" s="9"/>
      <c r="E1492" s="9"/>
      <c r="F1492" s="133"/>
      <c r="G1492" s="133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60"/>
      <c r="B1493" s="9"/>
      <c r="C1493" s="9"/>
      <c r="D1493" s="9"/>
      <c r="E1493" s="9"/>
      <c r="F1493" s="133"/>
      <c r="G1493" s="133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60"/>
      <c r="B1494" s="9"/>
      <c r="C1494" s="9"/>
      <c r="D1494" s="9"/>
      <c r="E1494" s="9"/>
      <c r="F1494" s="133"/>
      <c r="G1494" s="133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60"/>
      <c r="B1495" s="9"/>
      <c r="C1495" s="9"/>
      <c r="D1495" s="9"/>
      <c r="E1495" s="9"/>
      <c r="F1495" s="133"/>
      <c r="G1495" s="133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60"/>
      <c r="B1496" s="9"/>
      <c r="C1496" s="9"/>
      <c r="D1496" s="9"/>
      <c r="E1496" s="9"/>
      <c r="F1496" s="133"/>
      <c r="G1496" s="133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60"/>
      <c r="B1497" s="9"/>
      <c r="C1497" s="9"/>
      <c r="D1497" s="9"/>
      <c r="E1497" s="9"/>
      <c r="F1497" s="133"/>
      <c r="G1497" s="133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60"/>
      <c r="B1498" s="9"/>
      <c r="C1498" s="9"/>
      <c r="D1498" s="9"/>
      <c r="E1498" s="9"/>
      <c r="F1498" s="133"/>
      <c r="G1498" s="133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60"/>
      <c r="B1499" s="9"/>
      <c r="C1499" s="9"/>
      <c r="D1499" s="9"/>
      <c r="E1499" s="9"/>
      <c r="F1499" s="133"/>
      <c r="G1499" s="133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60"/>
      <c r="B1500" s="9"/>
      <c r="C1500" s="9"/>
      <c r="D1500" s="9"/>
      <c r="E1500" s="9"/>
      <c r="F1500" s="133"/>
      <c r="G1500" s="133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60"/>
      <c r="B1501" s="9"/>
      <c r="C1501" s="9"/>
      <c r="D1501" s="9"/>
      <c r="E1501" s="9"/>
      <c r="F1501" s="133"/>
      <c r="G1501" s="133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</sheetData>
  <autoFilter ref="$A$6:$E$143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9.63"/>
    <col customWidth="1" min="3" max="3" width="22.38"/>
    <col customWidth="1" min="4" max="4" width="14.25"/>
    <col customWidth="1" min="5" max="5" width="9.25"/>
    <col customWidth="1" min="6" max="6" width="32.88"/>
    <col customWidth="1" min="10" max="10" width="22.88"/>
    <col customWidth="1" min="11" max="11" width="10.38"/>
    <col customWidth="1" min="14" max="14" width="16.13"/>
  </cols>
  <sheetData>
    <row r="1">
      <c r="A1" s="9"/>
      <c r="B1" s="9"/>
      <c r="C1" s="9"/>
      <c r="D1" s="133"/>
      <c r="E1" s="133"/>
      <c r="F1" s="6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133"/>
      <c r="E2" s="133"/>
      <c r="F2" s="6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137" t="s">
        <v>3277</v>
      </c>
      <c r="C3" s="9"/>
      <c r="D3" s="133"/>
      <c r="E3" s="133"/>
      <c r="F3" s="69"/>
      <c r="G3" s="9"/>
      <c r="H3" s="9"/>
      <c r="I3" s="9"/>
      <c r="J3" s="137" t="s">
        <v>3277</v>
      </c>
      <c r="K3" s="9"/>
      <c r="L3" s="9"/>
      <c r="M3" s="9"/>
      <c r="N3" s="6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137" t="s">
        <v>3278</v>
      </c>
      <c r="C4" s="9"/>
      <c r="D4" s="133"/>
      <c r="E4" s="133"/>
      <c r="F4" s="69"/>
      <c r="G4" s="9"/>
      <c r="H4" s="9"/>
      <c r="I4" s="9"/>
      <c r="J4" s="137" t="s">
        <v>3278</v>
      </c>
      <c r="K4" s="9"/>
      <c r="L4" s="133"/>
      <c r="M4" s="133"/>
      <c r="N4" s="6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134" t="s">
        <v>3279</v>
      </c>
      <c r="C5" s="137" t="s">
        <v>49</v>
      </c>
      <c r="D5" s="133"/>
      <c r="E5" s="133"/>
      <c r="F5" s="69"/>
      <c r="G5" s="9"/>
      <c r="H5" s="9"/>
      <c r="I5" s="9"/>
      <c r="J5" s="134" t="s">
        <v>3279</v>
      </c>
      <c r="K5" s="137" t="s">
        <v>53</v>
      </c>
      <c r="L5" s="133"/>
      <c r="M5" s="133"/>
      <c r="N5" s="6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C6" s="145">
        <f>COUNT(A10:A1942)</f>
        <v>61</v>
      </c>
      <c r="D6" s="133"/>
      <c r="E6" s="133"/>
      <c r="F6" s="69"/>
      <c r="G6" s="9"/>
      <c r="H6" s="9"/>
      <c r="I6" s="9"/>
      <c r="L6" s="133"/>
      <c r="M6" s="133"/>
      <c r="N6" s="6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133"/>
      <c r="E7" s="133"/>
      <c r="F7" s="69"/>
      <c r="G7" s="9"/>
      <c r="H7" s="9"/>
      <c r="I7" s="9"/>
      <c r="J7" s="9"/>
      <c r="K7" s="9"/>
      <c r="L7" s="133"/>
      <c r="M7" s="133"/>
      <c r="N7" s="6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46" t="s">
        <v>6</v>
      </c>
      <c r="B8" s="147" t="s">
        <v>21</v>
      </c>
      <c r="C8" s="17"/>
      <c r="D8" s="148" t="s">
        <v>18</v>
      </c>
      <c r="E8" s="17"/>
      <c r="F8" s="146" t="s">
        <v>3280</v>
      </c>
      <c r="G8" s="9"/>
      <c r="H8" s="9"/>
      <c r="I8" s="146" t="s">
        <v>6</v>
      </c>
      <c r="J8" s="147" t="s">
        <v>24</v>
      </c>
      <c r="K8" s="17"/>
      <c r="L8" s="148" t="s">
        <v>18</v>
      </c>
      <c r="M8" s="17"/>
      <c r="N8" s="146" t="s">
        <v>3280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49" t="s">
        <v>22</v>
      </c>
      <c r="B9" s="150" t="str">
        <f>IFERROR(__xludf.DUMMYFUNCTION("QUERY(HEADOFTHEFAM,""SELECT B,C,J,K,F where G='""&amp;C5&amp;""'"",1)"),"FIRST NAME / MI. / LAST NAME")</f>
        <v>FIRST NAME / MI. / LAST NAME</v>
      </c>
      <c r="C9" s="150" t="str">
        <f>IFERROR(__xludf.DUMMYFUNCTION("""COMPUTED_VALUE"""),"CATEGORY")</f>
        <v>CATEGORY</v>
      </c>
      <c r="D9" s="150" t="str">
        <f>IFERROR(__xludf.DUMMYFUNCTION("""COMPUTED_VALUE"""),"BLK")</f>
        <v>BLK</v>
      </c>
      <c r="E9" s="150" t="str">
        <f>IFERROR(__xludf.DUMMYFUNCTION("""COMPUTED_VALUE"""),"LOT")</f>
        <v>LOT</v>
      </c>
      <c r="F9" s="150" t="str">
        <f>IFERROR(__xludf.DUMMYFUNCTION("""COMPUTED_VALUE"""),"STATUS")</f>
        <v>STATUS</v>
      </c>
      <c r="G9" s="151"/>
      <c r="H9" s="151"/>
      <c r="I9" s="149" t="s">
        <v>22</v>
      </c>
      <c r="J9" s="150" t="str">
        <f>IFERROR(__xludf.DUMMYFUNCTION("QUERY(HEADOFTHEFAM,""SELECT H,I,J,K,F where O='""&amp;K5&amp;""'"",1)"),"FIRST NAME / MI. / LAST NAME")</f>
        <v>FIRST NAME / MI. / LAST NAME</v>
      </c>
      <c r="K9" s="150" t="str">
        <f>IFERROR(__xludf.DUMMYFUNCTION("""COMPUTED_VALUE"""),"CATEGORY")</f>
        <v>CATEGORY</v>
      </c>
      <c r="L9" s="150" t="str">
        <f>IFERROR(__xludf.DUMMYFUNCTION("""COMPUTED_VALUE"""),"BLK")</f>
        <v>BLK</v>
      </c>
      <c r="M9" s="150" t="str">
        <f>IFERROR(__xludf.DUMMYFUNCTION("""COMPUTED_VALUE"""),"LOT")</f>
        <v>LOT</v>
      </c>
      <c r="N9" s="150" t="str">
        <f>IFERROR(__xludf.DUMMYFUNCTION("""COMPUTED_VALUE"""),"STATUS")</f>
        <v>STATUS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0">
        <f t="shared" ref="A10:A1942" si="1">IF(B10="","",ROW()-9)</f>
        <v>1</v>
      </c>
      <c r="B10" s="9" t="str">
        <f>IFERROR(__xludf.DUMMYFUNCTION("""COMPUTED_VALUE"""),"ALEX CHENG")</f>
        <v>ALEX CHENG</v>
      </c>
      <c r="C10" s="9" t="str">
        <f>IFERROR(__xludf.DUMMYFUNCTION("""COMPUTED_VALUE"""),"THIRD GEN")</f>
        <v>THIRD GEN</v>
      </c>
      <c r="D10" s="133" t="str">
        <f>IFERROR(__xludf.DUMMYFUNCTION("""COMPUTED_VALUE"""),"BLOCK 4")</f>
        <v>BLOCK 4</v>
      </c>
      <c r="E10" s="133">
        <f>IFERROR(__xludf.DUMMYFUNCTION("""COMPUTED_VALUE"""),37.0)</f>
        <v>37</v>
      </c>
      <c r="F10" s="69" t="str">
        <f>IFERROR(__xludf.DUMMYFUNCTION("""COMPUTED_VALUE"""),"INACTIVE")</f>
        <v>INACTIVE</v>
      </c>
      <c r="G10" s="9"/>
      <c r="H10" s="9"/>
      <c r="I10" s="60" t="str">
        <f t="shared" ref="I10:I17" si="2">IF(J10="","",ROW()-9)</f>
        <v/>
      </c>
      <c r="J10" s="137"/>
      <c r="K10" s="9"/>
      <c r="L10" s="133"/>
      <c r="M10" s="133"/>
      <c r="N10" s="6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0">
        <f t="shared" si="1"/>
        <v>2</v>
      </c>
      <c r="B11" s="9" t="str">
        <f>IFERROR(__xludf.DUMMYFUNCTION("""COMPUTED_VALUE"""),"ALICIA R. MAGBANUA")</f>
        <v>ALICIA R. MAGBANUA</v>
      </c>
      <c r="C11" s="9" t="str">
        <f>IFERROR(__xludf.DUMMYFUNCTION("""COMPUTED_VALUE"""),"SENIOR")</f>
        <v>SENIOR</v>
      </c>
      <c r="D11" s="133" t="str">
        <f>IFERROR(__xludf.DUMMYFUNCTION("""COMPUTED_VALUE"""),"BLK 45")</f>
        <v>BLK 45</v>
      </c>
      <c r="E11" s="133">
        <f>IFERROR(__xludf.DUMMYFUNCTION("""COMPUTED_VALUE"""),26.0)</f>
        <v>26</v>
      </c>
      <c r="F11" s="69" t="str">
        <f>IFERROR(__xludf.DUMMYFUNCTION("""COMPUTED_VALUE"""),"INACTIVE")</f>
        <v>INACTIVE</v>
      </c>
      <c r="G11" s="9"/>
      <c r="H11" s="9"/>
      <c r="I11" s="60" t="str">
        <f t="shared" si="2"/>
        <v/>
      </c>
      <c r="J11" s="9"/>
      <c r="K11" s="9"/>
      <c r="L11" s="133"/>
      <c r="M11" s="133"/>
      <c r="N11" s="6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0">
        <f t="shared" si="1"/>
        <v>3</v>
      </c>
      <c r="B12" s="9" t="str">
        <f>IFERROR(__xludf.DUMMYFUNCTION("""COMPUTED_VALUE"""),"ANJO A CRISTOBAL")</f>
        <v>ANJO A CRISTOBAL</v>
      </c>
      <c r="C12" s="9" t="str">
        <f>IFERROR(__xludf.DUMMYFUNCTION("""COMPUTED_VALUE"""),"N/A")</f>
        <v>N/A</v>
      </c>
      <c r="D12" s="133" t="str">
        <f>IFERROR(__xludf.DUMMYFUNCTION("""COMPUTED_VALUE"""),"BLK 46")</f>
        <v>BLK 46</v>
      </c>
      <c r="E12" s="133">
        <f>IFERROR(__xludf.DUMMYFUNCTION("""COMPUTED_VALUE"""),15.0)</f>
        <v>15</v>
      </c>
      <c r="F12" s="69" t="str">
        <f>IFERROR(__xludf.DUMMYFUNCTION("""COMPUTED_VALUE"""),"UNREGISTERED")</f>
        <v>UNREGISTERED</v>
      </c>
      <c r="G12" s="9"/>
      <c r="H12" s="9"/>
      <c r="I12" s="60" t="str">
        <f t="shared" si="2"/>
        <v/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0">
        <f t="shared" si="1"/>
        <v>4</v>
      </c>
      <c r="B13" s="9" t="str">
        <f>IFERROR(__xludf.DUMMYFUNCTION("""COMPUTED_VALUE"""),"ANNA LIZA DE GUZMAN")</f>
        <v>ANNA LIZA DE GUZMAN</v>
      </c>
      <c r="C13" s="9" t="str">
        <f>IFERROR(__xludf.DUMMYFUNCTION("""COMPUTED_VALUE"""),"N/A")</f>
        <v>N/A</v>
      </c>
      <c r="D13" s="133" t="str">
        <f>IFERROR(__xludf.DUMMYFUNCTION("""COMPUTED_VALUE"""),"BLK 3")</f>
        <v>BLK 3</v>
      </c>
      <c r="E13" s="133">
        <f>IFERROR(__xludf.DUMMYFUNCTION("""COMPUTED_VALUE"""),13.0)</f>
        <v>13</v>
      </c>
      <c r="F13" s="69" t="str">
        <f>IFERROR(__xludf.DUMMYFUNCTION("""COMPUTED_VALUE"""),"UNREGISTERED")</f>
        <v>UNREGISTERED</v>
      </c>
      <c r="G13" s="9"/>
      <c r="H13" s="9"/>
      <c r="I13" s="60" t="str">
        <f t="shared" si="2"/>
        <v/>
      </c>
      <c r="J13" s="9"/>
      <c r="K13" s="9"/>
      <c r="L13" s="9"/>
      <c r="M13" s="9"/>
      <c r="N13" s="9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>
      <c r="A14" s="60">
        <f t="shared" si="1"/>
        <v>5</v>
      </c>
      <c r="B14" s="9" t="str">
        <f>IFERROR(__xludf.DUMMYFUNCTION("""COMPUTED_VALUE"""),"ANTHONY EUGENIO")</f>
        <v>ANTHONY EUGENIO</v>
      </c>
      <c r="C14" s="9" t="str">
        <f>IFERROR(__xludf.DUMMYFUNCTION("""COMPUTED_VALUE"""),"N/A")</f>
        <v>N/A</v>
      </c>
      <c r="D14" s="133" t="str">
        <f>IFERROR(__xludf.DUMMYFUNCTION("""COMPUTED_VALUE"""),"BLK 46")</f>
        <v>BLK 46</v>
      </c>
      <c r="E14" s="133">
        <f>IFERROR(__xludf.DUMMYFUNCTION("""COMPUTED_VALUE"""),36.0)</f>
        <v>36</v>
      </c>
      <c r="F14" s="69" t="str">
        <f>IFERROR(__xludf.DUMMYFUNCTION("""COMPUTED_VALUE"""),"UNREGISTERED")</f>
        <v>UNREGISTERED</v>
      </c>
      <c r="G14" s="9"/>
      <c r="H14" s="9"/>
      <c r="I14" s="60" t="str">
        <f t="shared" si="2"/>
        <v/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0">
        <f t="shared" si="1"/>
        <v>6</v>
      </c>
      <c r="B15" s="9" t="str">
        <f>IFERROR(__xludf.DUMMYFUNCTION("""COMPUTED_VALUE"""),"ARNULFO DAVID")</f>
        <v>ARNULFO DAVID</v>
      </c>
      <c r="C15" s="9" t="str">
        <f>IFERROR(__xludf.DUMMYFUNCTION("""COMPUTED_VALUE"""),"N/A")</f>
        <v>N/A</v>
      </c>
      <c r="D15" s="133" t="str">
        <f>IFERROR(__xludf.DUMMYFUNCTION("""COMPUTED_VALUE"""),"BLK 3")</f>
        <v>BLK 3</v>
      </c>
      <c r="E15" s="133">
        <f>IFERROR(__xludf.DUMMYFUNCTION("""COMPUTED_VALUE"""),26.0)</f>
        <v>26</v>
      </c>
      <c r="F15" s="69" t="str">
        <f>IFERROR(__xludf.DUMMYFUNCTION("""COMPUTED_VALUE"""),"UNREGISTERED")</f>
        <v>UNREGISTERED</v>
      </c>
      <c r="G15" s="9"/>
      <c r="H15" s="9"/>
      <c r="I15" s="60" t="str">
        <f t="shared" si="2"/>
        <v/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0">
        <f t="shared" si="1"/>
        <v>7</v>
      </c>
      <c r="B16" s="9" t="str">
        <f>IFERROR(__xludf.DUMMYFUNCTION("""COMPUTED_VALUE"""),"AROB CHRISTOPHER S. AVILES")</f>
        <v>AROB CHRISTOPHER S. AVILES</v>
      </c>
      <c r="C16" s="9" t="str">
        <f>IFERROR(__xludf.DUMMYFUNCTION("""COMPUTED_VALUE"""),"N/A")</f>
        <v>N/A</v>
      </c>
      <c r="D16" s="133" t="str">
        <f>IFERROR(__xludf.DUMMYFUNCTION("""COMPUTED_VALUE"""),"BLK 3")</f>
        <v>BLK 3</v>
      </c>
      <c r="E16" s="133">
        <f>IFERROR(__xludf.DUMMYFUNCTION("""COMPUTED_VALUE"""),10.0)</f>
        <v>10</v>
      </c>
      <c r="F16" s="69" t="str">
        <f>IFERROR(__xludf.DUMMYFUNCTION("""COMPUTED_VALUE"""),"INACTIVE")</f>
        <v>INACTIVE</v>
      </c>
      <c r="G16" s="9"/>
      <c r="H16" s="9"/>
      <c r="I16" s="60" t="str">
        <f t="shared" si="2"/>
        <v/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0">
        <f t="shared" si="1"/>
        <v>8</v>
      </c>
      <c r="B17" s="9" t="str">
        <f>IFERROR(__xludf.DUMMYFUNCTION("""COMPUTED_VALUE"""),"ARWILL FULONG")</f>
        <v>ARWILL FULONG</v>
      </c>
      <c r="C17" s="9" t="str">
        <f>IFERROR(__xludf.DUMMYFUNCTION("""COMPUTED_VALUE"""),"N/A")</f>
        <v>N/A</v>
      </c>
      <c r="D17" s="133" t="str">
        <f>IFERROR(__xludf.DUMMYFUNCTION("""COMPUTED_VALUE"""),"BLK 46")</f>
        <v>BLK 46</v>
      </c>
      <c r="E17" s="133">
        <f>IFERROR(__xludf.DUMMYFUNCTION("""COMPUTED_VALUE"""),8.0)</f>
        <v>8</v>
      </c>
      <c r="F17" s="69" t="str">
        <f>IFERROR(__xludf.DUMMYFUNCTION("""COMPUTED_VALUE"""),"UNREGISTERED")</f>
        <v>UNREGISTERED</v>
      </c>
      <c r="G17" s="9"/>
      <c r="H17" s="9"/>
      <c r="I17" s="60" t="str">
        <f t="shared" si="2"/>
        <v/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0">
        <f t="shared" si="1"/>
        <v>9</v>
      </c>
      <c r="B18" s="9" t="str">
        <f>IFERROR(__xludf.DUMMYFUNCTION("""COMPUTED_VALUE"""),"BERNARDO N. LONTOC")</f>
        <v>BERNARDO N. LONTOC</v>
      </c>
      <c r="C18" s="9" t="str">
        <f>IFERROR(__xludf.DUMMYFUNCTION("""COMPUTED_VALUE"""),"N/A")</f>
        <v>N/A</v>
      </c>
      <c r="D18" s="133" t="str">
        <f>IFERROR(__xludf.DUMMYFUNCTION("""COMPUTED_VALUE"""),"BLK 5")</f>
        <v>BLK 5</v>
      </c>
      <c r="E18" s="133">
        <f>IFERROR(__xludf.DUMMYFUNCTION("""COMPUTED_VALUE"""),22.0)</f>
        <v>22</v>
      </c>
      <c r="F18" s="69" t="str">
        <f>IFERROR(__xludf.DUMMYFUNCTION("""COMPUTED_VALUE"""),"UNREGISTERED")</f>
        <v>UNREGISTERED</v>
      </c>
      <c r="G18" s="9"/>
      <c r="H18" s="137" t="s">
        <v>49</v>
      </c>
      <c r="I18" s="75">
        <v>77.0</v>
      </c>
      <c r="J18" s="137">
        <v>77.0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0">
        <f t="shared" si="1"/>
        <v>10</v>
      </c>
      <c r="B19" s="145" t="str">
        <f>IFERROR(__xludf.DUMMYFUNCTION("""COMPUTED_VALUE"""),"CAROL D. REYES")</f>
        <v>CAROL D. REYES</v>
      </c>
      <c r="C19" s="145" t="str">
        <f>IFERROR(__xludf.DUMMYFUNCTION("""COMPUTED_VALUE"""),"N/A")</f>
        <v>N/A</v>
      </c>
      <c r="D19" s="7" t="str">
        <f>IFERROR(__xludf.DUMMYFUNCTION("""COMPUTED_VALUE"""),"BLOCK 4")</f>
        <v>BLOCK 4</v>
      </c>
      <c r="E19" s="7">
        <f>IFERROR(__xludf.DUMMYFUNCTION("""COMPUTED_VALUE"""),8.0)</f>
        <v>8</v>
      </c>
      <c r="F19" s="7" t="str">
        <f>IFERROR(__xludf.DUMMYFUNCTION("""COMPUTED_VALUE"""),"UNREGISTERED")</f>
        <v>UNREGISTERED</v>
      </c>
      <c r="H19" s="132" t="s">
        <v>53</v>
      </c>
      <c r="I19" s="75">
        <v>377.0</v>
      </c>
      <c r="J19" s="132">
        <v>370.0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0">
        <f t="shared" si="1"/>
        <v>11</v>
      </c>
      <c r="B20" s="145" t="str">
        <f>IFERROR(__xludf.DUMMYFUNCTION("""COMPUTED_VALUE"""),"CHERRYLYN GALLARDO")</f>
        <v>CHERRYLYN GALLARDO</v>
      </c>
      <c r="C20" s="145" t="str">
        <f>IFERROR(__xludf.DUMMYFUNCTION("""COMPUTED_VALUE"""),"N/A")</f>
        <v>N/A</v>
      </c>
      <c r="D20" s="7" t="str">
        <f>IFERROR(__xludf.DUMMYFUNCTION("""COMPUTED_VALUE"""),"BLK 46")</f>
        <v>BLK 46</v>
      </c>
      <c r="E20" s="7"/>
      <c r="F20" s="7" t="str">
        <f>IFERROR(__xludf.DUMMYFUNCTION("""COMPUTED_VALUE"""),"UNREGISTERED")</f>
        <v>UNREGISTERED</v>
      </c>
      <c r="H20" s="132" t="s">
        <v>87</v>
      </c>
      <c r="I20" s="75">
        <v>258.0</v>
      </c>
      <c r="J20" s="132">
        <v>272.0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0">
        <f t="shared" si="1"/>
        <v>12</v>
      </c>
      <c r="B21" s="145" t="str">
        <f>IFERROR(__xludf.DUMMYFUNCTION("""COMPUTED_VALUE"""),"DAISY GUTIERREZ")</f>
        <v>DAISY GUTIERREZ</v>
      </c>
      <c r="C21" s="145" t="str">
        <f>IFERROR(__xludf.DUMMYFUNCTION("""COMPUTED_VALUE"""),"N/A")</f>
        <v>N/A</v>
      </c>
      <c r="D21" s="7" t="str">
        <f>IFERROR(__xludf.DUMMYFUNCTION("""COMPUTED_VALUE"""),"BLK 45")</f>
        <v>BLK 45</v>
      </c>
      <c r="E21" s="7">
        <f>IFERROR(__xludf.DUMMYFUNCTION("""COMPUTED_VALUE"""),14.0)</f>
        <v>14</v>
      </c>
      <c r="F21" s="7" t="str">
        <f>IFERROR(__xludf.DUMMYFUNCTION("""COMPUTED_VALUE"""),"INACTIVE")</f>
        <v>INACTIVE</v>
      </c>
      <c r="I21" s="60">
        <f>SUM(I19:I20)</f>
        <v>635</v>
      </c>
      <c r="J21" s="145">
        <f>SUM(J18:J20)</f>
        <v>719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0">
        <f t="shared" si="1"/>
        <v>13</v>
      </c>
      <c r="B22" s="145" t="str">
        <f>IFERROR(__xludf.DUMMYFUNCTION("""COMPUTED_VALUE"""),"DOMINGO DESDIR")</f>
        <v>DOMINGO DESDIR</v>
      </c>
      <c r="C22" s="145" t="str">
        <f>IFERROR(__xludf.DUMMYFUNCTION("""COMPUTED_VALUE"""),"N/A")</f>
        <v>N/A</v>
      </c>
      <c r="D22" s="7" t="str">
        <f>IFERROR(__xludf.DUMMYFUNCTION("""COMPUTED_VALUE"""),"BLK 45")</f>
        <v>BLK 45</v>
      </c>
      <c r="E22" s="7">
        <f>IFERROR(__xludf.DUMMYFUNCTION("""COMPUTED_VALUE"""),2.0)</f>
        <v>2</v>
      </c>
      <c r="F22" s="7" t="str">
        <f>IFERROR(__xludf.DUMMYFUNCTION("""COMPUTED_VALUE"""),"INACTIVE")</f>
        <v>INACTIVE</v>
      </c>
      <c r="I22" s="60" t="str">
        <f t="shared" ref="I22:I28" si="3">IF(J22="","",ROW()-9)</f>
        <v/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0">
        <f t="shared" si="1"/>
        <v>14</v>
      </c>
      <c r="B23" s="9" t="str">
        <f>IFERROR(__xludf.DUMMYFUNCTION("""COMPUTED_VALUE"""),"DOMINGO LOBRIO")</f>
        <v>DOMINGO LOBRIO</v>
      </c>
      <c r="C23" s="9" t="str">
        <f>IFERROR(__xludf.DUMMYFUNCTION("""COMPUTED_VALUE"""),"N/A")</f>
        <v>N/A</v>
      </c>
      <c r="D23" s="133" t="str">
        <f>IFERROR(__xludf.DUMMYFUNCTION("""COMPUTED_VALUE"""),"BLK 49")</f>
        <v>BLK 49</v>
      </c>
      <c r="E23" s="133">
        <f>IFERROR(__xludf.DUMMYFUNCTION("""COMPUTED_VALUE"""),27.0)</f>
        <v>27</v>
      </c>
      <c r="F23" s="69" t="str">
        <f>IFERROR(__xludf.DUMMYFUNCTION("""COMPUTED_VALUE"""),"UNREGISTERED")</f>
        <v>UNREGISTERED</v>
      </c>
      <c r="G23" s="9"/>
      <c r="H23" s="9"/>
      <c r="I23" s="60" t="str">
        <f t="shared" si="3"/>
        <v/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60">
        <f t="shared" si="1"/>
        <v>15</v>
      </c>
      <c r="B24" s="9" t="str">
        <f>IFERROR(__xludf.DUMMYFUNCTION("""COMPUTED_VALUE"""),"DOMINIC SORILLA")</f>
        <v>DOMINIC SORILLA</v>
      </c>
      <c r="C24" s="9" t="str">
        <f>IFERROR(__xludf.DUMMYFUNCTION("""COMPUTED_VALUE"""),"N/A")</f>
        <v>N/A</v>
      </c>
      <c r="D24" s="133" t="str">
        <f>IFERROR(__xludf.DUMMYFUNCTION("""COMPUTED_VALUE"""),"BLK 5")</f>
        <v>BLK 5</v>
      </c>
      <c r="E24" s="133">
        <f>IFERROR(__xludf.DUMMYFUNCTION("""COMPUTED_VALUE"""),9.0)</f>
        <v>9</v>
      </c>
      <c r="F24" s="69" t="str">
        <f>IFERROR(__xludf.DUMMYFUNCTION("""COMPUTED_VALUE"""),"UNREGISTERED")</f>
        <v>UNREGISTERED</v>
      </c>
      <c r="G24" s="9"/>
      <c r="H24" s="9"/>
      <c r="I24" s="60" t="str">
        <f t="shared" si="3"/>
        <v/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60">
        <f t="shared" si="1"/>
        <v>16</v>
      </c>
      <c r="B25" s="9" t="str">
        <f>IFERROR(__xludf.DUMMYFUNCTION("""COMPUTED_VALUE"""),"EFREN B. GAMBAN")</f>
        <v>EFREN B. GAMBAN</v>
      </c>
      <c r="C25" s="9" t="str">
        <f>IFERROR(__xludf.DUMMYFUNCTION("""COMPUTED_VALUE"""),"N/A")</f>
        <v>N/A</v>
      </c>
      <c r="D25" s="133" t="str">
        <f>IFERROR(__xludf.DUMMYFUNCTION("""COMPUTED_VALUE"""),"BLK 3")</f>
        <v>BLK 3</v>
      </c>
      <c r="E25" s="133">
        <f>IFERROR(__xludf.DUMMYFUNCTION("""COMPUTED_VALUE"""),27.0)</f>
        <v>27</v>
      </c>
      <c r="F25" s="69" t="str">
        <f>IFERROR(__xludf.DUMMYFUNCTION("""COMPUTED_VALUE"""),"UNREGISTERED")</f>
        <v>UNREGISTERED</v>
      </c>
      <c r="G25" s="9"/>
      <c r="H25" s="9"/>
      <c r="I25" s="60" t="str">
        <f t="shared" si="3"/>
        <v/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60">
        <f t="shared" si="1"/>
        <v>17</v>
      </c>
      <c r="B26" s="9" t="str">
        <f>IFERROR(__xludf.DUMMYFUNCTION("""COMPUTED_VALUE"""),"ERLINDA NIEGAS")</f>
        <v>ERLINDA NIEGAS</v>
      </c>
      <c r="C26" s="9" t="str">
        <f>IFERROR(__xludf.DUMMYFUNCTION("""COMPUTED_VALUE"""),"N/A")</f>
        <v>N/A</v>
      </c>
      <c r="D26" s="133" t="str">
        <f>IFERROR(__xludf.DUMMYFUNCTION("""COMPUTED_VALUE"""),"BLK 3")</f>
        <v>BLK 3</v>
      </c>
      <c r="E26" s="133">
        <f>IFERROR(__xludf.DUMMYFUNCTION("""COMPUTED_VALUE"""),26.0)</f>
        <v>26</v>
      </c>
      <c r="F26" s="69" t="str">
        <f>IFERROR(__xludf.DUMMYFUNCTION("""COMPUTED_VALUE"""),"ACTIVE")</f>
        <v>ACTIVE</v>
      </c>
      <c r="G26" s="9"/>
      <c r="H26" s="9"/>
      <c r="I26" s="60" t="str">
        <f t="shared" si="3"/>
        <v/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60">
        <f t="shared" si="1"/>
        <v>18</v>
      </c>
      <c r="B27" s="9" t="str">
        <f>IFERROR(__xludf.DUMMYFUNCTION("""COMPUTED_VALUE"""),"EVELIO BOLLOZOS")</f>
        <v>EVELIO BOLLOZOS</v>
      </c>
      <c r="C27" s="9" t="str">
        <f>IFERROR(__xludf.DUMMYFUNCTION("""COMPUTED_VALUE"""),"N/A")</f>
        <v>N/A</v>
      </c>
      <c r="D27" s="133" t="str">
        <f>IFERROR(__xludf.DUMMYFUNCTION("""COMPUTED_VALUE"""),"BLOCK 4")</f>
        <v>BLOCK 4</v>
      </c>
      <c r="E27" s="133">
        <f>IFERROR(__xludf.DUMMYFUNCTION("""COMPUTED_VALUE"""),6.0)</f>
        <v>6</v>
      </c>
      <c r="F27" s="69" t="str">
        <f>IFERROR(__xludf.DUMMYFUNCTION("""COMPUTED_VALUE"""),"UNREGISTERED")</f>
        <v>UNREGISTERED</v>
      </c>
      <c r="G27" s="9"/>
      <c r="H27" s="9"/>
      <c r="I27" s="60" t="str">
        <f t="shared" si="3"/>
        <v/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60">
        <f t="shared" si="1"/>
        <v>19</v>
      </c>
      <c r="B28" s="9" t="str">
        <f>IFERROR(__xludf.DUMMYFUNCTION("""COMPUTED_VALUE"""),"FERNANDO HITOSIS")</f>
        <v>FERNANDO HITOSIS</v>
      </c>
      <c r="C28" s="9" t="str">
        <f>IFERROR(__xludf.DUMMYFUNCTION("""COMPUTED_VALUE"""),"N/A")</f>
        <v>N/A</v>
      </c>
      <c r="D28" s="133" t="str">
        <f>IFERROR(__xludf.DUMMYFUNCTION("""COMPUTED_VALUE"""),"BLK 45")</f>
        <v>BLK 45</v>
      </c>
      <c r="E28" s="133">
        <f>IFERROR(__xludf.DUMMYFUNCTION("""COMPUTED_VALUE"""),17.0)</f>
        <v>17</v>
      </c>
      <c r="F28" s="69" t="str">
        <f>IFERROR(__xludf.DUMMYFUNCTION("""COMPUTED_VALUE"""),"UNREGISTERED")</f>
        <v>UNREGISTERED</v>
      </c>
      <c r="G28" s="9"/>
      <c r="H28" s="9"/>
      <c r="I28" s="60" t="str">
        <f t="shared" si="3"/>
        <v/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60">
        <f t="shared" si="1"/>
        <v>20</v>
      </c>
      <c r="B29" s="9" t="str">
        <f>IFERROR(__xludf.DUMMYFUNCTION("""COMPUTED_VALUE"""),"GEELYN MAGNO")</f>
        <v>GEELYN MAGNO</v>
      </c>
      <c r="C29" s="9" t="str">
        <f>IFERROR(__xludf.DUMMYFUNCTION("""COMPUTED_VALUE"""),"N/A")</f>
        <v>N/A</v>
      </c>
      <c r="D29" s="133" t="str">
        <f>IFERROR(__xludf.DUMMYFUNCTION("""COMPUTED_VALUE"""),"BLK 5")</f>
        <v>BLK 5</v>
      </c>
      <c r="E29" s="133">
        <f>IFERROR(__xludf.DUMMYFUNCTION("""COMPUTED_VALUE"""),4.0)</f>
        <v>4</v>
      </c>
      <c r="F29" s="69" t="str">
        <f>IFERROR(__xludf.DUMMYFUNCTION("""COMPUTED_VALUE"""),"DISEASE")</f>
        <v>DISEASE</v>
      </c>
      <c r="G29" s="9"/>
      <c r="H29" s="137" t="s">
        <v>3281</v>
      </c>
      <c r="I29" s="75">
        <v>299.0</v>
      </c>
      <c r="J29" s="137">
        <v>311.0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60">
        <f t="shared" si="1"/>
        <v>21</v>
      </c>
      <c r="B30" s="9" t="str">
        <f>IFERROR(__xludf.DUMMYFUNCTION("""COMPUTED_VALUE"""),"JAN MICHAEL E. DE VERA III")</f>
        <v>JAN MICHAEL E. DE VERA III</v>
      </c>
      <c r="C30" s="9" t="str">
        <f>IFERROR(__xludf.DUMMYFUNCTION("""COMPUTED_VALUE"""),"N/A")</f>
        <v>N/A</v>
      </c>
      <c r="D30" s="133" t="str">
        <f>IFERROR(__xludf.DUMMYFUNCTION("""COMPUTED_VALUE"""),"BLK 5")</f>
        <v>BLK 5</v>
      </c>
      <c r="E30" s="133">
        <f>IFERROR(__xludf.DUMMYFUNCTION("""COMPUTED_VALUE"""),22.0)</f>
        <v>22</v>
      </c>
      <c r="F30" s="69" t="str">
        <f>IFERROR(__xludf.DUMMYFUNCTION("""COMPUTED_VALUE"""),"UNREGISTERED")</f>
        <v>UNREGISTERED</v>
      </c>
      <c r="G30" s="9"/>
      <c r="H30" s="137" t="s">
        <v>3282</v>
      </c>
      <c r="I30" s="75">
        <v>370.0</v>
      </c>
      <c r="J30" s="137">
        <v>374.0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60">
        <f t="shared" si="1"/>
        <v>22</v>
      </c>
      <c r="B31" s="9" t="str">
        <f>IFERROR(__xludf.DUMMYFUNCTION("""COMPUTED_VALUE"""),"JANNE MARBERT MAÑAS")</f>
        <v>JANNE MARBERT MAÑAS</v>
      </c>
      <c r="C31" s="9" t="str">
        <f>IFERROR(__xludf.DUMMYFUNCTION("""COMPUTED_VALUE"""),"N/A")</f>
        <v>N/A</v>
      </c>
      <c r="D31" s="133" t="str">
        <f>IFERROR(__xludf.DUMMYFUNCTION("""COMPUTED_VALUE"""),"BLK 49")</f>
        <v>BLK 49</v>
      </c>
      <c r="E31" s="133">
        <f>IFERROR(__xludf.DUMMYFUNCTION("""COMPUTED_VALUE"""),27.0)</f>
        <v>27</v>
      </c>
      <c r="F31" s="69" t="str">
        <f>IFERROR(__xludf.DUMMYFUNCTION("""COMPUTED_VALUE"""),"UNREGISTERED")</f>
        <v>UNREGISTERED</v>
      </c>
      <c r="G31" s="9"/>
      <c r="H31" s="137" t="s">
        <v>3283</v>
      </c>
      <c r="I31" s="75">
        <v>75.0</v>
      </c>
      <c r="J31" s="137">
        <v>72.0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60">
        <f t="shared" si="1"/>
        <v>23</v>
      </c>
      <c r="B32" s="9" t="str">
        <f>IFERROR(__xludf.DUMMYFUNCTION("""COMPUTED_VALUE"""),"JEFFERSON G HERNANDEZ")</f>
        <v>JEFFERSON G HERNANDEZ</v>
      </c>
      <c r="C32" s="9" t="str">
        <f>IFERROR(__xludf.DUMMYFUNCTION("""COMPUTED_VALUE"""),"N/A")</f>
        <v>N/A</v>
      </c>
      <c r="D32" s="133" t="str">
        <f>IFERROR(__xludf.DUMMYFUNCTION("""COMPUTED_VALUE"""),"BLK 5")</f>
        <v>BLK 5</v>
      </c>
      <c r="E32" s="133">
        <f>IFERROR(__xludf.DUMMYFUNCTION("""COMPUTED_VALUE"""),22.0)</f>
        <v>22</v>
      </c>
      <c r="F32" s="69" t="str">
        <f>IFERROR(__xludf.DUMMYFUNCTION("""COMPUTED_VALUE"""),"UNREGISTERED")</f>
        <v>UNREGISTERED</v>
      </c>
      <c r="G32" s="9"/>
      <c r="H32" s="9"/>
      <c r="I32" s="60">
        <f t="shared" ref="I32:J32" si="4">SUM(I29:I31)</f>
        <v>744</v>
      </c>
      <c r="J32" s="60">
        <f t="shared" si="4"/>
        <v>757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60">
        <f t="shared" si="1"/>
        <v>24</v>
      </c>
      <c r="B33" s="9" t="str">
        <f>IFERROR(__xludf.DUMMYFUNCTION("""COMPUTED_VALUE"""),"JESUS TEODOSIO")</f>
        <v>JESUS TEODOSIO</v>
      </c>
      <c r="C33" s="9" t="str">
        <f>IFERROR(__xludf.DUMMYFUNCTION("""COMPUTED_VALUE"""),"N/A")</f>
        <v>N/A</v>
      </c>
      <c r="D33" s="133" t="str">
        <f>IFERROR(__xludf.DUMMYFUNCTION("""COMPUTED_VALUE"""),"BLK 41")</f>
        <v>BLK 41</v>
      </c>
      <c r="E33" s="133">
        <f>IFERROR(__xludf.DUMMYFUNCTION("""COMPUTED_VALUE"""),8.0)</f>
        <v>8</v>
      </c>
      <c r="F33" s="69" t="str">
        <f>IFERROR(__xludf.DUMMYFUNCTION("""COMPUTED_VALUE"""),"UNREGISTERED")</f>
        <v>UNREGISTERED</v>
      </c>
      <c r="G33" s="9"/>
      <c r="H33" s="9"/>
      <c r="I33" s="60" t="str">
        <f t="shared" ref="I33:I1942" si="5">IF(J33="","",ROW()-9)</f>
        <v/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60">
        <f t="shared" si="1"/>
        <v>25</v>
      </c>
      <c r="B34" s="9" t="str">
        <f>IFERROR(__xludf.DUMMYFUNCTION("""COMPUTED_VALUE"""),"JHONIE A. PALLONES")</f>
        <v>JHONIE A. PALLONES</v>
      </c>
      <c r="C34" s="9" t="str">
        <f>IFERROR(__xludf.DUMMYFUNCTION("""COMPUTED_VALUE"""),"N/A")</f>
        <v>N/A</v>
      </c>
      <c r="D34" s="133" t="str">
        <f>IFERROR(__xludf.DUMMYFUNCTION("""COMPUTED_VALUE"""),"BLK 41")</f>
        <v>BLK 41</v>
      </c>
      <c r="E34" s="133">
        <f>IFERROR(__xludf.DUMMYFUNCTION("""COMPUTED_VALUE"""),13.0)</f>
        <v>13</v>
      </c>
      <c r="F34" s="69" t="str">
        <f>IFERROR(__xludf.DUMMYFUNCTION("""COMPUTED_VALUE"""),"UNREGISTERED")</f>
        <v>UNREGISTERED</v>
      </c>
      <c r="G34" s="9"/>
      <c r="H34" s="9"/>
      <c r="I34" s="60" t="str">
        <f t="shared" si="5"/>
        <v/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0">
        <f t="shared" si="1"/>
        <v>26</v>
      </c>
      <c r="B35" s="9" t="str">
        <f>IFERROR(__xludf.DUMMYFUNCTION("""COMPUTED_VALUE"""),"JHONLET CASTRO")</f>
        <v>JHONLET CASTRO</v>
      </c>
      <c r="C35" s="9" t="str">
        <f>IFERROR(__xludf.DUMMYFUNCTION("""COMPUTED_VALUE"""),"N/A")</f>
        <v>N/A</v>
      </c>
      <c r="D35" s="133" t="str">
        <f>IFERROR(__xludf.DUMMYFUNCTION("""COMPUTED_VALUE"""),"BLK 46")</f>
        <v>BLK 46</v>
      </c>
      <c r="E35" s="133">
        <f>IFERROR(__xludf.DUMMYFUNCTION("""COMPUTED_VALUE"""),20.0)</f>
        <v>20</v>
      </c>
      <c r="F35" s="69" t="str">
        <f>IFERROR(__xludf.DUMMYFUNCTION("""COMPUTED_VALUE"""),"UNREGISTERED")</f>
        <v>UNREGISTERED</v>
      </c>
      <c r="G35" s="9"/>
      <c r="H35" s="9"/>
      <c r="I35" s="60" t="str">
        <f t="shared" si="5"/>
        <v/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0">
        <f t="shared" si="1"/>
        <v>27</v>
      </c>
      <c r="B36" s="9" t="str">
        <f>IFERROR(__xludf.DUMMYFUNCTION("""COMPUTED_VALUE"""),"JIMWELL QUIAMBAO")</f>
        <v>JIMWELL QUIAMBAO</v>
      </c>
      <c r="C36" s="9" t="str">
        <f>IFERROR(__xludf.DUMMYFUNCTION("""COMPUTED_VALUE"""),"N/A")</f>
        <v>N/A</v>
      </c>
      <c r="D36" s="133" t="str">
        <f>IFERROR(__xludf.DUMMYFUNCTION("""COMPUTED_VALUE"""),"BLK 1")</f>
        <v>BLK 1</v>
      </c>
      <c r="E36" s="133"/>
      <c r="F36" s="69" t="str">
        <f>IFERROR(__xludf.DUMMYFUNCTION("""COMPUTED_VALUE"""),"INACTIVE")</f>
        <v>INACTIVE</v>
      </c>
      <c r="G36" s="9"/>
      <c r="H36" s="9"/>
      <c r="I36" s="60" t="str">
        <f t="shared" si="5"/>
        <v/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0">
        <f t="shared" si="1"/>
        <v>28</v>
      </c>
      <c r="B37" s="9" t="str">
        <f>IFERROR(__xludf.DUMMYFUNCTION("""COMPUTED_VALUE"""),"JOHN CHESTER B RILLO")</f>
        <v>JOHN CHESTER B RILLO</v>
      </c>
      <c r="C37" s="9" t="str">
        <f>IFERROR(__xludf.DUMMYFUNCTION("""COMPUTED_VALUE"""),"N/A")</f>
        <v>N/A</v>
      </c>
      <c r="D37" s="133" t="str">
        <f>IFERROR(__xludf.DUMMYFUNCTION("""COMPUTED_VALUE"""),"BLK 45")</f>
        <v>BLK 45</v>
      </c>
      <c r="E37" s="133">
        <f>IFERROR(__xludf.DUMMYFUNCTION("""COMPUTED_VALUE"""),16.0)</f>
        <v>16</v>
      </c>
      <c r="F37" s="69" t="str">
        <f>IFERROR(__xludf.DUMMYFUNCTION("""COMPUTED_VALUE"""),"UNREGISTERED")</f>
        <v>UNREGISTERED</v>
      </c>
      <c r="G37" s="9"/>
      <c r="H37" s="9"/>
      <c r="I37" s="60" t="str">
        <f t="shared" si="5"/>
        <v/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0">
        <f t="shared" si="1"/>
        <v>29</v>
      </c>
      <c r="B38" s="9" t="str">
        <f>IFERROR(__xludf.DUMMYFUNCTION("""COMPUTED_VALUE"""),"JOHN JOSEPH B NARIO")</f>
        <v>JOHN JOSEPH B NARIO</v>
      </c>
      <c r="C38" s="9" t="str">
        <f>IFERROR(__xludf.DUMMYFUNCTION("""COMPUTED_VALUE"""),"N/A")</f>
        <v>N/A</v>
      </c>
      <c r="D38" s="133" t="str">
        <f>IFERROR(__xludf.DUMMYFUNCTION("""COMPUTED_VALUE"""),"BLK 46")</f>
        <v>BLK 46</v>
      </c>
      <c r="E38" s="133">
        <f>IFERROR(__xludf.DUMMYFUNCTION("""COMPUTED_VALUE"""),20.0)</f>
        <v>20</v>
      </c>
      <c r="F38" s="69" t="str">
        <f>IFERROR(__xludf.DUMMYFUNCTION("""COMPUTED_VALUE"""),"UNREGISTERED")</f>
        <v>UNREGISTERED</v>
      </c>
      <c r="G38" s="9"/>
      <c r="H38" s="9"/>
      <c r="I38" s="60" t="str">
        <f t="shared" si="5"/>
        <v/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60">
        <f t="shared" si="1"/>
        <v>30</v>
      </c>
      <c r="B39" s="9" t="str">
        <f>IFERROR(__xludf.DUMMYFUNCTION("""COMPUTED_VALUE"""),"JOHN SOLIS")</f>
        <v>JOHN SOLIS</v>
      </c>
      <c r="C39" s="9" t="str">
        <f>IFERROR(__xludf.DUMMYFUNCTION("""COMPUTED_VALUE"""),"N/A")</f>
        <v>N/A</v>
      </c>
      <c r="D39" s="133" t="str">
        <f>IFERROR(__xludf.DUMMYFUNCTION("""COMPUTED_VALUE"""),"BLK 46")</f>
        <v>BLK 46</v>
      </c>
      <c r="E39" s="133">
        <f>IFERROR(__xludf.DUMMYFUNCTION("""COMPUTED_VALUE"""),22.0)</f>
        <v>22</v>
      </c>
      <c r="F39" s="69" t="str">
        <f>IFERROR(__xludf.DUMMYFUNCTION("""COMPUTED_VALUE"""),"UNREGISTERED")</f>
        <v>UNREGISTERED</v>
      </c>
      <c r="G39" s="9"/>
      <c r="H39" s="9"/>
      <c r="I39" s="60" t="str">
        <f t="shared" si="5"/>
        <v/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60">
        <f t="shared" si="1"/>
        <v>31</v>
      </c>
      <c r="B40" s="9" t="str">
        <f>IFERROR(__xludf.DUMMYFUNCTION("""COMPUTED_VALUE"""),"JOMEL CHRYSTIANNE HERNIA")</f>
        <v>JOMEL CHRYSTIANNE HERNIA</v>
      </c>
      <c r="C40" s="9" t="str">
        <f>IFERROR(__xludf.DUMMYFUNCTION("""COMPUTED_VALUE"""),"N/A")</f>
        <v>N/A</v>
      </c>
      <c r="D40" s="133" t="str">
        <f>IFERROR(__xludf.DUMMYFUNCTION("""COMPUTED_VALUE"""),"BLK 3")</f>
        <v>BLK 3</v>
      </c>
      <c r="E40" s="133">
        <f>IFERROR(__xludf.DUMMYFUNCTION("""COMPUTED_VALUE"""),7.0)</f>
        <v>7</v>
      </c>
      <c r="F40" s="69" t="str">
        <f>IFERROR(__xludf.DUMMYFUNCTION("""COMPUTED_VALUE"""),"UNREGISTERED")</f>
        <v>UNREGISTERED</v>
      </c>
      <c r="G40" s="9"/>
      <c r="H40" s="9"/>
      <c r="I40" s="60" t="str">
        <f t="shared" si="5"/>
        <v/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60">
        <f t="shared" si="1"/>
        <v>32</v>
      </c>
      <c r="B41" s="9" t="str">
        <f>IFERROR(__xludf.DUMMYFUNCTION("""COMPUTED_VALUE"""),"JOMER STO TOMAS")</f>
        <v>JOMER STO TOMAS</v>
      </c>
      <c r="C41" s="9" t="str">
        <f>IFERROR(__xludf.DUMMYFUNCTION("""COMPUTED_VALUE"""),"N/A")</f>
        <v>N/A</v>
      </c>
      <c r="D41" s="133" t="str">
        <f>IFERROR(__xludf.DUMMYFUNCTION("""COMPUTED_VALUE"""),"BLK 46")</f>
        <v>BLK 46</v>
      </c>
      <c r="E41" s="133">
        <f>IFERROR(__xludf.DUMMYFUNCTION("""COMPUTED_VALUE"""),34.0)</f>
        <v>34</v>
      </c>
      <c r="F41" s="69" t="str">
        <f>IFERROR(__xludf.DUMMYFUNCTION("""COMPUTED_VALUE"""),"UNREGISTERED")</f>
        <v>UNREGISTERED</v>
      </c>
      <c r="G41" s="9"/>
      <c r="H41" s="9"/>
      <c r="I41" s="60" t="str">
        <f t="shared" si="5"/>
        <v/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60">
        <f t="shared" si="1"/>
        <v>33</v>
      </c>
      <c r="B42" s="9" t="str">
        <f>IFERROR(__xludf.DUMMYFUNCTION("""COMPUTED_VALUE"""),"JOSEFINA CASTRO")</f>
        <v>JOSEFINA CASTRO</v>
      </c>
      <c r="C42" s="9" t="str">
        <f>IFERROR(__xludf.DUMMYFUNCTION("""COMPUTED_VALUE"""),"N/A")</f>
        <v>N/A</v>
      </c>
      <c r="D42" s="133" t="str">
        <f>IFERROR(__xludf.DUMMYFUNCTION("""COMPUTED_VALUE"""),"BLK 46")</f>
        <v>BLK 46</v>
      </c>
      <c r="E42" s="133">
        <f>IFERROR(__xludf.DUMMYFUNCTION("""COMPUTED_VALUE"""),34.0)</f>
        <v>34</v>
      </c>
      <c r="F42" s="69" t="str">
        <f>IFERROR(__xludf.DUMMYFUNCTION("""COMPUTED_VALUE"""),"UNREGISTERED")</f>
        <v>UNREGISTERED</v>
      </c>
      <c r="G42" s="9"/>
      <c r="H42" s="9"/>
      <c r="I42" s="60" t="str">
        <f t="shared" si="5"/>
        <v/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60">
        <f t="shared" si="1"/>
        <v>34</v>
      </c>
      <c r="B43" s="9" t="str">
        <f>IFERROR(__xludf.DUMMYFUNCTION("""COMPUTED_VALUE"""),"JOSUE SALONGA")</f>
        <v>JOSUE SALONGA</v>
      </c>
      <c r="C43" s="9" t="str">
        <f>IFERROR(__xludf.DUMMYFUNCTION("""COMPUTED_VALUE"""),"N/A")</f>
        <v>N/A</v>
      </c>
      <c r="D43" s="133" t="str">
        <f>IFERROR(__xludf.DUMMYFUNCTION("""COMPUTED_VALUE"""),"BLK 45")</f>
        <v>BLK 45</v>
      </c>
      <c r="E43" s="133">
        <f>IFERROR(__xludf.DUMMYFUNCTION("""COMPUTED_VALUE"""),37.0)</f>
        <v>37</v>
      </c>
      <c r="F43" s="69" t="str">
        <f>IFERROR(__xludf.DUMMYFUNCTION("""COMPUTED_VALUE"""),"UNREGISTERED")</f>
        <v>UNREGISTERED</v>
      </c>
      <c r="G43" s="9"/>
      <c r="H43" s="9"/>
      <c r="I43" s="60" t="str">
        <f t="shared" si="5"/>
        <v/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0">
        <f t="shared" si="1"/>
        <v>35</v>
      </c>
      <c r="B44" s="9" t="str">
        <f>IFERROR(__xludf.DUMMYFUNCTION("""COMPUTED_VALUE"""),"JR MERANDA")</f>
        <v>JR MERANDA</v>
      </c>
      <c r="C44" s="9" t="str">
        <f>IFERROR(__xludf.DUMMYFUNCTION("""COMPUTED_VALUE"""),"N/A")</f>
        <v>N/A</v>
      </c>
      <c r="D44" s="133" t="str">
        <f>IFERROR(__xludf.DUMMYFUNCTION("""COMPUTED_VALUE"""),"BLOCK 4")</f>
        <v>BLOCK 4</v>
      </c>
      <c r="E44" s="133">
        <f>IFERROR(__xludf.DUMMYFUNCTION("""COMPUTED_VALUE"""),31.0)</f>
        <v>31</v>
      </c>
      <c r="F44" s="69" t="str">
        <f>IFERROR(__xludf.DUMMYFUNCTION("""COMPUTED_VALUE"""),"UNREGISTERED")</f>
        <v>UNREGISTERED</v>
      </c>
      <c r="G44" s="9"/>
      <c r="H44" s="9"/>
      <c r="I44" s="60" t="str">
        <f t="shared" si="5"/>
        <v/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0">
        <f t="shared" si="1"/>
        <v>36</v>
      </c>
      <c r="B45" s="9" t="str">
        <f>IFERROR(__xludf.DUMMYFUNCTION("""COMPUTED_VALUE"""),"KEN LAURENCE PAANO")</f>
        <v>KEN LAURENCE PAANO</v>
      </c>
      <c r="C45" s="9" t="str">
        <f>IFERROR(__xludf.DUMMYFUNCTION("""COMPUTED_VALUE"""),"N/A")</f>
        <v>N/A</v>
      </c>
      <c r="D45" s="133" t="str">
        <f>IFERROR(__xludf.DUMMYFUNCTION("""COMPUTED_VALUE"""),"BLK 5")</f>
        <v>BLK 5</v>
      </c>
      <c r="E45" s="133">
        <f>IFERROR(__xludf.DUMMYFUNCTION("""COMPUTED_VALUE"""),5.0)</f>
        <v>5</v>
      </c>
      <c r="F45" s="69" t="str">
        <f>IFERROR(__xludf.DUMMYFUNCTION("""COMPUTED_VALUE"""),"UNREGISTERED")</f>
        <v>UNREGISTERED</v>
      </c>
      <c r="G45" s="9"/>
      <c r="H45" s="9"/>
      <c r="I45" s="60" t="str">
        <f t="shared" si="5"/>
        <v/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0">
        <f t="shared" si="1"/>
        <v>37</v>
      </c>
      <c r="B46" s="9" t="str">
        <f>IFERROR(__xludf.DUMMYFUNCTION("""COMPUTED_VALUE"""),"LIBERTY BALILI")</f>
        <v>LIBERTY BALILI</v>
      </c>
      <c r="C46" s="9" t="str">
        <f>IFERROR(__xludf.DUMMYFUNCTION("""COMPUTED_VALUE"""),"N/A")</f>
        <v>N/A</v>
      </c>
      <c r="D46" s="133" t="str">
        <f>IFERROR(__xludf.DUMMYFUNCTION("""COMPUTED_VALUE"""),"BLK 3")</f>
        <v>BLK 3</v>
      </c>
      <c r="E46" s="133">
        <f>IFERROR(__xludf.DUMMYFUNCTION("""COMPUTED_VALUE"""),23.0)</f>
        <v>23</v>
      </c>
      <c r="F46" s="69" t="str">
        <f>IFERROR(__xludf.DUMMYFUNCTION("""COMPUTED_VALUE"""),"UNREGISTERED")</f>
        <v>UNREGISTERED</v>
      </c>
      <c r="G46" s="9"/>
      <c r="H46" s="9"/>
      <c r="I46" s="60" t="str">
        <f t="shared" si="5"/>
        <v/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60">
        <f t="shared" si="1"/>
        <v>38</v>
      </c>
      <c r="B47" s="9" t="str">
        <f>IFERROR(__xludf.DUMMYFUNCTION("""COMPUTED_VALUE"""),"LIZA LOBRIO")</f>
        <v>LIZA LOBRIO</v>
      </c>
      <c r="C47" s="9" t="str">
        <f>IFERROR(__xludf.DUMMYFUNCTION("""COMPUTED_VALUE"""),"KDBM")</f>
        <v>KDBM</v>
      </c>
      <c r="D47" s="133" t="str">
        <f>IFERROR(__xludf.DUMMYFUNCTION("""COMPUTED_VALUE"""),"BLK 49")</f>
        <v>BLK 49</v>
      </c>
      <c r="E47" s="133">
        <f>IFERROR(__xludf.DUMMYFUNCTION("""COMPUTED_VALUE"""),27.0)</f>
        <v>27</v>
      </c>
      <c r="F47" s="69" t="str">
        <f>IFERROR(__xludf.DUMMYFUNCTION("""COMPUTED_VALUE"""),"INACTIVE")</f>
        <v>INACTIVE</v>
      </c>
      <c r="G47" s="9"/>
      <c r="H47" s="9"/>
      <c r="I47" s="60" t="str">
        <f t="shared" si="5"/>
        <v/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60">
        <f t="shared" si="1"/>
        <v>39</v>
      </c>
      <c r="B48" s="9" t="str">
        <f>IFERROR(__xludf.DUMMYFUNCTION("""COMPUTED_VALUE"""),"LOLOTA E. WIEL")</f>
        <v>LOLOTA E. WIEL</v>
      </c>
      <c r="C48" s="9" t="str">
        <f>IFERROR(__xludf.DUMMYFUNCTION("""COMPUTED_VALUE"""),"SENIOR")</f>
        <v>SENIOR</v>
      </c>
      <c r="D48" s="133" t="str">
        <f>IFERROR(__xludf.DUMMYFUNCTION("""COMPUTED_VALUE"""),"BLOCK 4")</f>
        <v>BLOCK 4</v>
      </c>
      <c r="E48" s="133">
        <f>IFERROR(__xludf.DUMMYFUNCTION("""COMPUTED_VALUE"""),25.0)</f>
        <v>25</v>
      </c>
      <c r="F48" s="69" t="str">
        <f>IFERROR(__xludf.DUMMYFUNCTION("""COMPUTED_VALUE"""),"UNREGISTERED")</f>
        <v>UNREGISTERED</v>
      </c>
      <c r="G48" s="9"/>
      <c r="H48" s="9"/>
      <c r="I48" s="60" t="str">
        <f t="shared" si="5"/>
        <v/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0">
        <f t="shared" si="1"/>
        <v>40</v>
      </c>
      <c r="B49" s="9" t="str">
        <f>IFERROR(__xludf.DUMMYFUNCTION("""COMPUTED_VALUE"""),"MARIA BRENDA R. AGOTE")</f>
        <v>MARIA BRENDA R. AGOTE</v>
      </c>
      <c r="C49" s="9" t="str">
        <f>IFERROR(__xludf.DUMMYFUNCTION("""COMPUTED_VALUE"""),"N/A")</f>
        <v>N/A</v>
      </c>
      <c r="D49" s="133" t="str">
        <f>IFERROR(__xludf.DUMMYFUNCTION("""COMPUTED_VALUE"""),"BLK 49")</f>
        <v>BLK 49</v>
      </c>
      <c r="E49" s="133">
        <f>IFERROR(__xludf.DUMMYFUNCTION("""COMPUTED_VALUE"""),12.0)</f>
        <v>12</v>
      </c>
      <c r="F49" s="69" t="str">
        <f>IFERROR(__xludf.DUMMYFUNCTION("""COMPUTED_VALUE"""),"UNREGISTERED")</f>
        <v>UNREGISTERED</v>
      </c>
      <c r="G49" s="9"/>
      <c r="H49" s="9"/>
      <c r="I49" s="60" t="str">
        <f t="shared" si="5"/>
        <v/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0">
        <f t="shared" si="1"/>
        <v>41</v>
      </c>
      <c r="B50" s="9" t="str">
        <f>IFERROR(__xludf.DUMMYFUNCTION("""COMPUTED_VALUE"""),"MARICEL FLORES")</f>
        <v>MARICEL FLORES</v>
      </c>
      <c r="C50" s="9" t="str">
        <f>IFERROR(__xludf.DUMMYFUNCTION("""COMPUTED_VALUE"""),"N/A")</f>
        <v>N/A</v>
      </c>
      <c r="D50" s="133" t="str">
        <f>IFERROR(__xludf.DUMMYFUNCTION("""COMPUTED_VALUE"""),"BLK 3")</f>
        <v>BLK 3</v>
      </c>
      <c r="E50" s="133">
        <f>IFERROR(__xludf.DUMMYFUNCTION("""COMPUTED_VALUE"""),22.0)</f>
        <v>22</v>
      </c>
      <c r="F50" s="69" t="str">
        <f>IFERROR(__xludf.DUMMYFUNCTION("""COMPUTED_VALUE"""),"UNREGISTERED")</f>
        <v>UNREGISTERED</v>
      </c>
      <c r="G50" s="9"/>
      <c r="H50" s="9"/>
      <c r="I50" s="60" t="str">
        <f t="shared" si="5"/>
        <v/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60">
        <f t="shared" si="1"/>
        <v>42</v>
      </c>
      <c r="B51" s="9" t="str">
        <f>IFERROR(__xludf.DUMMYFUNCTION("""COMPUTED_VALUE"""),"MELANIE M. ROBLES")</f>
        <v>MELANIE M. ROBLES</v>
      </c>
      <c r="C51" s="9" t="str">
        <f>IFERROR(__xludf.DUMMYFUNCTION("""COMPUTED_VALUE"""),"KDBM")</f>
        <v>KDBM</v>
      </c>
      <c r="D51" s="133" t="str">
        <f>IFERROR(__xludf.DUMMYFUNCTION("""COMPUTED_VALUE"""),"BLOCK 4")</f>
        <v>BLOCK 4</v>
      </c>
      <c r="E51" s="133">
        <f>IFERROR(__xludf.DUMMYFUNCTION("""COMPUTED_VALUE"""),3.0)</f>
        <v>3</v>
      </c>
      <c r="F51" s="69" t="str">
        <f>IFERROR(__xludf.DUMMYFUNCTION("""COMPUTED_VALUE"""),"INACTIVE")</f>
        <v>INACTIVE</v>
      </c>
      <c r="G51" s="9"/>
      <c r="H51" s="9"/>
      <c r="I51" s="60" t="str">
        <f t="shared" si="5"/>
        <v/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60">
        <f t="shared" si="1"/>
        <v>43</v>
      </c>
      <c r="B52" s="9" t="str">
        <f>IFERROR(__xludf.DUMMYFUNCTION("""COMPUTED_VALUE"""),"MICHAEL ANGELO VILLA")</f>
        <v>MICHAEL ANGELO VILLA</v>
      </c>
      <c r="C52" s="9" t="str">
        <f>IFERROR(__xludf.DUMMYFUNCTION("""COMPUTED_VALUE"""),"N/A")</f>
        <v>N/A</v>
      </c>
      <c r="D52" s="133" t="str">
        <f>IFERROR(__xludf.DUMMYFUNCTION("""COMPUTED_VALUE"""),"BLK 41")</f>
        <v>BLK 41</v>
      </c>
      <c r="E52" s="133">
        <f>IFERROR(__xludf.DUMMYFUNCTION("""COMPUTED_VALUE"""),25.0)</f>
        <v>25</v>
      </c>
      <c r="F52" s="69" t="str">
        <f>IFERROR(__xludf.DUMMYFUNCTION("""COMPUTED_VALUE"""),"ACTIVE")</f>
        <v>ACTIVE</v>
      </c>
      <c r="G52" s="9"/>
      <c r="H52" s="9"/>
      <c r="I52" s="60" t="str">
        <f t="shared" si="5"/>
        <v/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60">
        <f t="shared" si="1"/>
        <v>44</v>
      </c>
      <c r="B53" s="9" t="str">
        <f>IFERROR(__xludf.DUMMYFUNCTION("""COMPUTED_VALUE"""),"NIEL JARED TIONGCO")</f>
        <v>NIEL JARED TIONGCO</v>
      </c>
      <c r="C53" s="9" t="str">
        <f>IFERROR(__xludf.DUMMYFUNCTION("""COMPUTED_VALUE"""),"N/A")</f>
        <v>N/A</v>
      </c>
      <c r="D53" s="133" t="str">
        <f>IFERROR(__xludf.DUMMYFUNCTION("""COMPUTED_VALUE"""),"BLK 3")</f>
        <v>BLK 3</v>
      </c>
      <c r="E53" s="133">
        <f>IFERROR(__xludf.DUMMYFUNCTION("""COMPUTED_VALUE"""),4.0)</f>
        <v>4</v>
      </c>
      <c r="F53" s="69" t="str">
        <f>IFERROR(__xludf.DUMMYFUNCTION("""COMPUTED_VALUE"""),"UNREGISTERED")</f>
        <v>UNREGISTERED</v>
      </c>
      <c r="G53" s="9"/>
      <c r="H53" s="9"/>
      <c r="I53" s="60" t="str">
        <f t="shared" si="5"/>
        <v/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60">
        <f t="shared" si="1"/>
        <v>45</v>
      </c>
      <c r="B54" s="9" t="str">
        <f>IFERROR(__xludf.DUMMYFUNCTION("""COMPUTED_VALUE"""),"NOEMI A RAYTOS")</f>
        <v>NOEMI A RAYTOS</v>
      </c>
      <c r="C54" s="9" t="str">
        <f>IFERROR(__xludf.DUMMYFUNCTION("""COMPUTED_VALUE"""),"N/A")</f>
        <v>N/A</v>
      </c>
      <c r="D54" s="133" t="str">
        <f>IFERROR(__xludf.DUMMYFUNCTION("""COMPUTED_VALUE"""),"BLK 45")</f>
        <v>BLK 45</v>
      </c>
      <c r="E54" s="133">
        <f>IFERROR(__xludf.DUMMYFUNCTION("""COMPUTED_VALUE"""),9.0)</f>
        <v>9</v>
      </c>
      <c r="F54" s="69" t="str">
        <f>IFERROR(__xludf.DUMMYFUNCTION("""COMPUTED_VALUE"""),"UNREGISTERED")</f>
        <v>UNREGISTERED</v>
      </c>
      <c r="G54" s="9"/>
      <c r="H54" s="9"/>
      <c r="I54" s="60" t="str">
        <f t="shared" si="5"/>
        <v/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0">
        <f t="shared" si="1"/>
        <v>46</v>
      </c>
      <c r="B55" s="9" t="str">
        <f>IFERROR(__xludf.DUMMYFUNCTION("""COMPUTED_VALUE"""),"PACITA TULAY")</f>
        <v>PACITA TULAY</v>
      </c>
      <c r="C55" s="9" t="str">
        <f>IFERROR(__xludf.DUMMYFUNCTION("""COMPUTED_VALUE"""),"SENIOR")</f>
        <v>SENIOR</v>
      </c>
      <c r="D55" s="133" t="str">
        <f>IFERROR(__xludf.DUMMYFUNCTION("""COMPUTED_VALUE"""),"BLK 45")</f>
        <v>BLK 45</v>
      </c>
      <c r="E55" s="133"/>
      <c r="F55" s="69" t="str">
        <f>IFERROR(__xludf.DUMMYFUNCTION("""COMPUTED_VALUE"""),"INACTIVE")</f>
        <v>INACTIVE</v>
      </c>
      <c r="G55" s="9"/>
      <c r="H55" s="9"/>
      <c r="I55" s="60" t="str">
        <f t="shared" si="5"/>
        <v/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60">
        <f t="shared" si="1"/>
        <v>47</v>
      </c>
      <c r="B56" s="9" t="str">
        <f>IFERROR(__xludf.DUMMYFUNCTION("""COMPUTED_VALUE"""),"PAULA CAMILLE TASLASTAS")</f>
        <v>PAULA CAMILLE TASLASTAS</v>
      </c>
      <c r="C56" s="9" t="str">
        <f>IFERROR(__xludf.DUMMYFUNCTION("""COMPUTED_VALUE"""),"N/A")</f>
        <v>N/A</v>
      </c>
      <c r="D56" s="133" t="str">
        <f>IFERROR(__xludf.DUMMYFUNCTION("""COMPUTED_VALUE"""),"BLK 5")</f>
        <v>BLK 5</v>
      </c>
      <c r="E56" s="133">
        <f>IFERROR(__xludf.DUMMYFUNCTION("""COMPUTED_VALUE"""),4.0)</f>
        <v>4</v>
      </c>
      <c r="F56" s="69" t="str">
        <f>IFERROR(__xludf.DUMMYFUNCTION("""COMPUTED_VALUE"""),"INACTIVE")</f>
        <v>INACTIVE</v>
      </c>
      <c r="G56" s="9"/>
      <c r="H56" s="9"/>
      <c r="I56" s="60" t="str">
        <f t="shared" si="5"/>
        <v/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60">
        <f t="shared" si="1"/>
        <v>48</v>
      </c>
      <c r="B57" s="9" t="str">
        <f>IFERROR(__xludf.DUMMYFUNCTION("""COMPUTED_VALUE"""),"RICSON VERCELES")</f>
        <v>RICSON VERCELES</v>
      </c>
      <c r="C57" s="9" t="str">
        <f>IFERROR(__xludf.DUMMYFUNCTION("""COMPUTED_VALUE"""),"N/A")</f>
        <v>N/A</v>
      </c>
      <c r="D57" s="133" t="str">
        <f>IFERROR(__xludf.DUMMYFUNCTION("""COMPUTED_VALUE"""),"BLK 41")</f>
        <v>BLK 41</v>
      </c>
      <c r="E57" s="133">
        <f>IFERROR(__xludf.DUMMYFUNCTION("""COMPUTED_VALUE"""),27.0)</f>
        <v>27</v>
      </c>
      <c r="F57" s="69" t="str">
        <f>IFERROR(__xludf.DUMMYFUNCTION("""COMPUTED_VALUE"""),"UNREGISTERED")</f>
        <v>UNREGISTERED</v>
      </c>
      <c r="G57" s="9"/>
      <c r="H57" s="9"/>
      <c r="I57" s="60" t="str">
        <f t="shared" si="5"/>
        <v/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60">
        <f t="shared" si="1"/>
        <v>49</v>
      </c>
      <c r="B58" s="9" t="str">
        <f>IFERROR(__xludf.DUMMYFUNCTION("""COMPUTED_VALUE"""),"ROMNICK BONGCAYAW")</f>
        <v>ROMNICK BONGCAYAW</v>
      </c>
      <c r="C58" s="9" t="str">
        <f>IFERROR(__xludf.DUMMYFUNCTION("""COMPUTED_VALUE"""),"N/A")</f>
        <v>N/A</v>
      </c>
      <c r="D58" s="133" t="str">
        <f>IFERROR(__xludf.DUMMYFUNCTION("""COMPUTED_VALUE"""),"BLK 49")</f>
        <v>BLK 49</v>
      </c>
      <c r="E58" s="133">
        <f>IFERROR(__xludf.DUMMYFUNCTION("""COMPUTED_VALUE"""),2.0)</f>
        <v>2</v>
      </c>
      <c r="F58" s="69" t="str">
        <f>IFERROR(__xludf.DUMMYFUNCTION("""COMPUTED_VALUE"""),"UNREGISTERED")</f>
        <v>UNREGISTERED</v>
      </c>
      <c r="G58" s="9"/>
      <c r="H58" s="9"/>
      <c r="I58" s="60" t="str">
        <f t="shared" si="5"/>
        <v/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0">
        <f t="shared" si="1"/>
        <v>50</v>
      </c>
      <c r="B59" s="9" t="str">
        <f>IFERROR(__xludf.DUMMYFUNCTION("""COMPUTED_VALUE"""),"RONNIE QUILLIT")</f>
        <v>RONNIE QUILLIT</v>
      </c>
      <c r="C59" s="9" t="str">
        <f>IFERROR(__xludf.DUMMYFUNCTION("""COMPUTED_VALUE"""),"N/A")</f>
        <v>N/A</v>
      </c>
      <c r="D59" s="133" t="str">
        <f>IFERROR(__xludf.DUMMYFUNCTION("""COMPUTED_VALUE"""),"BLK 46")</f>
        <v>BLK 46</v>
      </c>
      <c r="E59" s="133">
        <f>IFERROR(__xludf.DUMMYFUNCTION("""COMPUTED_VALUE"""),10.0)</f>
        <v>10</v>
      </c>
      <c r="F59" s="69" t="str">
        <f>IFERROR(__xludf.DUMMYFUNCTION("""COMPUTED_VALUE"""),"INACTIVE")</f>
        <v>INACTIVE</v>
      </c>
      <c r="G59" s="9"/>
      <c r="H59" s="9"/>
      <c r="I59" s="60" t="str">
        <f t="shared" si="5"/>
        <v/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0">
        <f t="shared" si="1"/>
        <v>51</v>
      </c>
      <c r="B60" s="9" t="str">
        <f>IFERROR(__xludf.DUMMYFUNCTION("""COMPUTED_VALUE"""),"RTLEOLE CASTRO")</f>
        <v>RTLEOLE CASTRO</v>
      </c>
      <c r="C60" s="9" t="str">
        <f>IFERROR(__xludf.DUMMYFUNCTION("""COMPUTED_VALUE"""),"N/A")</f>
        <v>N/A</v>
      </c>
      <c r="D60" s="133" t="str">
        <f>IFERROR(__xludf.DUMMYFUNCTION("""COMPUTED_VALUE"""),"BLK 46")</f>
        <v>BLK 46</v>
      </c>
      <c r="E60" s="133">
        <f>IFERROR(__xludf.DUMMYFUNCTION("""COMPUTED_VALUE"""),34.0)</f>
        <v>34</v>
      </c>
      <c r="F60" s="69" t="str">
        <f>IFERROR(__xludf.DUMMYFUNCTION("""COMPUTED_VALUE"""),"UNREGISTERED")</f>
        <v>UNREGISTERED</v>
      </c>
      <c r="G60" s="9"/>
      <c r="H60" s="9"/>
      <c r="I60" s="60" t="str">
        <f t="shared" si="5"/>
        <v/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0">
        <f t="shared" si="1"/>
        <v>52</v>
      </c>
      <c r="B61" s="9" t="str">
        <f>IFERROR(__xludf.DUMMYFUNCTION("""COMPUTED_VALUE"""),"SAIMEL MATEO")</f>
        <v>SAIMEL MATEO</v>
      </c>
      <c r="C61" s="9" t="str">
        <f>IFERROR(__xludf.DUMMYFUNCTION("""COMPUTED_VALUE"""),"N/A")</f>
        <v>N/A</v>
      </c>
      <c r="D61" s="133" t="str">
        <f>IFERROR(__xludf.DUMMYFUNCTION("""COMPUTED_VALUE"""),"BLK 46")</f>
        <v>BLK 46</v>
      </c>
      <c r="E61" s="133">
        <f>IFERROR(__xludf.DUMMYFUNCTION("""COMPUTED_VALUE"""),22.0)</f>
        <v>22</v>
      </c>
      <c r="F61" s="69" t="str">
        <f>IFERROR(__xludf.DUMMYFUNCTION("""COMPUTED_VALUE"""),"UNREGISTERED")</f>
        <v>UNREGISTERED</v>
      </c>
      <c r="G61" s="9"/>
      <c r="H61" s="9"/>
      <c r="I61" s="60" t="str">
        <f t="shared" si="5"/>
        <v/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60">
        <f t="shared" si="1"/>
        <v>53</v>
      </c>
      <c r="B62" s="9" t="str">
        <f>IFERROR(__xludf.DUMMYFUNCTION("""COMPUTED_VALUE"""),"SHIN LEDRIANO")</f>
        <v>SHIN LEDRIANO</v>
      </c>
      <c r="C62" s="9" t="str">
        <f>IFERROR(__xludf.DUMMYFUNCTION("""COMPUTED_VALUE"""),"N/A")</f>
        <v>N/A</v>
      </c>
      <c r="D62" s="133" t="str">
        <f>IFERROR(__xludf.DUMMYFUNCTION("""COMPUTED_VALUE"""),"BLK 1")</f>
        <v>BLK 1</v>
      </c>
      <c r="E62" s="133">
        <f>IFERROR(__xludf.DUMMYFUNCTION("""COMPUTED_VALUE"""),3.0)</f>
        <v>3</v>
      </c>
      <c r="F62" s="69" t="str">
        <f>IFERROR(__xludf.DUMMYFUNCTION("""COMPUTED_VALUE"""),"UNREGISTERED")</f>
        <v>UNREGISTERED</v>
      </c>
      <c r="G62" s="9"/>
      <c r="H62" s="9"/>
      <c r="I62" s="60" t="str">
        <f t="shared" si="5"/>
        <v/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60">
        <f t="shared" si="1"/>
        <v>54</v>
      </c>
      <c r="B63" s="9" t="str">
        <f>IFERROR(__xludf.DUMMYFUNCTION("""COMPUTED_VALUE"""),"SIENALYN OLAES")</f>
        <v>SIENALYN OLAES</v>
      </c>
      <c r="C63" s="9" t="str">
        <f>IFERROR(__xludf.DUMMYFUNCTION("""COMPUTED_VALUE"""),"N/A")</f>
        <v>N/A</v>
      </c>
      <c r="D63" s="133" t="str">
        <f>IFERROR(__xludf.DUMMYFUNCTION("""COMPUTED_VALUE"""),"BLK 5")</f>
        <v>BLK 5</v>
      </c>
      <c r="E63" s="133">
        <f>IFERROR(__xludf.DUMMYFUNCTION("""COMPUTED_VALUE"""),28.0)</f>
        <v>28</v>
      </c>
      <c r="F63" s="69" t="str">
        <f>IFERROR(__xludf.DUMMYFUNCTION("""COMPUTED_VALUE"""),"UNREGISTERED")</f>
        <v>UNREGISTERED</v>
      </c>
      <c r="G63" s="9"/>
      <c r="H63" s="9"/>
      <c r="I63" s="60" t="str">
        <f t="shared" si="5"/>
        <v/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0">
        <f t="shared" si="1"/>
        <v>55</v>
      </c>
      <c r="B64" s="9" t="str">
        <f>IFERROR(__xludf.DUMMYFUNCTION("""COMPUTED_VALUE"""),"SONNY OREJANA")</f>
        <v>SONNY OREJANA</v>
      </c>
      <c r="C64" s="9" t="str">
        <f>IFERROR(__xludf.DUMMYFUNCTION("""COMPUTED_VALUE"""),"N/A")</f>
        <v>N/A</v>
      </c>
      <c r="D64" s="133" t="str">
        <f>IFERROR(__xludf.DUMMYFUNCTION("""COMPUTED_VALUE"""),"BLK 41")</f>
        <v>BLK 41</v>
      </c>
      <c r="E64" s="133">
        <f>IFERROR(__xludf.DUMMYFUNCTION("""COMPUTED_VALUE"""),8.0)</f>
        <v>8</v>
      </c>
      <c r="F64" s="69" t="str">
        <f>IFERROR(__xludf.DUMMYFUNCTION("""COMPUTED_VALUE"""),"UNREGISTERED")</f>
        <v>UNREGISTERED</v>
      </c>
      <c r="G64" s="9"/>
      <c r="H64" s="9"/>
      <c r="I64" s="60" t="str">
        <f t="shared" si="5"/>
        <v/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0">
        <f t="shared" si="1"/>
        <v>56</v>
      </c>
      <c r="B65" s="9" t="str">
        <f>IFERROR(__xludf.DUMMYFUNCTION("""COMPUTED_VALUE"""),"TEDDY DIZON")</f>
        <v>TEDDY DIZON</v>
      </c>
      <c r="C65" s="9" t="str">
        <f>IFERROR(__xludf.DUMMYFUNCTION("""COMPUTED_VALUE"""),"N/A")</f>
        <v>N/A</v>
      </c>
      <c r="D65" s="133" t="str">
        <f>IFERROR(__xludf.DUMMYFUNCTION("""COMPUTED_VALUE"""),"BLK 3")</f>
        <v>BLK 3</v>
      </c>
      <c r="E65" s="133">
        <f>IFERROR(__xludf.DUMMYFUNCTION("""COMPUTED_VALUE"""),24.0)</f>
        <v>24</v>
      </c>
      <c r="F65" s="69" t="str">
        <f>IFERROR(__xludf.DUMMYFUNCTION("""COMPUTED_VALUE"""),"UNREGISTERED")</f>
        <v>UNREGISTERED</v>
      </c>
      <c r="G65" s="9"/>
      <c r="H65" s="9"/>
      <c r="I65" s="60" t="str">
        <f t="shared" si="5"/>
        <v/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0">
        <f t="shared" si="1"/>
        <v>57</v>
      </c>
      <c r="B66" s="9" t="str">
        <f>IFERROR(__xludf.DUMMYFUNCTION("""COMPUTED_VALUE"""),"TERESITA CORTEZANO")</f>
        <v>TERESITA CORTEZANO</v>
      </c>
      <c r="C66" s="9" t="str">
        <f>IFERROR(__xludf.DUMMYFUNCTION("""COMPUTED_VALUE"""),"N/A")</f>
        <v>N/A</v>
      </c>
      <c r="D66" s="133" t="str">
        <f>IFERROR(__xludf.DUMMYFUNCTION("""COMPUTED_VALUE"""),"BLK 46")</f>
        <v>BLK 46</v>
      </c>
      <c r="E66" s="133">
        <f>IFERROR(__xludf.DUMMYFUNCTION("""COMPUTED_VALUE"""),21.0)</f>
        <v>21</v>
      </c>
      <c r="F66" s="69" t="str">
        <f>IFERROR(__xludf.DUMMYFUNCTION("""COMPUTED_VALUE"""),"UNREGISTERED")</f>
        <v>UNREGISTERED</v>
      </c>
      <c r="G66" s="9"/>
      <c r="H66" s="9"/>
      <c r="I66" s="60" t="str">
        <f t="shared" si="5"/>
        <v/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60">
        <f t="shared" si="1"/>
        <v>58</v>
      </c>
      <c r="B67" s="9" t="str">
        <f>IFERROR(__xludf.DUMMYFUNCTION("""COMPUTED_VALUE"""),"TIMOTHY JEROME A. DELA CRUZ")</f>
        <v>TIMOTHY JEROME A. DELA CRUZ</v>
      </c>
      <c r="C67" s="9" t="str">
        <f>IFERROR(__xludf.DUMMYFUNCTION("""COMPUTED_VALUE"""),"N/A")</f>
        <v>N/A</v>
      </c>
      <c r="D67" s="133" t="str">
        <f>IFERROR(__xludf.DUMMYFUNCTION("""COMPUTED_VALUE"""),"BLK 41")</f>
        <v>BLK 41</v>
      </c>
      <c r="E67" s="133">
        <f>IFERROR(__xludf.DUMMYFUNCTION("""COMPUTED_VALUE"""),5.0)</f>
        <v>5</v>
      </c>
      <c r="F67" s="69" t="str">
        <f>IFERROR(__xludf.DUMMYFUNCTION("""COMPUTED_VALUE"""),"UNREGISTERED")</f>
        <v>UNREGISTERED</v>
      </c>
      <c r="G67" s="9"/>
      <c r="H67" s="9"/>
      <c r="I67" s="60" t="str">
        <f t="shared" si="5"/>
        <v/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60">
        <f t="shared" si="1"/>
        <v>59</v>
      </c>
      <c r="B68" s="9" t="str">
        <f>IFERROR(__xludf.DUMMYFUNCTION("""COMPUTED_VALUE"""),"TITO ESCUADRO JR.")</f>
        <v>TITO ESCUADRO JR.</v>
      </c>
      <c r="C68" s="9" t="str">
        <f>IFERROR(__xludf.DUMMYFUNCTION("""COMPUTED_VALUE"""),"N/A")</f>
        <v>N/A</v>
      </c>
      <c r="D68" s="133" t="str">
        <f>IFERROR(__xludf.DUMMYFUNCTION("""COMPUTED_VALUE"""),"BLK 5")</f>
        <v>BLK 5</v>
      </c>
      <c r="E68" s="133">
        <f>IFERROR(__xludf.DUMMYFUNCTION("""COMPUTED_VALUE"""),9.0)</f>
        <v>9</v>
      </c>
      <c r="F68" s="69" t="str">
        <f>IFERROR(__xludf.DUMMYFUNCTION("""COMPUTED_VALUE"""),"INACTIVE")</f>
        <v>INACTIVE</v>
      </c>
      <c r="G68" s="9"/>
      <c r="H68" s="9"/>
      <c r="I68" s="60" t="str">
        <f t="shared" si="5"/>
        <v/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60">
        <f t="shared" si="1"/>
        <v>60</v>
      </c>
      <c r="B69" s="9" t="str">
        <f>IFERROR(__xludf.DUMMYFUNCTION("""COMPUTED_VALUE"""),"TRISHA SISON")</f>
        <v>TRISHA SISON</v>
      </c>
      <c r="C69" s="9" t="str">
        <f>IFERROR(__xludf.DUMMYFUNCTION("""COMPUTED_VALUE"""),"N/A")</f>
        <v>N/A</v>
      </c>
      <c r="D69" s="133" t="str">
        <f>IFERROR(__xludf.DUMMYFUNCTION("""COMPUTED_VALUE"""),"BLK 1")</f>
        <v>BLK 1</v>
      </c>
      <c r="E69" s="133">
        <f>IFERROR(__xludf.DUMMYFUNCTION("""COMPUTED_VALUE"""),23.0)</f>
        <v>23</v>
      </c>
      <c r="F69" s="69" t="str">
        <f>IFERROR(__xludf.DUMMYFUNCTION("""COMPUTED_VALUE"""),"UNREGISTERED")</f>
        <v>UNREGISTERED</v>
      </c>
      <c r="G69" s="9"/>
      <c r="H69" s="9"/>
      <c r="I69" s="60" t="str">
        <f t="shared" si="5"/>
        <v/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60">
        <f t="shared" si="1"/>
        <v>61</v>
      </c>
      <c r="B70" s="9" t="str">
        <f>IFERROR(__xludf.DUMMYFUNCTION("""COMPUTED_VALUE"""),"VER N. ROMA JR")</f>
        <v>VER N. ROMA JR</v>
      </c>
      <c r="C70" s="9" t="str">
        <f>IFERROR(__xludf.DUMMYFUNCTION("""COMPUTED_VALUE"""),"N/A")</f>
        <v>N/A</v>
      </c>
      <c r="D70" s="133" t="str">
        <f>IFERROR(__xludf.DUMMYFUNCTION("""COMPUTED_VALUE"""),"BLK 3")</f>
        <v>BLK 3</v>
      </c>
      <c r="E70" s="133">
        <f>IFERROR(__xludf.DUMMYFUNCTION("""COMPUTED_VALUE"""),14.0)</f>
        <v>14</v>
      </c>
      <c r="F70" s="69" t="str">
        <f>IFERROR(__xludf.DUMMYFUNCTION("""COMPUTED_VALUE"""),"UNREGISTERED")</f>
        <v>UNREGISTERED</v>
      </c>
      <c r="G70" s="9"/>
      <c r="H70" s="9"/>
      <c r="I70" s="60" t="str">
        <f t="shared" si="5"/>
        <v/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60" t="str">
        <f t="shared" si="1"/>
        <v/>
      </c>
      <c r="B71" s="9"/>
      <c r="C71" s="9"/>
      <c r="D71" s="133"/>
      <c r="E71" s="133"/>
      <c r="F71" s="69"/>
      <c r="G71" s="9"/>
      <c r="H71" s="9"/>
      <c r="I71" s="60" t="str">
        <f t="shared" si="5"/>
        <v/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0" t="str">
        <f t="shared" si="1"/>
        <v/>
      </c>
      <c r="B72" s="9"/>
      <c r="C72" s="9"/>
      <c r="D72" s="133"/>
      <c r="E72" s="133"/>
      <c r="F72" s="69"/>
      <c r="G72" s="9"/>
      <c r="H72" s="9"/>
      <c r="I72" s="60" t="str">
        <f t="shared" si="5"/>
        <v/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0" t="str">
        <f t="shared" si="1"/>
        <v/>
      </c>
      <c r="B73" s="9"/>
      <c r="C73" s="9"/>
      <c r="D73" s="133"/>
      <c r="E73" s="133"/>
      <c r="F73" s="69"/>
      <c r="G73" s="9"/>
      <c r="H73" s="9"/>
      <c r="I73" s="60" t="str">
        <f t="shared" si="5"/>
        <v/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60" t="str">
        <f t="shared" si="1"/>
        <v/>
      </c>
      <c r="B74" s="9"/>
      <c r="C74" s="9"/>
      <c r="D74" s="133"/>
      <c r="E74" s="133"/>
      <c r="F74" s="69"/>
      <c r="G74" s="9"/>
      <c r="H74" s="9"/>
      <c r="I74" s="60" t="str">
        <f t="shared" si="5"/>
        <v/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0" t="str">
        <f t="shared" si="1"/>
        <v/>
      </c>
      <c r="B75" s="9"/>
      <c r="C75" s="9"/>
      <c r="D75" s="133"/>
      <c r="E75" s="133"/>
      <c r="F75" s="69"/>
      <c r="G75" s="9"/>
      <c r="H75" s="9"/>
      <c r="I75" s="60" t="str">
        <f t="shared" si="5"/>
        <v/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0" t="str">
        <f t="shared" si="1"/>
        <v/>
      </c>
      <c r="B76" s="9"/>
      <c r="C76" s="9"/>
      <c r="D76" s="133"/>
      <c r="E76" s="133"/>
      <c r="F76" s="69"/>
      <c r="G76" s="9"/>
      <c r="H76" s="9"/>
      <c r="I76" s="60" t="str">
        <f t="shared" si="5"/>
        <v/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0" t="str">
        <f t="shared" si="1"/>
        <v/>
      </c>
      <c r="B77" s="9"/>
      <c r="C77" s="9"/>
      <c r="D77" s="133"/>
      <c r="E77" s="133"/>
      <c r="F77" s="69"/>
      <c r="G77" s="9"/>
      <c r="H77" s="9"/>
      <c r="I77" s="60" t="str">
        <f t="shared" si="5"/>
        <v/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0" t="str">
        <f t="shared" si="1"/>
        <v/>
      </c>
      <c r="B78" s="9"/>
      <c r="C78" s="9"/>
      <c r="D78" s="133"/>
      <c r="E78" s="133"/>
      <c r="F78" s="69"/>
      <c r="G78" s="9"/>
      <c r="H78" s="9"/>
      <c r="I78" s="60" t="str">
        <f t="shared" si="5"/>
        <v/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0" t="str">
        <f t="shared" si="1"/>
        <v/>
      </c>
      <c r="B79" s="9"/>
      <c r="C79" s="9"/>
      <c r="D79" s="133"/>
      <c r="E79" s="133"/>
      <c r="F79" s="69"/>
      <c r="G79" s="9"/>
      <c r="H79" s="9"/>
      <c r="I79" s="60" t="str">
        <f t="shared" si="5"/>
        <v/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60" t="str">
        <f t="shared" si="1"/>
        <v/>
      </c>
      <c r="B80" s="9"/>
      <c r="C80" s="9"/>
      <c r="D80" s="133"/>
      <c r="E80" s="133"/>
      <c r="F80" s="69"/>
      <c r="G80" s="9"/>
      <c r="H80" s="9"/>
      <c r="I80" s="60" t="str">
        <f t="shared" si="5"/>
        <v/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60" t="str">
        <f t="shared" si="1"/>
        <v/>
      </c>
      <c r="B81" s="9"/>
      <c r="C81" s="9"/>
      <c r="D81" s="133"/>
      <c r="E81" s="133"/>
      <c r="F81" s="69"/>
      <c r="G81" s="9"/>
      <c r="H81" s="9"/>
      <c r="I81" s="60" t="str">
        <f t="shared" si="5"/>
        <v/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60" t="str">
        <f t="shared" si="1"/>
        <v/>
      </c>
      <c r="B82" s="9"/>
      <c r="C82" s="9"/>
      <c r="D82" s="133"/>
      <c r="E82" s="133"/>
      <c r="F82" s="69"/>
      <c r="G82" s="9"/>
      <c r="H82" s="9"/>
      <c r="I82" s="60" t="str">
        <f t="shared" si="5"/>
        <v/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60" t="str">
        <f t="shared" si="1"/>
        <v/>
      </c>
      <c r="B83" s="9"/>
      <c r="C83" s="9"/>
      <c r="D83" s="133"/>
      <c r="E83" s="133"/>
      <c r="F83" s="69"/>
      <c r="G83" s="9"/>
      <c r="H83" s="9"/>
      <c r="I83" s="60" t="str">
        <f t="shared" si="5"/>
        <v/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0" t="str">
        <f t="shared" si="1"/>
        <v/>
      </c>
      <c r="B84" s="9"/>
      <c r="C84" s="9"/>
      <c r="D84" s="133"/>
      <c r="E84" s="133"/>
      <c r="F84" s="69"/>
      <c r="G84" s="9"/>
      <c r="H84" s="9"/>
      <c r="I84" s="60" t="str">
        <f t="shared" si="5"/>
        <v/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60" t="str">
        <f t="shared" si="1"/>
        <v/>
      </c>
      <c r="B85" s="9"/>
      <c r="C85" s="9"/>
      <c r="D85" s="133"/>
      <c r="E85" s="133"/>
      <c r="F85" s="69"/>
      <c r="G85" s="9"/>
      <c r="H85" s="9"/>
      <c r="I85" s="60" t="str">
        <f t="shared" si="5"/>
        <v/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60" t="str">
        <f t="shared" si="1"/>
        <v/>
      </c>
      <c r="B86" s="9"/>
      <c r="C86" s="9"/>
      <c r="D86" s="133"/>
      <c r="E86" s="133"/>
      <c r="F86" s="69"/>
      <c r="G86" s="9"/>
      <c r="H86" s="9"/>
      <c r="I86" s="60" t="str">
        <f t="shared" si="5"/>
        <v/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60" t="str">
        <f t="shared" si="1"/>
        <v/>
      </c>
      <c r="B87" s="9"/>
      <c r="C87" s="9"/>
      <c r="D87" s="133"/>
      <c r="E87" s="133"/>
      <c r="F87" s="69"/>
      <c r="G87" s="9"/>
      <c r="H87" s="9"/>
      <c r="I87" s="60" t="str">
        <f t="shared" si="5"/>
        <v/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60" t="str">
        <f t="shared" si="1"/>
        <v/>
      </c>
      <c r="B88" s="9"/>
      <c r="C88" s="9"/>
      <c r="D88" s="133"/>
      <c r="E88" s="133"/>
      <c r="F88" s="69"/>
      <c r="G88" s="9"/>
      <c r="H88" s="9"/>
      <c r="I88" s="60" t="str">
        <f t="shared" si="5"/>
        <v/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60" t="str">
        <f t="shared" si="1"/>
        <v/>
      </c>
      <c r="B89" s="9"/>
      <c r="C89" s="9"/>
      <c r="D89" s="133"/>
      <c r="E89" s="133"/>
      <c r="F89" s="69"/>
      <c r="G89" s="9"/>
      <c r="H89" s="9"/>
      <c r="I89" s="60" t="str">
        <f t="shared" si="5"/>
        <v/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60" t="str">
        <f t="shared" si="1"/>
        <v/>
      </c>
      <c r="B90" s="9"/>
      <c r="C90" s="9"/>
      <c r="D90" s="133"/>
      <c r="E90" s="133"/>
      <c r="F90" s="69"/>
      <c r="G90" s="9"/>
      <c r="H90" s="9"/>
      <c r="I90" s="60" t="str">
        <f t="shared" si="5"/>
        <v/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60" t="str">
        <f t="shared" si="1"/>
        <v/>
      </c>
      <c r="B91" s="9"/>
      <c r="C91" s="9"/>
      <c r="D91" s="133"/>
      <c r="E91" s="133"/>
      <c r="F91" s="69"/>
      <c r="G91" s="9"/>
      <c r="H91" s="9"/>
      <c r="I91" s="60" t="str">
        <f t="shared" si="5"/>
        <v/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60" t="str">
        <f t="shared" si="1"/>
        <v/>
      </c>
      <c r="B92" s="9"/>
      <c r="C92" s="9"/>
      <c r="D92" s="133"/>
      <c r="E92" s="133"/>
      <c r="F92" s="69"/>
      <c r="G92" s="9"/>
      <c r="H92" s="9"/>
      <c r="I92" s="60" t="str">
        <f t="shared" si="5"/>
        <v/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60" t="str">
        <f t="shared" si="1"/>
        <v/>
      </c>
      <c r="B93" s="9"/>
      <c r="C93" s="9"/>
      <c r="D93" s="133"/>
      <c r="E93" s="133"/>
      <c r="F93" s="69"/>
      <c r="G93" s="9"/>
      <c r="H93" s="9"/>
      <c r="I93" s="60" t="str">
        <f t="shared" si="5"/>
        <v/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60" t="str">
        <f t="shared" si="1"/>
        <v/>
      </c>
      <c r="B94" s="9"/>
      <c r="C94" s="9"/>
      <c r="D94" s="133"/>
      <c r="E94" s="133"/>
      <c r="F94" s="69"/>
      <c r="G94" s="9"/>
      <c r="H94" s="9"/>
      <c r="I94" s="60" t="str">
        <f t="shared" si="5"/>
        <v/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60" t="str">
        <f t="shared" si="1"/>
        <v/>
      </c>
      <c r="B95" s="9"/>
      <c r="C95" s="9"/>
      <c r="D95" s="133"/>
      <c r="E95" s="133"/>
      <c r="F95" s="69"/>
      <c r="G95" s="9"/>
      <c r="H95" s="9"/>
      <c r="I95" s="60" t="str">
        <f t="shared" si="5"/>
        <v/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60" t="str">
        <f t="shared" si="1"/>
        <v/>
      </c>
      <c r="B96" s="9"/>
      <c r="C96" s="9"/>
      <c r="D96" s="133"/>
      <c r="E96" s="133"/>
      <c r="F96" s="69"/>
      <c r="G96" s="9"/>
      <c r="H96" s="9"/>
      <c r="I96" s="60" t="str">
        <f t="shared" si="5"/>
        <v/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60" t="str">
        <f t="shared" si="1"/>
        <v/>
      </c>
      <c r="B97" s="9"/>
      <c r="C97" s="9"/>
      <c r="D97" s="133"/>
      <c r="E97" s="133"/>
      <c r="F97" s="69"/>
      <c r="G97" s="9"/>
      <c r="H97" s="9"/>
      <c r="I97" s="60" t="str">
        <f t="shared" si="5"/>
        <v/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60" t="str">
        <f t="shared" si="1"/>
        <v/>
      </c>
      <c r="B98" s="9"/>
      <c r="C98" s="9"/>
      <c r="D98" s="133"/>
      <c r="E98" s="133"/>
      <c r="F98" s="69"/>
      <c r="G98" s="9"/>
      <c r="H98" s="9"/>
      <c r="I98" s="60" t="str">
        <f t="shared" si="5"/>
        <v/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60" t="str">
        <f t="shared" si="1"/>
        <v/>
      </c>
      <c r="B99" s="9"/>
      <c r="C99" s="9"/>
      <c r="D99" s="133"/>
      <c r="E99" s="133"/>
      <c r="F99" s="69"/>
      <c r="G99" s="9"/>
      <c r="H99" s="9"/>
      <c r="I99" s="60" t="str">
        <f t="shared" si="5"/>
        <v/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60" t="str">
        <f t="shared" si="1"/>
        <v/>
      </c>
      <c r="B100" s="9"/>
      <c r="C100" s="9"/>
      <c r="D100" s="133"/>
      <c r="E100" s="133"/>
      <c r="F100" s="69"/>
      <c r="G100" s="9"/>
      <c r="H100" s="9"/>
      <c r="I100" s="60" t="str">
        <f t="shared" si="5"/>
        <v/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60" t="str">
        <f t="shared" si="1"/>
        <v/>
      </c>
      <c r="B101" s="9"/>
      <c r="C101" s="9"/>
      <c r="D101" s="133"/>
      <c r="E101" s="133"/>
      <c r="F101" s="69"/>
      <c r="G101" s="9"/>
      <c r="H101" s="9"/>
      <c r="I101" s="60" t="str">
        <f t="shared" si="5"/>
        <v/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60" t="str">
        <f t="shared" si="1"/>
        <v/>
      </c>
      <c r="B102" s="9"/>
      <c r="C102" s="9"/>
      <c r="D102" s="133"/>
      <c r="E102" s="133"/>
      <c r="F102" s="69"/>
      <c r="G102" s="9"/>
      <c r="H102" s="9"/>
      <c r="I102" s="60" t="str">
        <f t="shared" si="5"/>
        <v/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60" t="str">
        <f t="shared" si="1"/>
        <v/>
      </c>
      <c r="B103" s="9"/>
      <c r="C103" s="9"/>
      <c r="D103" s="133"/>
      <c r="E103" s="133"/>
      <c r="F103" s="69"/>
      <c r="G103" s="9"/>
      <c r="H103" s="9"/>
      <c r="I103" s="60" t="str">
        <f t="shared" si="5"/>
        <v/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60" t="str">
        <f t="shared" si="1"/>
        <v/>
      </c>
      <c r="B104" s="9"/>
      <c r="C104" s="9"/>
      <c r="D104" s="133"/>
      <c r="E104" s="133"/>
      <c r="F104" s="69"/>
      <c r="G104" s="9"/>
      <c r="H104" s="9"/>
      <c r="I104" s="60" t="str">
        <f t="shared" si="5"/>
        <v/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60" t="str">
        <f t="shared" si="1"/>
        <v/>
      </c>
      <c r="B105" s="9"/>
      <c r="C105" s="9"/>
      <c r="D105" s="133"/>
      <c r="E105" s="133"/>
      <c r="F105" s="69"/>
      <c r="G105" s="9"/>
      <c r="H105" s="9"/>
      <c r="I105" s="60" t="str">
        <f t="shared" si="5"/>
        <v/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60" t="str">
        <f t="shared" si="1"/>
        <v/>
      </c>
      <c r="B106" s="9"/>
      <c r="C106" s="9"/>
      <c r="D106" s="133"/>
      <c r="E106" s="133"/>
      <c r="F106" s="69"/>
      <c r="G106" s="9"/>
      <c r="H106" s="9"/>
      <c r="I106" s="60" t="str">
        <f t="shared" si="5"/>
        <v/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60" t="str">
        <f t="shared" si="1"/>
        <v/>
      </c>
      <c r="B107" s="9"/>
      <c r="C107" s="9"/>
      <c r="D107" s="133"/>
      <c r="E107" s="133"/>
      <c r="F107" s="69"/>
      <c r="G107" s="9"/>
      <c r="H107" s="9"/>
      <c r="I107" s="60" t="str">
        <f t="shared" si="5"/>
        <v/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60" t="str">
        <f t="shared" si="1"/>
        <v/>
      </c>
      <c r="B108" s="9"/>
      <c r="C108" s="9"/>
      <c r="D108" s="133"/>
      <c r="E108" s="133"/>
      <c r="F108" s="69"/>
      <c r="G108" s="9"/>
      <c r="H108" s="9"/>
      <c r="I108" s="60" t="str">
        <f t="shared" si="5"/>
        <v/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60" t="str">
        <f t="shared" si="1"/>
        <v/>
      </c>
      <c r="B109" s="9"/>
      <c r="C109" s="9"/>
      <c r="D109" s="133"/>
      <c r="E109" s="133"/>
      <c r="F109" s="69"/>
      <c r="G109" s="9"/>
      <c r="H109" s="9"/>
      <c r="I109" s="60" t="str">
        <f t="shared" si="5"/>
        <v/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60" t="str">
        <f t="shared" si="1"/>
        <v/>
      </c>
      <c r="B110" s="9"/>
      <c r="C110" s="9"/>
      <c r="D110" s="133"/>
      <c r="E110" s="133"/>
      <c r="F110" s="69"/>
      <c r="G110" s="9"/>
      <c r="H110" s="9"/>
      <c r="I110" s="60" t="str">
        <f t="shared" si="5"/>
        <v/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60" t="str">
        <f t="shared" si="1"/>
        <v/>
      </c>
      <c r="B111" s="9"/>
      <c r="C111" s="9"/>
      <c r="D111" s="133"/>
      <c r="E111" s="133"/>
      <c r="F111" s="69"/>
      <c r="G111" s="9"/>
      <c r="H111" s="9"/>
      <c r="I111" s="60" t="str">
        <f t="shared" si="5"/>
        <v/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60" t="str">
        <f t="shared" si="1"/>
        <v/>
      </c>
      <c r="B112" s="9"/>
      <c r="C112" s="9"/>
      <c r="D112" s="133"/>
      <c r="E112" s="133"/>
      <c r="F112" s="69"/>
      <c r="G112" s="9"/>
      <c r="H112" s="9"/>
      <c r="I112" s="60" t="str">
        <f t="shared" si="5"/>
        <v/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60" t="str">
        <f t="shared" si="1"/>
        <v/>
      </c>
      <c r="B113" s="9"/>
      <c r="C113" s="9"/>
      <c r="D113" s="133"/>
      <c r="E113" s="133"/>
      <c r="F113" s="69"/>
      <c r="G113" s="9"/>
      <c r="H113" s="9"/>
      <c r="I113" s="60" t="str">
        <f t="shared" si="5"/>
        <v/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60" t="str">
        <f t="shared" si="1"/>
        <v/>
      </c>
      <c r="B114" s="9"/>
      <c r="C114" s="9"/>
      <c r="D114" s="133"/>
      <c r="E114" s="133"/>
      <c r="F114" s="69"/>
      <c r="G114" s="9"/>
      <c r="H114" s="9"/>
      <c r="I114" s="60" t="str">
        <f t="shared" si="5"/>
        <v/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0" t="str">
        <f t="shared" si="1"/>
        <v/>
      </c>
      <c r="B115" s="9"/>
      <c r="C115" s="9"/>
      <c r="D115" s="133"/>
      <c r="E115" s="133"/>
      <c r="F115" s="69"/>
      <c r="G115" s="9"/>
      <c r="H115" s="9"/>
      <c r="I115" s="60" t="str">
        <f t="shared" si="5"/>
        <v/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60" t="str">
        <f t="shared" si="1"/>
        <v/>
      </c>
      <c r="B116" s="9"/>
      <c r="C116" s="9"/>
      <c r="D116" s="133"/>
      <c r="E116" s="133"/>
      <c r="F116" s="69"/>
      <c r="G116" s="9"/>
      <c r="H116" s="9"/>
      <c r="I116" s="60" t="str">
        <f t="shared" si="5"/>
        <v/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0" t="str">
        <f t="shared" si="1"/>
        <v/>
      </c>
      <c r="B117" s="9"/>
      <c r="C117" s="9"/>
      <c r="D117" s="133"/>
      <c r="E117" s="133"/>
      <c r="F117" s="69"/>
      <c r="G117" s="9"/>
      <c r="H117" s="9"/>
      <c r="I117" s="60" t="str">
        <f t="shared" si="5"/>
        <v/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0" t="str">
        <f t="shared" si="1"/>
        <v/>
      </c>
      <c r="B118" s="9"/>
      <c r="C118" s="9"/>
      <c r="D118" s="133"/>
      <c r="E118" s="133"/>
      <c r="F118" s="69"/>
      <c r="G118" s="9"/>
      <c r="H118" s="9"/>
      <c r="I118" s="60" t="str">
        <f t="shared" si="5"/>
        <v/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60" t="str">
        <f t="shared" si="1"/>
        <v/>
      </c>
      <c r="B119" s="9"/>
      <c r="C119" s="9"/>
      <c r="D119" s="133"/>
      <c r="E119" s="133"/>
      <c r="F119" s="69"/>
      <c r="G119" s="9"/>
      <c r="H119" s="9"/>
      <c r="I119" s="60" t="str">
        <f t="shared" si="5"/>
        <v/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60" t="str">
        <f t="shared" si="1"/>
        <v/>
      </c>
      <c r="B120" s="9"/>
      <c r="C120" s="9"/>
      <c r="D120" s="133"/>
      <c r="E120" s="133"/>
      <c r="F120" s="69"/>
      <c r="G120" s="9"/>
      <c r="H120" s="9"/>
      <c r="I120" s="60" t="str">
        <f t="shared" si="5"/>
        <v/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60" t="str">
        <f t="shared" si="1"/>
        <v/>
      </c>
      <c r="B121" s="9"/>
      <c r="C121" s="9"/>
      <c r="D121" s="133"/>
      <c r="E121" s="133"/>
      <c r="F121" s="69"/>
      <c r="G121" s="9"/>
      <c r="H121" s="9"/>
      <c r="I121" s="60" t="str">
        <f t="shared" si="5"/>
        <v/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60" t="str">
        <f t="shared" si="1"/>
        <v/>
      </c>
      <c r="B122" s="9"/>
      <c r="C122" s="9"/>
      <c r="D122" s="133"/>
      <c r="E122" s="133"/>
      <c r="F122" s="69"/>
      <c r="G122" s="9"/>
      <c r="H122" s="9"/>
      <c r="I122" s="60" t="str">
        <f t="shared" si="5"/>
        <v/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60" t="str">
        <f t="shared" si="1"/>
        <v/>
      </c>
      <c r="B123" s="9"/>
      <c r="C123" s="9"/>
      <c r="D123" s="133"/>
      <c r="E123" s="133"/>
      <c r="F123" s="69"/>
      <c r="G123" s="9"/>
      <c r="H123" s="9"/>
      <c r="I123" s="60" t="str">
        <f t="shared" si="5"/>
        <v/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60" t="str">
        <f t="shared" si="1"/>
        <v/>
      </c>
      <c r="B124" s="9"/>
      <c r="C124" s="9"/>
      <c r="D124" s="133"/>
      <c r="E124" s="133"/>
      <c r="F124" s="69"/>
      <c r="G124" s="9"/>
      <c r="H124" s="9"/>
      <c r="I124" s="60" t="str">
        <f t="shared" si="5"/>
        <v/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60" t="str">
        <f t="shared" si="1"/>
        <v/>
      </c>
      <c r="B125" s="9"/>
      <c r="C125" s="9"/>
      <c r="D125" s="133"/>
      <c r="E125" s="133"/>
      <c r="F125" s="69"/>
      <c r="G125" s="9"/>
      <c r="H125" s="9"/>
      <c r="I125" s="60" t="str">
        <f t="shared" si="5"/>
        <v/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60" t="str">
        <f t="shared" si="1"/>
        <v/>
      </c>
      <c r="B126" s="9"/>
      <c r="C126" s="9"/>
      <c r="D126" s="133"/>
      <c r="E126" s="133"/>
      <c r="F126" s="69"/>
      <c r="G126" s="9"/>
      <c r="H126" s="9"/>
      <c r="I126" s="60" t="str">
        <f t="shared" si="5"/>
        <v/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60" t="str">
        <f t="shared" si="1"/>
        <v/>
      </c>
      <c r="B127" s="9"/>
      <c r="C127" s="9"/>
      <c r="D127" s="133"/>
      <c r="E127" s="133"/>
      <c r="F127" s="69"/>
      <c r="G127" s="9"/>
      <c r="H127" s="9"/>
      <c r="I127" s="60" t="str">
        <f t="shared" si="5"/>
        <v/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60" t="str">
        <f t="shared" si="1"/>
        <v/>
      </c>
      <c r="B128" s="9"/>
      <c r="C128" s="9"/>
      <c r="D128" s="133"/>
      <c r="E128" s="133"/>
      <c r="F128" s="69"/>
      <c r="G128" s="9"/>
      <c r="H128" s="9"/>
      <c r="I128" s="60" t="str">
        <f t="shared" si="5"/>
        <v/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60" t="str">
        <f t="shared" si="1"/>
        <v/>
      </c>
      <c r="B129" s="9"/>
      <c r="C129" s="9"/>
      <c r="D129" s="133"/>
      <c r="E129" s="133"/>
      <c r="F129" s="69"/>
      <c r="G129" s="9"/>
      <c r="H129" s="9"/>
      <c r="I129" s="60" t="str">
        <f t="shared" si="5"/>
        <v/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60" t="str">
        <f t="shared" si="1"/>
        <v/>
      </c>
      <c r="B130" s="9"/>
      <c r="C130" s="9"/>
      <c r="D130" s="133"/>
      <c r="E130" s="133"/>
      <c r="F130" s="69"/>
      <c r="G130" s="9"/>
      <c r="H130" s="9"/>
      <c r="I130" s="60" t="str">
        <f t="shared" si="5"/>
        <v/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60" t="str">
        <f t="shared" si="1"/>
        <v/>
      </c>
      <c r="B131" s="9"/>
      <c r="C131" s="9"/>
      <c r="D131" s="133"/>
      <c r="E131" s="133"/>
      <c r="F131" s="69"/>
      <c r="G131" s="9"/>
      <c r="H131" s="9"/>
      <c r="I131" s="60" t="str">
        <f t="shared" si="5"/>
        <v/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60" t="str">
        <f t="shared" si="1"/>
        <v/>
      </c>
      <c r="B132" s="9"/>
      <c r="C132" s="9"/>
      <c r="D132" s="133"/>
      <c r="E132" s="133"/>
      <c r="F132" s="69"/>
      <c r="G132" s="9"/>
      <c r="H132" s="9"/>
      <c r="I132" s="60" t="str">
        <f t="shared" si="5"/>
        <v/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60" t="str">
        <f t="shared" si="1"/>
        <v/>
      </c>
      <c r="B133" s="9"/>
      <c r="C133" s="9"/>
      <c r="D133" s="133"/>
      <c r="E133" s="133"/>
      <c r="F133" s="69"/>
      <c r="G133" s="9"/>
      <c r="H133" s="9"/>
      <c r="I133" s="60" t="str">
        <f t="shared" si="5"/>
        <v/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60" t="str">
        <f t="shared" si="1"/>
        <v/>
      </c>
      <c r="B134" s="9"/>
      <c r="C134" s="9"/>
      <c r="D134" s="133"/>
      <c r="E134" s="133"/>
      <c r="F134" s="69"/>
      <c r="G134" s="9"/>
      <c r="H134" s="9"/>
      <c r="I134" s="60" t="str">
        <f t="shared" si="5"/>
        <v/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60" t="str">
        <f t="shared" si="1"/>
        <v/>
      </c>
      <c r="B135" s="9"/>
      <c r="C135" s="9"/>
      <c r="D135" s="133"/>
      <c r="E135" s="133"/>
      <c r="F135" s="69"/>
      <c r="G135" s="9"/>
      <c r="H135" s="9"/>
      <c r="I135" s="60" t="str">
        <f t="shared" si="5"/>
        <v/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60" t="str">
        <f t="shared" si="1"/>
        <v/>
      </c>
      <c r="B136" s="9"/>
      <c r="C136" s="9"/>
      <c r="D136" s="133"/>
      <c r="E136" s="133"/>
      <c r="F136" s="69"/>
      <c r="G136" s="9"/>
      <c r="H136" s="9"/>
      <c r="I136" s="60" t="str">
        <f t="shared" si="5"/>
        <v/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60" t="str">
        <f t="shared" si="1"/>
        <v/>
      </c>
      <c r="B137" s="9"/>
      <c r="C137" s="9"/>
      <c r="D137" s="133"/>
      <c r="E137" s="133"/>
      <c r="F137" s="69"/>
      <c r="G137" s="9"/>
      <c r="H137" s="9"/>
      <c r="I137" s="60" t="str">
        <f t="shared" si="5"/>
        <v/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60" t="str">
        <f t="shared" si="1"/>
        <v/>
      </c>
      <c r="B138" s="9"/>
      <c r="C138" s="9"/>
      <c r="D138" s="133"/>
      <c r="E138" s="133"/>
      <c r="F138" s="69"/>
      <c r="G138" s="9"/>
      <c r="H138" s="9"/>
      <c r="I138" s="60" t="str">
        <f t="shared" si="5"/>
        <v/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60" t="str">
        <f t="shared" si="1"/>
        <v/>
      </c>
      <c r="B139" s="9"/>
      <c r="C139" s="9"/>
      <c r="D139" s="133"/>
      <c r="E139" s="133"/>
      <c r="F139" s="69"/>
      <c r="G139" s="9"/>
      <c r="H139" s="9"/>
      <c r="I139" s="60" t="str">
        <f t="shared" si="5"/>
        <v/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60" t="str">
        <f t="shared" si="1"/>
        <v/>
      </c>
      <c r="B140" s="9"/>
      <c r="C140" s="9"/>
      <c r="D140" s="133"/>
      <c r="E140" s="133"/>
      <c r="F140" s="69"/>
      <c r="G140" s="9"/>
      <c r="H140" s="9"/>
      <c r="I140" s="60" t="str">
        <f t="shared" si="5"/>
        <v/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60" t="str">
        <f t="shared" si="1"/>
        <v/>
      </c>
      <c r="B141" s="9"/>
      <c r="C141" s="9"/>
      <c r="D141" s="133"/>
      <c r="E141" s="133"/>
      <c r="F141" s="69"/>
      <c r="G141" s="9"/>
      <c r="H141" s="9"/>
      <c r="I141" s="60" t="str">
        <f t="shared" si="5"/>
        <v/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60" t="str">
        <f t="shared" si="1"/>
        <v/>
      </c>
      <c r="B142" s="9"/>
      <c r="C142" s="9"/>
      <c r="D142" s="133"/>
      <c r="E142" s="133"/>
      <c r="F142" s="69"/>
      <c r="G142" s="9"/>
      <c r="H142" s="9"/>
      <c r="I142" s="60" t="str">
        <f t="shared" si="5"/>
        <v/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60" t="str">
        <f t="shared" si="1"/>
        <v/>
      </c>
      <c r="B143" s="9"/>
      <c r="C143" s="9"/>
      <c r="D143" s="133"/>
      <c r="E143" s="133"/>
      <c r="F143" s="69"/>
      <c r="G143" s="9"/>
      <c r="H143" s="9"/>
      <c r="I143" s="60" t="str">
        <f t="shared" si="5"/>
        <v/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60" t="str">
        <f t="shared" si="1"/>
        <v/>
      </c>
      <c r="B144" s="9"/>
      <c r="C144" s="9"/>
      <c r="D144" s="133"/>
      <c r="E144" s="133"/>
      <c r="F144" s="69"/>
      <c r="G144" s="9"/>
      <c r="H144" s="9"/>
      <c r="I144" s="60" t="str">
        <f t="shared" si="5"/>
        <v/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60" t="str">
        <f t="shared" si="1"/>
        <v/>
      </c>
      <c r="B145" s="9"/>
      <c r="C145" s="9"/>
      <c r="D145" s="133"/>
      <c r="E145" s="133"/>
      <c r="F145" s="69"/>
      <c r="G145" s="9"/>
      <c r="H145" s="9"/>
      <c r="I145" s="60" t="str">
        <f t="shared" si="5"/>
        <v/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60" t="str">
        <f t="shared" si="1"/>
        <v/>
      </c>
      <c r="B146" s="9"/>
      <c r="C146" s="9"/>
      <c r="D146" s="133"/>
      <c r="E146" s="133"/>
      <c r="F146" s="69"/>
      <c r="G146" s="9"/>
      <c r="H146" s="9"/>
      <c r="I146" s="60" t="str">
        <f t="shared" si="5"/>
        <v/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60" t="str">
        <f t="shared" si="1"/>
        <v/>
      </c>
      <c r="B147" s="9"/>
      <c r="C147" s="9"/>
      <c r="D147" s="133"/>
      <c r="E147" s="133"/>
      <c r="F147" s="69"/>
      <c r="G147" s="9"/>
      <c r="H147" s="9"/>
      <c r="I147" s="60" t="str">
        <f t="shared" si="5"/>
        <v/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60" t="str">
        <f t="shared" si="1"/>
        <v/>
      </c>
      <c r="B148" s="9"/>
      <c r="C148" s="9"/>
      <c r="D148" s="133"/>
      <c r="E148" s="133"/>
      <c r="F148" s="69"/>
      <c r="G148" s="9"/>
      <c r="H148" s="9"/>
      <c r="I148" s="60" t="str">
        <f t="shared" si="5"/>
        <v/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60" t="str">
        <f t="shared" si="1"/>
        <v/>
      </c>
      <c r="B149" s="9"/>
      <c r="C149" s="9"/>
      <c r="D149" s="133"/>
      <c r="E149" s="133"/>
      <c r="F149" s="69"/>
      <c r="G149" s="9"/>
      <c r="H149" s="9"/>
      <c r="I149" s="60" t="str">
        <f t="shared" si="5"/>
        <v/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60" t="str">
        <f t="shared" si="1"/>
        <v/>
      </c>
      <c r="B150" s="9"/>
      <c r="C150" s="9"/>
      <c r="D150" s="133"/>
      <c r="E150" s="133"/>
      <c r="F150" s="69"/>
      <c r="G150" s="9"/>
      <c r="H150" s="9"/>
      <c r="I150" s="60" t="str">
        <f t="shared" si="5"/>
        <v/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60" t="str">
        <f t="shared" si="1"/>
        <v/>
      </c>
      <c r="B151" s="9"/>
      <c r="C151" s="9"/>
      <c r="D151" s="133"/>
      <c r="E151" s="133"/>
      <c r="F151" s="69"/>
      <c r="G151" s="9"/>
      <c r="H151" s="9"/>
      <c r="I151" s="60" t="str">
        <f t="shared" si="5"/>
        <v/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60" t="str">
        <f t="shared" si="1"/>
        <v/>
      </c>
      <c r="B152" s="9"/>
      <c r="C152" s="9"/>
      <c r="D152" s="133"/>
      <c r="E152" s="133"/>
      <c r="F152" s="69"/>
      <c r="G152" s="9"/>
      <c r="H152" s="9"/>
      <c r="I152" s="60" t="str">
        <f t="shared" si="5"/>
        <v/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60" t="str">
        <f t="shared" si="1"/>
        <v/>
      </c>
      <c r="B153" s="9"/>
      <c r="C153" s="9"/>
      <c r="D153" s="133"/>
      <c r="E153" s="133"/>
      <c r="F153" s="69"/>
      <c r="G153" s="9"/>
      <c r="H153" s="9"/>
      <c r="I153" s="60" t="str">
        <f t="shared" si="5"/>
        <v/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60" t="str">
        <f t="shared" si="1"/>
        <v/>
      </c>
      <c r="B154" s="9"/>
      <c r="C154" s="9"/>
      <c r="D154" s="133"/>
      <c r="E154" s="133"/>
      <c r="F154" s="69"/>
      <c r="G154" s="9"/>
      <c r="H154" s="9"/>
      <c r="I154" s="60" t="str">
        <f t="shared" si="5"/>
        <v/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60" t="str">
        <f t="shared" si="1"/>
        <v/>
      </c>
      <c r="B155" s="9"/>
      <c r="C155" s="9"/>
      <c r="D155" s="133"/>
      <c r="E155" s="133"/>
      <c r="F155" s="69"/>
      <c r="G155" s="9"/>
      <c r="H155" s="9"/>
      <c r="I155" s="60" t="str">
        <f t="shared" si="5"/>
        <v/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60" t="str">
        <f t="shared" si="1"/>
        <v/>
      </c>
      <c r="B156" s="9"/>
      <c r="C156" s="9"/>
      <c r="D156" s="133"/>
      <c r="E156" s="133"/>
      <c r="F156" s="69"/>
      <c r="G156" s="9"/>
      <c r="H156" s="9"/>
      <c r="I156" s="60" t="str">
        <f t="shared" si="5"/>
        <v/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60" t="str">
        <f t="shared" si="1"/>
        <v/>
      </c>
      <c r="B157" s="9"/>
      <c r="C157" s="9"/>
      <c r="D157" s="133"/>
      <c r="E157" s="133"/>
      <c r="F157" s="69"/>
      <c r="G157" s="9"/>
      <c r="H157" s="9"/>
      <c r="I157" s="60" t="str">
        <f t="shared" si="5"/>
        <v/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60" t="str">
        <f t="shared" si="1"/>
        <v/>
      </c>
      <c r="B158" s="9"/>
      <c r="C158" s="9"/>
      <c r="D158" s="133"/>
      <c r="E158" s="133"/>
      <c r="F158" s="69"/>
      <c r="G158" s="9"/>
      <c r="H158" s="9"/>
      <c r="I158" s="60" t="str">
        <f t="shared" si="5"/>
        <v/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60" t="str">
        <f t="shared" si="1"/>
        <v/>
      </c>
      <c r="B159" s="9"/>
      <c r="C159" s="9"/>
      <c r="D159" s="133"/>
      <c r="E159" s="133"/>
      <c r="F159" s="69"/>
      <c r="G159" s="9"/>
      <c r="H159" s="9"/>
      <c r="I159" s="60" t="str">
        <f t="shared" si="5"/>
        <v/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60" t="str">
        <f t="shared" si="1"/>
        <v/>
      </c>
      <c r="B160" s="9"/>
      <c r="C160" s="9"/>
      <c r="D160" s="133"/>
      <c r="E160" s="133"/>
      <c r="F160" s="69"/>
      <c r="G160" s="9"/>
      <c r="H160" s="9"/>
      <c r="I160" s="60" t="str">
        <f t="shared" si="5"/>
        <v/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60" t="str">
        <f t="shared" si="1"/>
        <v/>
      </c>
      <c r="B161" s="9"/>
      <c r="C161" s="9"/>
      <c r="D161" s="133"/>
      <c r="E161" s="133"/>
      <c r="F161" s="69"/>
      <c r="G161" s="9"/>
      <c r="H161" s="9"/>
      <c r="I161" s="60" t="str">
        <f t="shared" si="5"/>
        <v/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60" t="str">
        <f t="shared" si="1"/>
        <v/>
      </c>
      <c r="B162" s="9"/>
      <c r="C162" s="9"/>
      <c r="D162" s="133"/>
      <c r="E162" s="133"/>
      <c r="F162" s="69"/>
      <c r="G162" s="9"/>
      <c r="H162" s="9"/>
      <c r="I162" s="60" t="str">
        <f t="shared" si="5"/>
        <v/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60" t="str">
        <f t="shared" si="1"/>
        <v/>
      </c>
      <c r="B163" s="9"/>
      <c r="C163" s="9"/>
      <c r="D163" s="133"/>
      <c r="E163" s="133"/>
      <c r="F163" s="69"/>
      <c r="G163" s="9"/>
      <c r="H163" s="9"/>
      <c r="I163" s="60" t="str">
        <f t="shared" si="5"/>
        <v/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60" t="str">
        <f t="shared" si="1"/>
        <v/>
      </c>
      <c r="B164" s="9"/>
      <c r="C164" s="9"/>
      <c r="D164" s="133"/>
      <c r="E164" s="133"/>
      <c r="F164" s="69"/>
      <c r="G164" s="9"/>
      <c r="H164" s="9"/>
      <c r="I164" s="60" t="str">
        <f t="shared" si="5"/>
        <v/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60" t="str">
        <f t="shared" si="1"/>
        <v/>
      </c>
      <c r="B165" s="9"/>
      <c r="C165" s="9"/>
      <c r="D165" s="133"/>
      <c r="E165" s="133"/>
      <c r="F165" s="69"/>
      <c r="G165" s="9"/>
      <c r="H165" s="9"/>
      <c r="I165" s="60" t="str">
        <f t="shared" si="5"/>
        <v/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60" t="str">
        <f t="shared" si="1"/>
        <v/>
      </c>
      <c r="B166" s="9"/>
      <c r="C166" s="9"/>
      <c r="D166" s="133"/>
      <c r="E166" s="133"/>
      <c r="F166" s="69"/>
      <c r="G166" s="9"/>
      <c r="H166" s="9"/>
      <c r="I166" s="60" t="str">
        <f t="shared" si="5"/>
        <v/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60" t="str">
        <f t="shared" si="1"/>
        <v/>
      </c>
      <c r="B167" s="9"/>
      <c r="C167" s="9"/>
      <c r="D167" s="133"/>
      <c r="E167" s="133"/>
      <c r="F167" s="69"/>
      <c r="G167" s="9"/>
      <c r="H167" s="9"/>
      <c r="I167" s="60" t="str">
        <f t="shared" si="5"/>
        <v/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60" t="str">
        <f t="shared" si="1"/>
        <v/>
      </c>
      <c r="B168" s="9"/>
      <c r="C168" s="9"/>
      <c r="D168" s="133"/>
      <c r="E168" s="133"/>
      <c r="F168" s="69"/>
      <c r="G168" s="9"/>
      <c r="H168" s="9"/>
      <c r="I168" s="60" t="str">
        <f t="shared" si="5"/>
        <v/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60" t="str">
        <f t="shared" si="1"/>
        <v/>
      </c>
      <c r="B169" s="9"/>
      <c r="C169" s="9"/>
      <c r="D169" s="133"/>
      <c r="E169" s="133"/>
      <c r="F169" s="69"/>
      <c r="G169" s="9"/>
      <c r="H169" s="9"/>
      <c r="I169" s="60" t="str">
        <f t="shared" si="5"/>
        <v/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60" t="str">
        <f t="shared" si="1"/>
        <v/>
      </c>
      <c r="B170" s="9"/>
      <c r="C170" s="9"/>
      <c r="D170" s="133"/>
      <c r="E170" s="133"/>
      <c r="F170" s="69"/>
      <c r="G170" s="9"/>
      <c r="H170" s="9"/>
      <c r="I170" s="60" t="str">
        <f t="shared" si="5"/>
        <v/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60" t="str">
        <f t="shared" si="1"/>
        <v/>
      </c>
      <c r="B171" s="9"/>
      <c r="C171" s="9"/>
      <c r="D171" s="133"/>
      <c r="E171" s="133"/>
      <c r="F171" s="69"/>
      <c r="G171" s="9"/>
      <c r="H171" s="9"/>
      <c r="I171" s="60" t="str">
        <f t="shared" si="5"/>
        <v/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60" t="str">
        <f t="shared" si="1"/>
        <v/>
      </c>
      <c r="B172" s="9"/>
      <c r="C172" s="9"/>
      <c r="D172" s="133"/>
      <c r="E172" s="133"/>
      <c r="F172" s="69"/>
      <c r="G172" s="9"/>
      <c r="H172" s="9"/>
      <c r="I172" s="60" t="str">
        <f t="shared" si="5"/>
        <v/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60" t="str">
        <f t="shared" si="1"/>
        <v/>
      </c>
      <c r="B173" s="9"/>
      <c r="C173" s="9"/>
      <c r="D173" s="133"/>
      <c r="E173" s="133"/>
      <c r="F173" s="69"/>
      <c r="G173" s="9"/>
      <c r="H173" s="9"/>
      <c r="I173" s="60" t="str">
        <f t="shared" si="5"/>
        <v/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60" t="str">
        <f t="shared" si="1"/>
        <v/>
      </c>
      <c r="B174" s="9"/>
      <c r="C174" s="9"/>
      <c r="D174" s="133"/>
      <c r="E174" s="133"/>
      <c r="F174" s="69"/>
      <c r="G174" s="9"/>
      <c r="H174" s="9"/>
      <c r="I174" s="60" t="str">
        <f t="shared" si="5"/>
        <v/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60" t="str">
        <f t="shared" si="1"/>
        <v/>
      </c>
      <c r="B175" s="9"/>
      <c r="C175" s="9"/>
      <c r="D175" s="133"/>
      <c r="E175" s="133"/>
      <c r="F175" s="69"/>
      <c r="G175" s="9"/>
      <c r="H175" s="9"/>
      <c r="I175" s="60" t="str">
        <f t="shared" si="5"/>
        <v/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60" t="str">
        <f t="shared" si="1"/>
        <v/>
      </c>
      <c r="B176" s="9"/>
      <c r="C176" s="9"/>
      <c r="D176" s="133"/>
      <c r="E176" s="133"/>
      <c r="F176" s="69"/>
      <c r="G176" s="9"/>
      <c r="H176" s="9"/>
      <c r="I176" s="60" t="str">
        <f t="shared" si="5"/>
        <v/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60" t="str">
        <f t="shared" si="1"/>
        <v/>
      </c>
      <c r="B177" s="9"/>
      <c r="C177" s="9"/>
      <c r="D177" s="133"/>
      <c r="E177" s="133"/>
      <c r="F177" s="69"/>
      <c r="G177" s="9"/>
      <c r="H177" s="9"/>
      <c r="I177" s="60" t="str">
        <f t="shared" si="5"/>
        <v/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60" t="str">
        <f t="shared" si="1"/>
        <v/>
      </c>
      <c r="B178" s="9"/>
      <c r="C178" s="9"/>
      <c r="D178" s="133"/>
      <c r="E178" s="133"/>
      <c r="F178" s="69"/>
      <c r="G178" s="9"/>
      <c r="H178" s="9"/>
      <c r="I178" s="60" t="str">
        <f t="shared" si="5"/>
        <v/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60" t="str">
        <f t="shared" si="1"/>
        <v/>
      </c>
      <c r="B179" s="9"/>
      <c r="C179" s="9"/>
      <c r="D179" s="133"/>
      <c r="E179" s="133"/>
      <c r="F179" s="69"/>
      <c r="G179" s="9"/>
      <c r="H179" s="9"/>
      <c r="I179" s="60" t="str">
        <f t="shared" si="5"/>
        <v/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60" t="str">
        <f t="shared" si="1"/>
        <v/>
      </c>
      <c r="B180" s="9"/>
      <c r="C180" s="9"/>
      <c r="D180" s="133"/>
      <c r="E180" s="133"/>
      <c r="F180" s="69"/>
      <c r="G180" s="9"/>
      <c r="H180" s="9"/>
      <c r="I180" s="60" t="str">
        <f t="shared" si="5"/>
        <v/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60" t="str">
        <f t="shared" si="1"/>
        <v/>
      </c>
      <c r="B181" s="9"/>
      <c r="C181" s="9"/>
      <c r="D181" s="133"/>
      <c r="E181" s="133"/>
      <c r="F181" s="69"/>
      <c r="G181" s="9"/>
      <c r="H181" s="9"/>
      <c r="I181" s="60" t="str">
        <f t="shared" si="5"/>
        <v/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60" t="str">
        <f t="shared" si="1"/>
        <v/>
      </c>
      <c r="B182" s="9"/>
      <c r="C182" s="9"/>
      <c r="D182" s="133"/>
      <c r="E182" s="133"/>
      <c r="F182" s="69"/>
      <c r="G182" s="9"/>
      <c r="H182" s="9"/>
      <c r="I182" s="60" t="str">
        <f t="shared" si="5"/>
        <v/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60" t="str">
        <f t="shared" si="1"/>
        <v/>
      </c>
      <c r="B183" s="9"/>
      <c r="C183" s="9"/>
      <c r="D183" s="133"/>
      <c r="E183" s="133"/>
      <c r="F183" s="69"/>
      <c r="G183" s="9"/>
      <c r="H183" s="9"/>
      <c r="I183" s="60" t="str">
        <f t="shared" si="5"/>
        <v/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60" t="str">
        <f t="shared" si="1"/>
        <v/>
      </c>
      <c r="B184" s="9"/>
      <c r="C184" s="9"/>
      <c r="D184" s="133"/>
      <c r="E184" s="133"/>
      <c r="F184" s="69"/>
      <c r="G184" s="9"/>
      <c r="H184" s="9"/>
      <c r="I184" s="60" t="str">
        <f t="shared" si="5"/>
        <v/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60" t="str">
        <f t="shared" si="1"/>
        <v/>
      </c>
      <c r="B185" s="9"/>
      <c r="C185" s="9"/>
      <c r="D185" s="133"/>
      <c r="E185" s="133"/>
      <c r="F185" s="69"/>
      <c r="G185" s="9"/>
      <c r="H185" s="9"/>
      <c r="I185" s="60" t="str">
        <f t="shared" si="5"/>
        <v/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60" t="str">
        <f t="shared" si="1"/>
        <v/>
      </c>
      <c r="B186" s="9"/>
      <c r="C186" s="9"/>
      <c r="D186" s="133"/>
      <c r="E186" s="133"/>
      <c r="F186" s="69"/>
      <c r="G186" s="9"/>
      <c r="H186" s="9"/>
      <c r="I186" s="60" t="str">
        <f t="shared" si="5"/>
        <v/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60" t="str">
        <f t="shared" si="1"/>
        <v/>
      </c>
      <c r="B187" s="9"/>
      <c r="C187" s="9"/>
      <c r="D187" s="133"/>
      <c r="E187" s="133"/>
      <c r="F187" s="69"/>
      <c r="G187" s="9"/>
      <c r="H187" s="9"/>
      <c r="I187" s="60" t="str">
        <f t="shared" si="5"/>
        <v/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60" t="str">
        <f t="shared" si="1"/>
        <v/>
      </c>
      <c r="B188" s="9"/>
      <c r="C188" s="9"/>
      <c r="D188" s="133"/>
      <c r="E188" s="133"/>
      <c r="F188" s="69"/>
      <c r="G188" s="9"/>
      <c r="H188" s="9"/>
      <c r="I188" s="60" t="str">
        <f t="shared" si="5"/>
        <v/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60" t="str">
        <f t="shared" si="1"/>
        <v/>
      </c>
      <c r="B189" s="9"/>
      <c r="C189" s="9"/>
      <c r="D189" s="133"/>
      <c r="E189" s="133"/>
      <c r="F189" s="69"/>
      <c r="G189" s="9"/>
      <c r="H189" s="9"/>
      <c r="I189" s="60" t="str">
        <f t="shared" si="5"/>
        <v/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60" t="str">
        <f t="shared" si="1"/>
        <v/>
      </c>
      <c r="B190" s="9"/>
      <c r="C190" s="9"/>
      <c r="D190" s="133"/>
      <c r="E190" s="133"/>
      <c r="F190" s="69"/>
      <c r="G190" s="9"/>
      <c r="H190" s="9"/>
      <c r="I190" s="60" t="str">
        <f t="shared" si="5"/>
        <v/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60" t="str">
        <f t="shared" si="1"/>
        <v/>
      </c>
      <c r="B191" s="9"/>
      <c r="C191" s="9"/>
      <c r="D191" s="133"/>
      <c r="E191" s="133"/>
      <c r="F191" s="69"/>
      <c r="G191" s="9"/>
      <c r="H191" s="9"/>
      <c r="I191" s="60" t="str">
        <f t="shared" si="5"/>
        <v/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60" t="str">
        <f t="shared" si="1"/>
        <v/>
      </c>
      <c r="B192" s="9"/>
      <c r="C192" s="9"/>
      <c r="D192" s="133"/>
      <c r="E192" s="133"/>
      <c r="F192" s="69"/>
      <c r="G192" s="9"/>
      <c r="H192" s="9"/>
      <c r="I192" s="60" t="str">
        <f t="shared" si="5"/>
        <v/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60" t="str">
        <f t="shared" si="1"/>
        <v/>
      </c>
      <c r="B193" s="9"/>
      <c r="C193" s="9"/>
      <c r="D193" s="133"/>
      <c r="E193" s="133"/>
      <c r="F193" s="69"/>
      <c r="G193" s="9"/>
      <c r="H193" s="9"/>
      <c r="I193" s="60" t="str">
        <f t="shared" si="5"/>
        <v/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60" t="str">
        <f t="shared" si="1"/>
        <v/>
      </c>
      <c r="B194" s="9"/>
      <c r="C194" s="9"/>
      <c r="D194" s="133"/>
      <c r="E194" s="133"/>
      <c r="F194" s="69"/>
      <c r="G194" s="9"/>
      <c r="H194" s="9"/>
      <c r="I194" s="60" t="str">
        <f t="shared" si="5"/>
        <v/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60" t="str">
        <f t="shared" si="1"/>
        <v/>
      </c>
      <c r="B195" s="9"/>
      <c r="C195" s="9"/>
      <c r="D195" s="133"/>
      <c r="E195" s="133"/>
      <c r="F195" s="69"/>
      <c r="G195" s="9"/>
      <c r="H195" s="9"/>
      <c r="I195" s="60" t="str">
        <f t="shared" si="5"/>
        <v/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60" t="str">
        <f t="shared" si="1"/>
        <v/>
      </c>
      <c r="B196" s="9"/>
      <c r="C196" s="9"/>
      <c r="D196" s="133"/>
      <c r="E196" s="133"/>
      <c r="F196" s="69"/>
      <c r="G196" s="9"/>
      <c r="H196" s="9"/>
      <c r="I196" s="60" t="str">
        <f t="shared" si="5"/>
        <v/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60" t="str">
        <f t="shared" si="1"/>
        <v/>
      </c>
      <c r="B197" s="9"/>
      <c r="C197" s="9"/>
      <c r="D197" s="133"/>
      <c r="E197" s="133"/>
      <c r="F197" s="69"/>
      <c r="G197" s="9"/>
      <c r="H197" s="9"/>
      <c r="I197" s="60" t="str">
        <f t="shared" si="5"/>
        <v/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60" t="str">
        <f t="shared" si="1"/>
        <v/>
      </c>
      <c r="B198" s="9"/>
      <c r="C198" s="9"/>
      <c r="D198" s="133"/>
      <c r="E198" s="133"/>
      <c r="F198" s="69"/>
      <c r="G198" s="9"/>
      <c r="H198" s="9"/>
      <c r="I198" s="60" t="str">
        <f t="shared" si="5"/>
        <v/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60" t="str">
        <f t="shared" si="1"/>
        <v/>
      </c>
      <c r="B199" s="9"/>
      <c r="C199" s="9"/>
      <c r="D199" s="133"/>
      <c r="E199" s="133"/>
      <c r="F199" s="69"/>
      <c r="G199" s="9"/>
      <c r="H199" s="9"/>
      <c r="I199" s="60" t="str">
        <f t="shared" si="5"/>
        <v/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60" t="str">
        <f t="shared" si="1"/>
        <v/>
      </c>
      <c r="B200" s="9"/>
      <c r="C200" s="9"/>
      <c r="D200" s="133"/>
      <c r="E200" s="133"/>
      <c r="F200" s="69"/>
      <c r="G200" s="9"/>
      <c r="H200" s="9"/>
      <c r="I200" s="60" t="str">
        <f t="shared" si="5"/>
        <v/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60" t="str">
        <f t="shared" si="1"/>
        <v/>
      </c>
      <c r="B201" s="9"/>
      <c r="C201" s="9"/>
      <c r="D201" s="133"/>
      <c r="E201" s="133"/>
      <c r="F201" s="69"/>
      <c r="G201" s="9"/>
      <c r="H201" s="9"/>
      <c r="I201" s="60" t="str">
        <f t="shared" si="5"/>
        <v/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60" t="str">
        <f t="shared" si="1"/>
        <v/>
      </c>
      <c r="B202" s="9"/>
      <c r="C202" s="9"/>
      <c r="D202" s="133"/>
      <c r="E202" s="133"/>
      <c r="F202" s="69"/>
      <c r="G202" s="9"/>
      <c r="H202" s="9"/>
      <c r="I202" s="60" t="str">
        <f t="shared" si="5"/>
        <v/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60" t="str">
        <f t="shared" si="1"/>
        <v/>
      </c>
      <c r="B203" s="9"/>
      <c r="C203" s="9"/>
      <c r="D203" s="133"/>
      <c r="E203" s="133"/>
      <c r="F203" s="69"/>
      <c r="G203" s="9"/>
      <c r="H203" s="9"/>
      <c r="I203" s="60" t="str">
        <f t="shared" si="5"/>
        <v/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60" t="str">
        <f t="shared" si="1"/>
        <v/>
      </c>
      <c r="B204" s="9"/>
      <c r="C204" s="9"/>
      <c r="D204" s="133"/>
      <c r="E204" s="133"/>
      <c r="F204" s="69"/>
      <c r="G204" s="9"/>
      <c r="H204" s="9"/>
      <c r="I204" s="60" t="str">
        <f t="shared" si="5"/>
        <v/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60" t="str">
        <f t="shared" si="1"/>
        <v/>
      </c>
      <c r="B205" s="9"/>
      <c r="C205" s="9"/>
      <c r="D205" s="133"/>
      <c r="E205" s="133"/>
      <c r="F205" s="69"/>
      <c r="G205" s="9"/>
      <c r="H205" s="9"/>
      <c r="I205" s="60" t="str">
        <f t="shared" si="5"/>
        <v/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60" t="str">
        <f t="shared" si="1"/>
        <v/>
      </c>
      <c r="B206" s="9"/>
      <c r="C206" s="9"/>
      <c r="D206" s="133"/>
      <c r="E206" s="133"/>
      <c r="F206" s="69"/>
      <c r="G206" s="9"/>
      <c r="H206" s="9"/>
      <c r="I206" s="60" t="str">
        <f t="shared" si="5"/>
        <v/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60" t="str">
        <f t="shared" si="1"/>
        <v/>
      </c>
      <c r="B207" s="9"/>
      <c r="C207" s="9"/>
      <c r="D207" s="133"/>
      <c r="E207" s="133"/>
      <c r="F207" s="69"/>
      <c r="G207" s="9"/>
      <c r="H207" s="9"/>
      <c r="I207" s="60" t="str">
        <f t="shared" si="5"/>
        <v/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60" t="str">
        <f t="shared" si="1"/>
        <v/>
      </c>
      <c r="B208" s="9"/>
      <c r="C208" s="9"/>
      <c r="D208" s="133"/>
      <c r="E208" s="133"/>
      <c r="F208" s="69"/>
      <c r="G208" s="9"/>
      <c r="H208" s="9"/>
      <c r="I208" s="60" t="str">
        <f t="shared" si="5"/>
        <v/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60" t="str">
        <f t="shared" si="1"/>
        <v/>
      </c>
      <c r="B209" s="9"/>
      <c r="C209" s="9"/>
      <c r="D209" s="133"/>
      <c r="E209" s="133"/>
      <c r="F209" s="69"/>
      <c r="G209" s="9"/>
      <c r="H209" s="9"/>
      <c r="I209" s="60" t="str">
        <f t="shared" si="5"/>
        <v/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60" t="str">
        <f t="shared" si="1"/>
        <v/>
      </c>
      <c r="B210" s="9"/>
      <c r="C210" s="9"/>
      <c r="D210" s="133"/>
      <c r="E210" s="133"/>
      <c r="F210" s="69"/>
      <c r="G210" s="9"/>
      <c r="H210" s="9"/>
      <c r="I210" s="60" t="str">
        <f t="shared" si="5"/>
        <v/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60" t="str">
        <f t="shared" si="1"/>
        <v/>
      </c>
      <c r="B211" s="9"/>
      <c r="C211" s="9"/>
      <c r="D211" s="133"/>
      <c r="E211" s="133"/>
      <c r="F211" s="69"/>
      <c r="G211" s="9"/>
      <c r="H211" s="9"/>
      <c r="I211" s="60" t="str">
        <f t="shared" si="5"/>
        <v/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60" t="str">
        <f t="shared" si="1"/>
        <v/>
      </c>
      <c r="B212" s="9"/>
      <c r="C212" s="9"/>
      <c r="D212" s="133"/>
      <c r="E212" s="133"/>
      <c r="F212" s="69"/>
      <c r="G212" s="9"/>
      <c r="H212" s="9"/>
      <c r="I212" s="60" t="str">
        <f t="shared" si="5"/>
        <v/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60" t="str">
        <f t="shared" si="1"/>
        <v/>
      </c>
      <c r="B213" s="9"/>
      <c r="C213" s="9"/>
      <c r="D213" s="133"/>
      <c r="E213" s="133"/>
      <c r="F213" s="69"/>
      <c r="G213" s="9"/>
      <c r="H213" s="9"/>
      <c r="I213" s="60" t="str">
        <f t="shared" si="5"/>
        <v/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60" t="str">
        <f t="shared" si="1"/>
        <v/>
      </c>
      <c r="B214" s="9"/>
      <c r="C214" s="9"/>
      <c r="D214" s="133"/>
      <c r="E214" s="133"/>
      <c r="F214" s="69"/>
      <c r="G214" s="9"/>
      <c r="H214" s="9"/>
      <c r="I214" s="60" t="str">
        <f t="shared" si="5"/>
        <v/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60" t="str">
        <f t="shared" si="1"/>
        <v/>
      </c>
      <c r="B215" s="9"/>
      <c r="C215" s="9"/>
      <c r="D215" s="133"/>
      <c r="E215" s="133"/>
      <c r="F215" s="69"/>
      <c r="G215" s="9"/>
      <c r="H215" s="9"/>
      <c r="I215" s="60" t="str">
        <f t="shared" si="5"/>
        <v/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60" t="str">
        <f t="shared" si="1"/>
        <v/>
      </c>
      <c r="B216" s="9"/>
      <c r="C216" s="9"/>
      <c r="D216" s="133"/>
      <c r="E216" s="133"/>
      <c r="F216" s="69"/>
      <c r="G216" s="9"/>
      <c r="H216" s="9"/>
      <c r="I216" s="60" t="str">
        <f t="shared" si="5"/>
        <v/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60" t="str">
        <f t="shared" si="1"/>
        <v/>
      </c>
      <c r="B217" s="9"/>
      <c r="C217" s="9"/>
      <c r="D217" s="133"/>
      <c r="E217" s="133"/>
      <c r="F217" s="69"/>
      <c r="G217" s="9"/>
      <c r="H217" s="9"/>
      <c r="I217" s="60" t="str">
        <f t="shared" si="5"/>
        <v/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60" t="str">
        <f t="shared" si="1"/>
        <v/>
      </c>
      <c r="B218" s="9"/>
      <c r="C218" s="9"/>
      <c r="D218" s="133"/>
      <c r="E218" s="133"/>
      <c r="F218" s="69"/>
      <c r="G218" s="9"/>
      <c r="H218" s="9"/>
      <c r="I218" s="60" t="str">
        <f t="shared" si="5"/>
        <v/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60" t="str">
        <f t="shared" si="1"/>
        <v/>
      </c>
      <c r="B219" s="9"/>
      <c r="C219" s="9"/>
      <c r="D219" s="133"/>
      <c r="E219" s="133"/>
      <c r="F219" s="69"/>
      <c r="G219" s="9"/>
      <c r="H219" s="9"/>
      <c r="I219" s="60" t="str">
        <f t="shared" si="5"/>
        <v/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60" t="str">
        <f t="shared" si="1"/>
        <v/>
      </c>
      <c r="B220" s="9"/>
      <c r="C220" s="9"/>
      <c r="D220" s="133"/>
      <c r="E220" s="133"/>
      <c r="F220" s="69"/>
      <c r="G220" s="9"/>
      <c r="H220" s="9"/>
      <c r="I220" s="60" t="str">
        <f t="shared" si="5"/>
        <v/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60" t="str">
        <f t="shared" si="1"/>
        <v/>
      </c>
      <c r="B221" s="9"/>
      <c r="C221" s="9"/>
      <c r="D221" s="133"/>
      <c r="E221" s="133"/>
      <c r="F221" s="69"/>
      <c r="G221" s="9"/>
      <c r="H221" s="9"/>
      <c r="I221" s="60" t="str">
        <f t="shared" si="5"/>
        <v/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60" t="str">
        <f t="shared" si="1"/>
        <v/>
      </c>
      <c r="B222" s="9"/>
      <c r="C222" s="9"/>
      <c r="D222" s="133"/>
      <c r="E222" s="133"/>
      <c r="F222" s="69"/>
      <c r="G222" s="9"/>
      <c r="H222" s="9"/>
      <c r="I222" s="60" t="str">
        <f t="shared" si="5"/>
        <v/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60" t="str">
        <f t="shared" si="1"/>
        <v/>
      </c>
      <c r="B223" s="9"/>
      <c r="C223" s="9"/>
      <c r="D223" s="133"/>
      <c r="E223" s="133"/>
      <c r="F223" s="69"/>
      <c r="G223" s="9"/>
      <c r="H223" s="9"/>
      <c r="I223" s="60" t="str">
        <f t="shared" si="5"/>
        <v/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60" t="str">
        <f t="shared" si="1"/>
        <v/>
      </c>
      <c r="B224" s="9"/>
      <c r="C224" s="9"/>
      <c r="D224" s="133"/>
      <c r="E224" s="133"/>
      <c r="F224" s="69"/>
      <c r="G224" s="9"/>
      <c r="H224" s="9"/>
      <c r="I224" s="60" t="str">
        <f t="shared" si="5"/>
        <v/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60" t="str">
        <f t="shared" si="1"/>
        <v/>
      </c>
      <c r="B225" s="9"/>
      <c r="C225" s="9"/>
      <c r="D225" s="133"/>
      <c r="E225" s="133"/>
      <c r="F225" s="69"/>
      <c r="G225" s="9"/>
      <c r="H225" s="9"/>
      <c r="I225" s="60" t="str">
        <f t="shared" si="5"/>
        <v/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60" t="str">
        <f t="shared" si="1"/>
        <v/>
      </c>
      <c r="B226" s="9"/>
      <c r="C226" s="9"/>
      <c r="D226" s="133"/>
      <c r="E226" s="133"/>
      <c r="F226" s="69"/>
      <c r="G226" s="9"/>
      <c r="H226" s="9"/>
      <c r="I226" s="60" t="str">
        <f t="shared" si="5"/>
        <v/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60" t="str">
        <f t="shared" si="1"/>
        <v/>
      </c>
      <c r="B227" s="9"/>
      <c r="C227" s="9"/>
      <c r="D227" s="133"/>
      <c r="E227" s="133"/>
      <c r="F227" s="69"/>
      <c r="G227" s="9"/>
      <c r="H227" s="9"/>
      <c r="I227" s="60" t="str">
        <f t="shared" si="5"/>
        <v/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60" t="str">
        <f t="shared" si="1"/>
        <v/>
      </c>
      <c r="B228" s="9"/>
      <c r="C228" s="9"/>
      <c r="D228" s="133"/>
      <c r="E228" s="133"/>
      <c r="F228" s="69"/>
      <c r="G228" s="9"/>
      <c r="H228" s="9"/>
      <c r="I228" s="60" t="str">
        <f t="shared" si="5"/>
        <v/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60" t="str">
        <f t="shared" si="1"/>
        <v/>
      </c>
      <c r="B229" s="9"/>
      <c r="C229" s="9"/>
      <c r="D229" s="133"/>
      <c r="E229" s="133"/>
      <c r="F229" s="69"/>
      <c r="G229" s="9"/>
      <c r="H229" s="9"/>
      <c r="I229" s="60" t="str">
        <f t="shared" si="5"/>
        <v/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60" t="str">
        <f t="shared" si="1"/>
        <v/>
      </c>
      <c r="B230" s="9"/>
      <c r="C230" s="9"/>
      <c r="D230" s="133"/>
      <c r="E230" s="133"/>
      <c r="F230" s="69"/>
      <c r="G230" s="9"/>
      <c r="H230" s="9"/>
      <c r="I230" s="60" t="str">
        <f t="shared" si="5"/>
        <v/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60" t="str">
        <f t="shared" si="1"/>
        <v/>
      </c>
      <c r="B231" s="9"/>
      <c r="C231" s="9"/>
      <c r="D231" s="133"/>
      <c r="E231" s="133"/>
      <c r="F231" s="69"/>
      <c r="G231" s="9"/>
      <c r="H231" s="9"/>
      <c r="I231" s="60" t="str">
        <f t="shared" si="5"/>
        <v/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60" t="str">
        <f t="shared" si="1"/>
        <v/>
      </c>
      <c r="B232" s="9"/>
      <c r="C232" s="9"/>
      <c r="D232" s="133"/>
      <c r="E232" s="133"/>
      <c r="F232" s="69"/>
      <c r="G232" s="9"/>
      <c r="H232" s="9"/>
      <c r="I232" s="60" t="str">
        <f t="shared" si="5"/>
        <v/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60" t="str">
        <f t="shared" si="1"/>
        <v/>
      </c>
      <c r="B233" s="9"/>
      <c r="C233" s="9"/>
      <c r="D233" s="133"/>
      <c r="E233" s="133"/>
      <c r="F233" s="69"/>
      <c r="G233" s="9"/>
      <c r="H233" s="9"/>
      <c r="I233" s="60" t="str">
        <f t="shared" si="5"/>
        <v/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60" t="str">
        <f t="shared" si="1"/>
        <v/>
      </c>
      <c r="B234" s="9"/>
      <c r="C234" s="9"/>
      <c r="D234" s="133"/>
      <c r="E234" s="133"/>
      <c r="F234" s="69"/>
      <c r="G234" s="9"/>
      <c r="H234" s="9"/>
      <c r="I234" s="60" t="str">
        <f t="shared" si="5"/>
        <v/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60" t="str">
        <f t="shared" si="1"/>
        <v/>
      </c>
      <c r="B235" s="9"/>
      <c r="C235" s="9"/>
      <c r="D235" s="133"/>
      <c r="E235" s="133"/>
      <c r="F235" s="69"/>
      <c r="G235" s="9"/>
      <c r="H235" s="9"/>
      <c r="I235" s="60" t="str">
        <f t="shared" si="5"/>
        <v/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60" t="str">
        <f t="shared" si="1"/>
        <v/>
      </c>
      <c r="B236" s="9"/>
      <c r="C236" s="9"/>
      <c r="D236" s="133"/>
      <c r="E236" s="133"/>
      <c r="F236" s="69"/>
      <c r="G236" s="9"/>
      <c r="H236" s="9"/>
      <c r="I236" s="60" t="str">
        <f t="shared" si="5"/>
        <v/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60" t="str">
        <f t="shared" si="1"/>
        <v/>
      </c>
      <c r="B237" s="9"/>
      <c r="C237" s="9"/>
      <c r="D237" s="133"/>
      <c r="E237" s="133"/>
      <c r="F237" s="69"/>
      <c r="G237" s="9"/>
      <c r="H237" s="9"/>
      <c r="I237" s="60" t="str">
        <f t="shared" si="5"/>
        <v/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60" t="str">
        <f t="shared" si="1"/>
        <v/>
      </c>
      <c r="B238" s="9"/>
      <c r="C238" s="9"/>
      <c r="D238" s="133"/>
      <c r="E238" s="133"/>
      <c r="F238" s="69"/>
      <c r="G238" s="9"/>
      <c r="H238" s="9"/>
      <c r="I238" s="60" t="str">
        <f t="shared" si="5"/>
        <v/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60" t="str">
        <f t="shared" si="1"/>
        <v/>
      </c>
      <c r="B239" s="9"/>
      <c r="C239" s="9"/>
      <c r="D239" s="133"/>
      <c r="E239" s="133"/>
      <c r="F239" s="69"/>
      <c r="G239" s="9"/>
      <c r="H239" s="9"/>
      <c r="I239" s="60" t="str">
        <f t="shared" si="5"/>
        <v/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60" t="str">
        <f t="shared" si="1"/>
        <v/>
      </c>
      <c r="B240" s="9"/>
      <c r="C240" s="9"/>
      <c r="D240" s="133"/>
      <c r="E240" s="133"/>
      <c r="F240" s="69"/>
      <c r="G240" s="9"/>
      <c r="H240" s="9"/>
      <c r="I240" s="60" t="str">
        <f t="shared" si="5"/>
        <v/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60" t="str">
        <f t="shared" si="1"/>
        <v/>
      </c>
      <c r="B241" s="9"/>
      <c r="C241" s="9"/>
      <c r="D241" s="133"/>
      <c r="E241" s="133"/>
      <c r="F241" s="69"/>
      <c r="G241" s="9"/>
      <c r="H241" s="9"/>
      <c r="I241" s="60" t="str">
        <f t="shared" si="5"/>
        <v/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60" t="str">
        <f t="shared" si="1"/>
        <v/>
      </c>
      <c r="B242" s="9"/>
      <c r="C242" s="9"/>
      <c r="D242" s="133"/>
      <c r="E242" s="133"/>
      <c r="F242" s="69"/>
      <c r="G242" s="9"/>
      <c r="H242" s="9"/>
      <c r="I242" s="60" t="str">
        <f t="shared" si="5"/>
        <v/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60" t="str">
        <f t="shared" si="1"/>
        <v/>
      </c>
      <c r="B243" s="9"/>
      <c r="C243" s="9"/>
      <c r="D243" s="133"/>
      <c r="E243" s="133"/>
      <c r="F243" s="69"/>
      <c r="G243" s="9"/>
      <c r="H243" s="9"/>
      <c r="I243" s="60" t="str">
        <f t="shared" si="5"/>
        <v/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60" t="str">
        <f t="shared" si="1"/>
        <v/>
      </c>
      <c r="B244" s="9"/>
      <c r="C244" s="9"/>
      <c r="D244" s="133"/>
      <c r="E244" s="133"/>
      <c r="F244" s="69"/>
      <c r="G244" s="9"/>
      <c r="H244" s="9"/>
      <c r="I244" s="60" t="str">
        <f t="shared" si="5"/>
        <v/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60" t="str">
        <f t="shared" si="1"/>
        <v/>
      </c>
      <c r="B245" s="9"/>
      <c r="C245" s="9"/>
      <c r="D245" s="133"/>
      <c r="E245" s="133"/>
      <c r="F245" s="69"/>
      <c r="G245" s="9"/>
      <c r="H245" s="9"/>
      <c r="I245" s="60" t="str">
        <f t="shared" si="5"/>
        <v/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60" t="str">
        <f t="shared" si="1"/>
        <v/>
      </c>
      <c r="B246" s="9"/>
      <c r="C246" s="9"/>
      <c r="D246" s="133"/>
      <c r="E246" s="133"/>
      <c r="F246" s="69"/>
      <c r="G246" s="9"/>
      <c r="H246" s="9"/>
      <c r="I246" s="60" t="str">
        <f t="shared" si="5"/>
        <v/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60" t="str">
        <f t="shared" si="1"/>
        <v/>
      </c>
      <c r="B247" s="9"/>
      <c r="C247" s="9"/>
      <c r="D247" s="133"/>
      <c r="E247" s="133"/>
      <c r="F247" s="69"/>
      <c r="G247" s="9"/>
      <c r="H247" s="9"/>
      <c r="I247" s="60" t="str">
        <f t="shared" si="5"/>
        <v/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60" t="str">
        <f t="shared" si="1"/>
        <v/>
      </c>
      <c r="B248" s="9"/>
      <c r="C248" s="9"/>
      <c r="D248" s="133"/>
      <c r="E248" s="133"/>
      <c r="F248" s="69"/>
      <c r="G248" s="9"/>
      <c r="H248" s="9"/>
      <c r="I248" s="60" t="str">
        <f t="shared" si="5"/>
        <v/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60" t="str">
        <f t="shared" si="1"/>
        <v/>
      </c>
      <c r="B249" s="9"/>
      <c r="C249" s="9"/>
      <c r="D249" s="133"/>
      <c r="E249" s="133"/>
      <c r="F249" s="69"/>
      <c r="G249" s="9"/>
      <c r="H249" s="9"/>
      <c r="I249" s="60" t="str">
        <f t="shared" si="5"/>
        <v/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60" t="str">
        <f t="shared" si="1"/>
        <v/>
      </c>
      <c r="B250" s="9"/>
      <c r="C250" s="9"/>
      <c r="D250" s="133"/>
      <c r="E250" s="133"/>
      <c r="F250" s="69"/>
      <c r="G250" s="9"/>
      <c r="H250" s="9"/>
      <c r="I250" s="60" t="str">
        <f t="shared" si="5"/>
        <v/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60" t="str">
        <f t="shared" si="1"/>
        <v/>
      </c>
      <c r="B251" s="9"/>
      <c r="C251" s="9"/>
      <c r="D251" s="133"/>
      <c r="E251" s="133"/>
      <c r="F251" s="69"/>
      <c r="G251" s="9"/>
      <c r="H251" s="9"/>
      <c r="I251" s="60" t="str">
        <f t="shared" si="5"/>
        <v/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60" t="str">
        <f t="shared" si="1"/>
        <v/>
      </c>
      <c r="B252" s="9"/>
      <c r="C252" s="9"/>
      <c r="D252" s="133"/>
      <c r="E252" s="133"/>
      <c r="F252" s="69"/>
      <c r="G252" s="9"/>
      <c r="H252" s="9"/>
      <c r="I252" s="60" t="str">
        <f t="shared" si="5"/>
        <v/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60" t="str">
        <f t="shared" si="1"/>
        <v/>
      </c>
      <c r="B253" s="9"/>
      <c r="C253" s="9"/>
      <c r="D253" s="133"/>
      <c r="E253" s="133"/>
      <c r="F253" s="69"/>
      <c r="G253" s="9"/>
      <c r="H253" s="9"/>
      <c r="I253" s="60" t="str">
        <f t="shared" si="5"/>
        <v/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60" t="str">
        <f t="shared" si="1"/>
        <v/>
      </c>
      <c r="B254" s="9"/>
      <c r="C254" s="9"/>
      <c r="D254" s="133"/>
      <c r="E254" s="133"/>
      <c r="F254" s="69"/>
      <c r="G254" s="9"/>
      <c r="H254" s="9"/>
      <c r="I254" s="60" t="str">
        <f t="shared" si="5"/>
        <v/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60" t="str">
        <f t="shared" si="1"/>
        <v/>
      </c>
      <c r="B255" s="9"/>
      <c r="C255" s="9"/>
      <c r="D255" s="133"/>
      <c r="E255" s="133"/>
      <c r="F255" s="69"/>
      <c r="G255" s="9"/>
      <c r="H255" s="9"/>
      <c r="I255" s="60" t="str">
        <f t="shared" si="5"/>
        <v/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60" t="str">
        <f t="shared" si="1"/>
        <v/>
      </c>
      <c r="B256" s="9"/>
      <c r="C256" s="9"/>
      <c r="D256" s="133"/>
      <c r="E256" s="133"/>
      <c r="F256" s="69"/>
      <c r="G256" s="9"/>
      <c r="H256" s="9"/>
      <c r="I256" s="60" t="str">
        <f t="shared" si="5"/>
        <v/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60" t="str">
        <f t="shared" si="1"/>
        <v/>
      </c>
      <c r="B257" s="9"/>
      <c r="C257" s="9"/>
      <c r="D257" s="133"/>
      <c r="E257" s="133"/>
      <c r="F257" s="69"/>
      <c r="G257" s="9"/>
      <c r="H257" s="9"/>
      <c r="I257" s="60" t="str">
        <f t="shared" si="5"/>
        <v/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60" t="str">
        <f t="shared" si="1"/>
        <v/>
      </c>
      <c r="B258" s="9"/>
      <c r="C258" s="9"/>
      <c r="D258" s="133"/>
      <c r="E258" s="133"/>
      <c r="F258" s="69"/>
      <c r="G258" s="9"/>
      <c r="H258" s="9"/>
      <c r="I258" s="60" t="str">
        <f t="shared" si="5"/>
        <v/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60" t="str">
        <f t="shared" si="1"/>
        <v/>
      </c>
      <c r="B259" s="9"/>
      <c r="C259" s="9"/>
      <c r="D259" s="133"/>
      <c r="E259" s="133"/>
      <c r="F259" s="69"/>
      <c r="G259" s="9"/>
      <c r="H259" s="9"/>
      <c r="I259" s="60" t="str">
        <f t="shared" si="5"/>
        <v/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60" t="str">
        <f t="shared" si="1"/>
        <v/>
      </c>
      <c r="B260" s="9"/>
      <c r="C260" s="9"/>
      <c r="D260" s="133"/>
      <c r="E260" s="133"/>
      <c r="F260" s="69"/>
      <c r="G260" s="9"/>
      <c r="H260" s="9"/>
      <c r="I260" s="60" t="str">
        <f t="shared" si="5"/>
        <v/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60" t="str">
        <f t="shared" si="1"/>
        <v/>
      </c>
      <c r="B261" s="9"/>
      <c r="C261" s="9"/>
      <c r="D261" s="133"/>
      <c r="E261" s="133"/>
      <c r="F261" s="69"/>
      <c r="G261" s="9"/>
      <c r="H261" s="9"/>
      <c r="I261" s="60" t="str">
        <f t="shared" si="5"/>
        <v/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60" t="str">
        <f t="shared" si="1"/>
        <v/>
      </c>
      <c r="B262" s="9"/>
      <c r="C262" s="9"/>
      <c r="D262" s="133"/>
      <c r="E262" s="133"/>
      <c r="F262" s="69"/>
      <c r="G262" s="9"/>
      <c r="H262" s="9"/>
      <c r="I262" s="60" t="str">
        <f t="shared" si="5"/>
        <v/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60" t="str">
        <f t="shared" si="1"/>
        <v/>
      </c>
      <c r="B263" s="9"/>
      <c r="C263" s="9"/>
      <c r="D263" s="133"/>
      <c r="E263" s="133"/>
      <c r="F263" s="69"/>
      <c r="G263" s="9"/>
      <c r="H263" s="9"/>
      <c r="I263" s="60" t="str">
        <f t="shared" si="5"/>
        <v/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60" t="str">
        <f t="shared" si="1"/>
        <v/>
      </c>
      <c r="B264" s="9"/>
      <c r="C264" s="9"/>
      <c r="D264" s="133"/>
      <c r="E264" s="133"/>
      <c r="F264" s="69"/>
      <c r="G264" s="9"/>
      <c r="H264" s="9"/>
      <c r="I264" s="60" t="str">
        <f t="shared" si="5"/>
        <v/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60" t="str">
        <f t="shared" si="1"/>
        <v/>
      </c>
      <c r="B265" s="9"/>
      <c r="C265" s="9"/>
      <c r="D265" s="133"/>
      <c r="E265" s="133"/>
      <c r="F265" s="69"/>
      <c r="G265" s="9"/>
      <c r="H265" s="9"/>
      <c r="I265" s="60" t="str">
        <f t="shared" si="5"/>
        <v/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60" t="str">
        <f t="shared" si="1"/>
        <v/>
      </c>
      <c r="B266" s="9"/>
      <c r="C266" s="9"/>
      <c r="D266" s="133"/>
      <c r="E266" s="133"/>
      <c r="F266" s="69"/>
      <c r="G266" s="9"/>
      <c r="H266" s="9"/>
      <c r="I266" s="60" t="str">
        <f t="shared" si="5"/>
        <v/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60" t="str">
        <f t="shared" si="1"/>
        <v/>
      </c>
      <c r="B267" s="9"/>
      <c r="C267" s="9"/>
      <c r="D267" s="133"/>
      <c r="E267" s="133"/>
      <c r="F267" s="69"/>
      <c r="G267" s="9"/>
      <c r="H267" s="9"/>
      <c r="I267" s="60" t="str">
        <f t="shared" si="5"/>
        <v/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60" t="str">
        <f t="shared" si="1"/>
        <v/>
      </c>
      <c r="B268" s="9"/>
      <c r="C268" s="9"/>
      <c r="D268" s="133"/>
      <c r="E268" s="133"/>
      <c r="F268" s="69"/>
      <c r="G268" s="9"/>
      <c r="H268" s="9"/>
      <c r="I268" s="60" t="str">
        <f t="shared" si="5"/>
        <v/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60" t="str">
        <f t="shared" si="1"/>
        <v/>
      </c>
      <c r="B269" s="9"/>
      <c r="C269" s="9"/>
      <c r="D269" s="133"/>
      <c r="E269" s="133"/>
      <c r="F269" s="69"/>
      <c r="G269" s="9"/>
      <c r="H269" s="9"/>
      <c r="I269" s="60" t="str">
        <f t="shared" si="5"/>
        <v/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60" t="str">
        <f t="shared" si="1"/>
        <v/>
      </c>
      <c r="B270" s="9"/>
      <c r="C270" s="9"/>
      <c r="D270" s="133"/>
      <c r="E270" s="133"/>
      <c r="F270" s="69"/>
      <c r="G270" s="9"/>
      <c r="H270" s="9"/>
      <c r="I270" s="60" t="str">
        <f t="shared" si="5"/>
        <v/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60" t="str">
        <f t="shared" si="1"/>
        <v/>
      </c>
      <c r="B271" s="9"/>
      <c r="C271" s="9"/>
      <c r="D271" s="133"/>
      <c r="E271" s="133"/>
      <c r="F271" s="69"/>
      <c r="G271" s="9"/>
      <c r="H271" s="9"/>
      <c r="I271" s="60" t="str">
        <f t="shared" si="5"/>
        <v/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60" t="str">
        <f t="shared" si="1"/>
        <v/>
      </c>
      <c r="B272" s="9"/>
      <c r="C272" s="9"/>
      <c r="D272" s="133"/>
      <c r="E272" s="133"/>
      <c r="F272" s="69"/>
      <c r="G272" s="9"/>
      <c r="H272" s="9"/>
      <c r="I272" s="60" t="str">
        <f t="shared" si="5"/>
        <v/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60" t="str">
        <f t="shared" si="1"/>
        <v/>
      </c>
      <c r="B273" s="9"/>
      <c r="C273" s="9"/>
      <c r="D273" s="133"/>
      <c r="E273" s="133"/>
      <c r="F273" s="69"/>
      <c r="G273" s="9"/>
      <c r="H273" s="9"/>
      <c r="I273" s="60" t="str">
        <f t="shared" si="5"/>
        <v/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60" t="str">
        <f t="shared" si="1"/>
        <v/>
      </c>
      <c r="B274" s="9"/>
      <c r="C274" s="9"/>
      <c r="D274" s="133"/>
      <c r="E274" s="133"/>
      <c r="F274" s="69"/>
      <c r="G274" s="9"/>
      <c r="H274" s="9"/>
      <c r="I274" s="60" t="str">
        <f t="shared" si="5"/>
        <v/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60" t="str">
        <f t="shared" si="1"/>
        <v/>
      </c>
      <c r="B275" s="9"/>
      <c r="C275" s="9"/>
      <c r="D275" s="133"/>
      <c r="E275" s="133"/>
      <c r="F275" s="69"/>
      <c r="G275" s="9"/>
      <c r="H275" s="9"/>
      <c r="I275" s="60" t="str">
        <f t="shared" si="5"/>
        <v/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60" t="str">
        <f t="shared" si="1"/>
        <v/>
      </c>
      <c r="B276" s="9"/>
      <c r="C276" s="9"/>
      <c r="D276" s="133"/>
      <c r="E276" s="133"/>
      <c r="F276" s="69"/>
      <c r="G276" s="9"/>
      <c r="H276" s="9"/>
      <c r="I276" s="60" t="str">
        <f t="shared" si="5"/>
        <v/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60" t="str">
        <f t="shared" si="1"/>
        <v/>
      </c>
      <c r="B277" s="9"/>
      <c r="C277" s="9"/>
      <c r="D277" s="133"/>
      <c r="E277" s="133"/>
      <c r="F277" s="69"/>
      <c r="G277" s="9"/>
      <c r="H277" s="9"/>
      <c r="I277" s="60" t="str">
        <f t="shared" si="5"/>
        <v/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60" t="str">
        <f t="shared" si="1"/>
        <v/>
      </c>
      <c r="B278" s="9"/>
      <c r="C278" s="9"/>
      <c r="D278" s="133"/>
      <c r="E278" s="133"/>
      <c r="F278" s="69"/>
      <c r="G278" s="9"/>
      <c r="H278" s="9"/>
      <c r="I278" s="60" t="str">
        <f t="shared" si="5"/>
        <v/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60" t="str">
        <f t="shared" si="1"/>
        <v/>
      </c>
      <c r="B279" s="9"/>
      <c r="C279" s="9"/>
      <c r="D279" s="133"/>
      <c r="E279" s="133"/>
      <c r="F279" s="69"/>
      <c r="G279" s="9"/>
      <c r="H279" s="9"/>
      <c r="I279" s="60" t="str">
        <f t="shared" si="5"/>
        <v/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60" t="str">
        <f t="shared" si="1"/>
        <v/>
      </c>
      <c r="B280" s="9"/>
      <c r="C280" s="9"/>
      <c r="D280" s="133"/>
      <c r="E280" s="133"/>
      <c r="F280" s="69"/>
      <c r="G280" s="9"/>
      <c r="H280" s="9"/>
      <c r="I280" s="60" t="str">
        <f t="shared" si="5"/>
        <v/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0" t="str">
        <f t="shared" si="1"/>
        <v/>
      </c>
      <c r="B281" s="9"/>
      <c r="C281" s="9"/>
      <c r="D281" s="133"/>
      <c r="E281" s="133"/>
      <c r="F281" s="69"/>
      <c r="G281" s="9"/>
      <c r="H281" s="9"/>
      <c r="I281" s="60" t="str">
        <f t="shared" si="5"/>
        <v/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60" t="str">
        <f t="shared" si="1"/>
        <v/>
      </c>
      <c r="B282" s="9"/>
      <c r="C282" s="9"/>
      <c r="D282" s="133"/>
      <c r="E282" s="133"/>
      <c r="F282" s="69"/>
      <c r="G282" s="9"/>
      <c r="H282" s="9"/>
      <c r="I282" s="60" t="str">
        <f t="shared" si="5"/>
        <v/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60" t="str">
        <f t="shared" si="1"/>
        <v/>
      </c>
      <c r="B283" s="9"/>
      <c r="C283" s="9"/>
      <c r="D283" s="133"/>
      <c r="E283" s="133"/>
      <c r="F283" s="69"/>
      <c r="G283" s="9"/>
      <c r="H283" s="9"/>
      <c r="I283" s="60" t="str">
        <f t="shared" si="5"/>
        <v/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60" t="str">
        <f t="shared" si="1"/>
        <v/>
      </c>
      <c r="B284" s="9"/>
      <c r="C284" s="9"/>
      <c r="D284" s="133"/>
      <c r="E284" s="133"/>
      <c r="F284" s="69"/>
      <c r="G284" s="9"/>
      <c r="H284" s="9"/>
      <c r="I284" s="60" t="str">
        <f t="shared" si="5"/>
        <v/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60" t="str">
        <f t="shared" si="1"/>
        <v/>
      </c>
      <c r="B285" s="9"/>
      <c r="C285" s="9"/>
      <c r="D285" s="133"/>
      <c r="E285" s="133"/>
      <c r="F285" s="69"/>
      <c r="G285" s="9"/>
      <c r="H285" s="9"/>
      <c r="I285" s="60" t="str">
        <f t="shared" si="5"/>
        <v/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60" t="str">
        <f t="shared" si="1"/>
        <v/>
      </c>
      <c r="B286" s="9"/>
      <c r="C286" s="9"/>
      <c r="D286" s="133"/>
      <c r="E286" s="133"/>
      <c r="F286" s="69"/>
      <c r="G286" s="9"/>
      <c r="H286" s="9"/>
      <c r="I286" s="60" t="str">
        <f t="shared" si="5"/>
        <v/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60" t="str">
        <f t="shared" si="1"/>
        <v/>
      </c>
      <c r="B287" s="9"/>
      <c r="C287" s="9"/>
      <c r="D287" s="133"/>
      <c r="E287" s="133"/>
      <c r="F287" s="69"/>
      <c r="G287" s="9"/>
      <c r="H287" s="9"/>
      <c r="I287" s="60" t="str">
        <f t="shared" si="5"/>
        <v/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60" t="str">
        <f t="shared" si="1"/>
        <v/>
      </c>
      <c r="B288" s="9"/>
      <c r="C288" s="9"/>
      <c r="D288" s="133"/>
      <c r="E288" s="133"/>
      <c r="F288" s="69"/>
      <c r="G288" s="9"/>
      <c r="H288" s="9"/>
      <c r="I288" s="60" t="str">
        <f t="shared" si="5"/>
        <v/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60" t="str">
        <f t="shared" si="1"/>
        <v/>
      </c>
      <c r="B289" s="9"/>
      <c r="C289" s="9"/>
      <c r="D289" s="133"/>
      <c r="E289" s="133"/>
      <c r="F289" s="69"/>
      <c r="G289" s="9"/>
      <c r="H289" s="9"/>
      <c r="I289" s="60" t="str">
        <f t="shared" si="5"/>
        <v/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60" t="str">
        <f t="shared" si="1"/>
        <v/>
      </c>
      <c r="B290" s="9"/>
      <c r="C290" s="9"/>
      <c r="D290" s="133"/>
      <c r="E290" s="133"/>
      <c r="F290" s="69"/>
      <c r="G290" s="9"/>
      <c r="H290" s="9"/>
      <c r="I290" s="60" t="str">
        <f t="shared" si="5"/>
        <v/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60" t="str">
        <f t="shared" si="1"/>
        <v/>
      </c>
      <c r="B291" s="9"/>
      <c r="C291" s="9"/>
      <c r="D291" s="133"/>
      <c r="E291" s="133"/>
      <c r="F291" s="69"/>
      <c r="G291" s="9"/>
      <c r="H291" s="9"/>
      <c r="I291" s="60" t="str">
        <f t="shared" si="5"/>
        <v/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60" t="str">
        <f t="shared" si="1"/>
        <v/>
      </c>
      <c r="B292" s="9"/>
      <c r="C292" s="9"/>
      <c r="D292" s="133"/>
      <c r="E292" s="133"/>
      <c r="F292" s="69"/>
      <c r="G292" s="9"/>
      <c r="H292" s="9"/>
      <c r="I292" s="60" t="str">
        <f t="shared" si="5"/>
        <v/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60" t="str">
        <f t="shared" si="1"/>
        <v/>
      </c>
      <c r="B293" s="9"/>
      <c r="C293" s="9"/>
      <c r="D293" s="133"/>
      <c r="E293" s="133"/>
      <c r="F293" s="69"/>
      <c r="G293" s="9"/>
      <c r="H293" s="9"/>
      <c r="I293" s="60" t="str">
        <f t="shared" si="5"/>
        <v/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60" t="str">
        <f t="shared" si="1"/>
        <v/>
      </c>
      <c r="B294" s="9"/>
      <c r="C294" s="9"/>
      <c r="D294" s="133"/>
      <c r="E294" s="133"/>
      <c r="F294" s="69"/>
      <c r="G294" s="9"/>
      <c r="H294" s="9"/>
      <c r="I294" s="60" t="str">
        <f t="shared" si="5"/>
        <v/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60" t="str">
        <f t="shared" si="1"/>
        <v/>
      </c>
      <c r="B295" s="9"/>
      <c r="C295" s="9"/>
      <c r="D295" s="133"/>
      <c r="E295" s="133"/>
      <c r="F295" s="69"/>
      <c r="G295" s="9"/>
      <c r="H295" s="9"/>
      <c r="I295" s="60" t="str">
        <f t="shared" si="5"/>
        <v/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60" t="str">
        <f t="shared" si="1"/>
        <v/>
      </c>
      <c r="B296" s="9"/>
      <c r="C296" s="9"/>
      <c r="D296" s="133"/>
      <c r="E296" s="133"/>
      <c r="F296" s="69"/>
      <c r="G296" s="9"/>
      <c r="H296" s="9"/>
      <c r="I296" s="60" t="str">
        <f t="shared" si="5"/>
        <v/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60" t="str">
        <f t="shared" si="1"/>
        <v/>
      </c>
      <c r="B297" s="9"/>
      <c r="C297" s="9"/>
      <c r="D297" s="133"/>
      <c r="E297" s="133"/>
      <c r="F297" s="69"/>
      <c r="G297" s="9"/>
      <c r="H297" s="9"/>
      <c r="I297" s="60" t="str">
        <f t="shared" si="5"/>
        <v/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60" t="str">
        <f t="shared" si="1"/>
        <v/>
      </c>
      <c r="B298" s="9"/>
      <c r="C298" s="9"/>
      <c r="D298" s="133"/>
      <c r="E298" s="133"/>
      <c r="F298" s="69"/>
      <c r="G298" s="9"/>
      <c r="H298" s="9"/>
      <c r="I298" s="60" t="str">
        <f t="shared" si="5"/>
        <v/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60" t="str">
        <f t="shared" si="1"/>
        <v/>
      </c>
      <c r="B299" s="9"/>
      <c r="C299" s="9"/>
      <c r="D299" s="133"/>
      <c r="E299" s="133"/>
      <c r="F299" s="69"/>
      <c r="G299" s="9"/>
      <c r="H299" s="9"/>
      <c r="I299" s="60" t="str">
        <f t="shared" si="5"/>
        <v/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60" t="str">
        <f t="shared" si="1"/>
        <v/>
      </c>
      <c r="B300" s="9"/>
      <c r="C300" s="9"/>
      <c r="D300" s="133"/>
      <c r="E300" s="133"/>
      <c r="F300" s="69"/>
      <c r="G300" s="9"/>
      <c r="H300" s="9"/>
      <c r="I300" s="60" t="str">
        <f t="shared" si="5"/>
        <v/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60" t="str">
        <f t="shared" si="1"/>
        <v/>
      </c>
      <c r="B301" s="9"/>
      <c r="C301" s="9"/>
      <c r="D301" s="133"/>
      <c r="E301" s="133"/>
      <c r="F301" s="69"/>
      <c r="G301" s="9"/>
      <c r="H301" s="9"/>
      <c r="I301" s="60" t="str">
        <f t="shared" si="5"/>
        <v/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60" t="str">
        <f t="shared" si="1"/>
        <v/>
      </c>
      <c r="B302" s="9"/>
      <c r="C302" s="9"/>
      <c r="D302" s="133"/>
      <c r="E302" s="133"/>
      <c r="F302" s="69"/>
      <c r="G302" s="9"/>
      <c r="H302" s="9"/>
      <c r="I302" s="60" t="str">
        <f t="shared" si="5"/>
        <v/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60" t="str">
        <f t="shared" si="1"/>
        <v/>
      </c>
      <c r="B303" s="9"/>
      <c r="C303" s="9"/>
      <c r="D303" s="133"/>
      <c r="E303" s="133"/>
      <c r="F303" s="69"/>
      <c r="G303" s="9"/>
      <c r="H303" s="9"/>
      <c r="I303" s="60" t="str">
        <f t="shared" si="5"/>
        <v/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60" t="str">
        <f t="shared" si="1"/>
        <v/>
      </c>
      <c r="B304" s="9"/>
      <c r="C304" s="9"/>
      <c r="D304" s="133"/>
      <c r="E304" s="133"/>
      <c r="F304" s="69"/>
      <c r="G304" s="9"/>
      <c r="H304" s="9"/>
      <c r="I304" s="60" t="str">
        <f t="shared" si="5"/>
        <v/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60" t="str">
        <f t="shared" si="1"/>
        <v/>
      </c>
      <c r="B305" s="9"/>
      <c r="C305" s="9"/>
      <c r="D305" s="133"/>
      <c r="E305" s="133"/>
      <c r="F305" s="69"/>
      <c r="G305" s="9"/>
      <c r="H305" s="9"/>
      <c r="I305" s="60" t="str">
        <f t="shared" si="5"/>
        <v/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60" t="str">
        <f t="shared" si="1"/>
        <v/>
      </c>
      <c r="B306" s="9"/>
      <c r="C306" s="9"/>
      <c r="D306" s="133"/>
      <c r="E306" s="133"/>
      <c r="F306" s="69"/>
      <c r="G306" s="9"/>
      <c r="H306" s="9"/>
      <c r="I306" s="60" t="str">
        <f t="shared" si="5"/>
        <v/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60" t="str">
        <f t="shared" si="1"/>
        <v/>
      </c>
      <c r="B307" s="9"/>
      <c r="C307" s="9"/>
      <c r="D307" s="133"/>
      <c r="E307" s="133"/>
      <c r="F307" s="69"/>
      <c r="G307" s="9"/>
      <c r="H307" s="9"/>
      <c r="I307" s="60" t="str">
        <f t="shared" si="5"/>
        <v/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60" t="str">
        <f t="shared" si="1"/>
        <v/>
      </c>
      <c r="B308" s="9"/>
      <c r="C308" s="9"/>
      <c r="D308" s="133"/>
      <c r="E308" s="133"/>
      <c r="F308" s="69"/>
      <c r="G308" s="9"/>
      <c r="H308" s="9"/>
      <c r="I308" s="60" t="str">
        <f t="shared" si="5"/>
        <v/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60" t="str">
        <f t="shared" si="1"/>
        <v/>
      </c>
      <c r="B309" s="9"/>
      <c r="C309" s="9"/>
      <c r="D309" s="133"/>
      <c r="E309" s="133"/>
      <c r="F309" s="69"/>
      <c r="G309" s="9"/>
      <c r="H309" s="9"/>
      <c r="I309" s="60" t="str">
        <f t="shared" si="5"/>
        <v/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60" t="str">
        <f t="shared" si="1"/>
        <v/>
      </c>
      <c r="B310" s="9"/>
      <c r="C310" s="9"/>
      <c r="D310" s="133"/>
      <c r="E310" s="133"/>
      <c r="F310" s="69"/>
      <c r="G310" s="9"/>
      <c r="H310" s="9"/>
      <c r="I310" s="60" t="str">
        <f t="shared" si="5"/>
        <v/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60" t="str">
        <f t="shared" si="1"/>
        <v/>
      </c>
      <c r="B311" s="9"/>
      <c r="C311" s="9"/>
      <c r="D311" s="133"/>
      <c r="E311" s="133"/>
      <c r="F311" s="69"/>
      <c r="G311" s="9"/>
      <c r="H311" s="9"/>
      <c r="I311" s="60" t="str">
        <f t="shared" si="5"/>
        <v/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60" t="str">
        <f t="shared" si="1"/>
        <v/>
      </c>
      <c r="B312" s="9"/>
      <c r="C312" s="9"/>
      <c r="D312" s="133"/>
      <c r="E312" s="133"/>
      <c r="F312" s="69"/>
      <c r="G312" s="9"/>
      <c r="H312" s="9"/>
      <c r="I312" s="60" t="str">
        <f t="shared" si="5"/>
        <v/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60" t="str">
        <f t="shared" si="1"/>
        <v/>
      </c>
      <c r="B313" s="9"/>
      <c r="C313" s="9"/>
      <c r="D313" s="133"/>
      <c r="E313" s="133"/>
      <c r="F313" s="69"/>
      <c r="G313" s="9"/>
      <c r="H313" s="9"/>
      <c r="I313" s="60" t="str">
        <f t="shared" si="5"/>
        <v/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60" t="str">
        <f t="shared" si="1"/>
        <v/>
      </c>
      <c r="B314" s="9"/>
      <c r="C314" s="9"/>
      <c r="D314" s="133"/>
      <c r="E314" s="133"/>
      <c r="F314" s="69"/>
      <c r="G314" s="9"/>
      <c r="H314" s="9"/>
      <c r="I314" s="60" t="str">
        <f t="shared" si="5"/>
        <v/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60" t="str">
        <f t="shared" si="1"/>
        <v/>
      </c>
      <c r="B315" s="9"/>
      <c r="C315" s="9"/>
      <c r="D315" s="133"/>
      <c r="E315" s="133"/>
      <c r="F315" s="69"/>
      <c r="G315" s="9"/>
      <c r="H315" s="9"/>
      <c r="I315" s="60" t="str">
        <f t="shared" si="5"/>
        <v/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60" t="str">
        <f t="shared" si="1"/>
        <v/>
      </c>
      <c r="B316" s="9"/>
      <c r="C316" s="9"/>
      <c r="D316" s="133"/>
      <c r="E316" s="133"/>
      <c r="F316" s="69"/>
      <c r="G316" s="9"/>
      <c r="H316" s="9"/>
      <c r="I316" s="60" t="str">
        <f t="shared" si="5"/>
        <v/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60" t="str">
        <f t="shared" si="1"/>
        <v/>
      </c>
      <c r="B317" s="9"/>
      <c r="C317" s="9"/>
      <c r="D317" s="133"/>
      <c r="E317" s="133"/>
      <c r="F317" s="69"/>
      <c r="G317" s="9"/>
      <c r="H317" s="9"/>
      <c r="I317" s="60" t="str">
        <f t="shared" si="5"/>
        <v/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60" t="str">
        <f t="shared" si="1"/>
        <v/>
      </c>
      <c r="B318" s="9"/>
      <c r="C318" s="9"/>
      <c r="D318" s="133"/>
      <c r="E318" s="133"/>
      <c r="F318" s="69"/>
      <c r="G318" s="9"/>
      <c r="H318" s="9"/>
      <c r="I318" s="60" t="str">
        <f t="shared" si="5"/>
        <v/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60" t="str">
        <f t="shared" si="1"/>
        <v/>
      </c>
      <c r="B319" s="9"/>
      <c r="C319" s="9"/>
      <c r="D319" s="133"/>
      <c r="E319" s="133"/>
      <c r="F319" s="69"/>
      <c r="G319" s="9"/>
      <c r="H319" s="9"/>
      <c r="I319" s="60" t="str">
        <f t="shared" si="5"/>
        <v/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60" t="str">
        <f t="shared" si="1"/>
        <v/>
      </c>
      <c r="B320" s="9"/>
      <c r="C320" s="9"/>
      <c r="D320" s="133"/>
      <c r="E320" s="133"/>
      <c r="F320" s="69"/>
      <c r="G320" s="9"/>
      <c r="H320" s="9"/>
      <c r="I320" s="60" t="str">
        <f t="shared" si="5"/>
        <v/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60" t="str">
        <f t="shared" si="1"/>
        <v/>
      </c>
      <c r="B321" s="9"/>
      <c r="C321" s="9"/>
      <c r="D321" s="133"/>
      <c r="E321" s="133"/>
      <c r="F321" s="69"/>
      <c r="G321" s="9"/>
      <c r="H321" s="9"/>
      <c r="I321" s="60" t="str">
        <f t="shared" si="5"/>
        <v/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60" t="str">
        <f t="shared" si="1"/>
        <v/>
      </c>
      <c r="B322" s="9"/>
      <c r="C322" s="9"/>
      <c r="D322" s="133"/>
      <c r="E322" s="133"/>
      <c r="F322" s="69"/>
      <c r="G322" s="9"/>
      <c r="H322" s="9"/>
      <c r="I322" s="60" t="str">
        <f t="shared" si="5"/>
        <v/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60" t="str">
        <f t="shared" si="1"/>
        <v/>
      </c>
      <c r="B323" s="9"/>
      <c r="C323" s="9"/>
      <c r="D323" s="133"/>
      <c r="E323" s="133"/>
      <c r="F323" s="69"/>
      <c r="G323" s="9"/>
      <c r="H323" s="9"/>
      <c r="I323" s="60" t="str">
        <f t="shared" si="5"/>
        <v/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60" t="str">
        <f t="shared" si="1"/>
        <v/>
      </c>
      <c r="B324" s="9"/>
      <c r="C324" s="9"/>
      <c r="D324" s="133"/>
      <c r="E324" s="133"/>
      <c r="F324" s="69"/>
      <c r="G324" s="9"/>
      <c r="H324" s="9"/>
      <c r="I324" s="60" t="str">
        <f t="shared" si="5"/>
        <v/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60" t="str">
        <f t="shared" si="1"/>
        <v/>
      </c>
      <c r="B325" s="9"/>
      <c r="C325" s="9"/>
      <c r="D325" s="133"/>
      <c r="E325" s="133"/>
      <c r="F325" s="69"/>
      <c r="G325" s="9"/>
      <c r="H325" s="9"/>
      <c r="I325" s="60" t="str">
        <f t="shared" si="5"/>
        <v/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60" t="str">
        <f t="shared" si="1"/>
        <v/>
      </c>
      <c r="B326" s="9"/>
      <c r="C326" s="9"/>
      <c r="D326" s="133"/>
      <c r="E326" s="133"/>
      <c r="F326" s="69"/>
      <c r="G326" s="9"/>
      <c r="H326" s="9"/>
      <c r="I326" s="60" t="str">
        <f t="shared" si="5"/>
        <v/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60" t="str">
        <f t="shared" si="1"/>
        <v/>
      </c>
      <c r="B327" s="9"/>
      <c r="C327" s="9"/>
      <c r="D327" s="133"/>
      <c r="E327" s="133"/>
      <c r="F327" s="69"/>
      <c r="G327" s="9"/>
      <c r="H327" s="9"/>
      <c r="I327" s="60" t="str">
        <f t="shared" si="5"/>
        <v/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60" t="str">
        <f t="shared" si="1"/>
        <v/>
      </c>
      <c r="B328" s="9"/>
      <c r="C328" s="9"/>
      <c r="D328" s="133"/>
      <c r="E328" s="133"/>
      <c r="F328" s="69"/>
      <c r="G328" s="9"/>
      <c r="H328" s="9"/>
      <c r="I328" s="60" t="str">
        <f t="shared" si="5"/>
        <v/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60" t="str">
        <f t="shared" si="1"/>
        <v/>
      </c>
      <c r="B329" s="9"/>
      <c r="C329" s="9"/>
      <c r="D329" s="133"/>
      <c r="E329" s="133"/>
      <c r="F329" s="69"/>
      <c r="G329" s="9"/>
      <c r="H329" s="9"/>
      <c r="I329" s="60" t="str">
        <f t="shared" si="5"/>
        <v/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60" t="str">
        <f t="shared" si="1"/>
        <v/>
      </c>
      <c r="B330" s="9"/>
      <c r="C330" s="9"/>
      <c r="D330" s="133"/>
      <c r="E330" s="133"/>
      <c r="F330" s="69"/>
      <c r="G330" s="9"/>
      <c r="H330" s="9"/>
      <c r="I330" s="60" t="str">
        <f t="shared" si="5"/>
        <v/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60" t="str">
        <f t="shared" si="1"/>
        <v/>
      </c>
      <c r="B331" s="9"/>
      <c r="C331" s="9"/>
      <c r="D331" s="133"/>
      <c r="E331" s="133"/>
      <c r="F331" s="69"/>
      <c r="G331" s="9"/>
      <c r="H331" s="9"/>
      <c r="I331" s="60" t="str">
        <f t="shared" si="5"/>
        <v/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60" t="str">
        <f t="shared" si="1"/>
        <v/>
      </c>
      <c r="B332" s="9"/>
      <c r="C332" s="9"/>
      <c r="D332" s="133"/>
      <c r="E332" s="133"/>
      <c r="F332" s="69"/>
      <c r="G332" s="9"/>
      <c r="H332" s="9"/>
      <c r="I332" s="60" t="str">
        <f t="shared" si="5"/>
        <v/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60" t="str">
        <f t="shared" si="1"/>
        <v/>
      </c>
      <c r="B333" s="9"/>
      <c r="C333" s="9"/>
      <c r="D333" s="133"/>
      <c r="E333" s="133"/>
      <c r="F333" s="69"/>
      <c r="G333" s="9"/>
      <c r="H333" s="9"/>
      <c r="I333" s="60" t="str">
        <f t="shared" si="5"/>
        <v/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60" t="str">
        <f t="shared" si="1"/>
        <v/>
      </c>
      <c r="B334" s="9"/>
      <c r="C334" s="9"/>
      <c r="D334" s="133"/>
      <c r="E334" s="133"/>
      <c r="F334" s="69"/>
      <c r="G334" s="9"/>
      <c r="H334" s="9"/>
      <c r="I334" s="60" t="str">
        <f t="shared" si="5"/>
        <v/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60" t="str">
        <f t="shared" si="1"/>
        <v/>
      </c>
      <c r="B335" s="9"/>
      <c r="C335" s="9"/>
      <c r="D335" s="133"/>
      <c r="E335" s="133"/>
      <c r="F335" s="69"/>
      <c r="G335" s="9"/>
      <c r="H335" s="9"/>
      <c r="I335" s="60" t="str">
        <f t="shared" si="5"/>
        <v/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60" t="str">
        <f t="shared" si="1"/>
        <v/>
      </c>
      <c r="B336" s="9"/>
      <c r="C336" s="9"/>
      <c r="D336" s="133"/>
      <c r="E336" s="133"/>
      <c r="F336" s="69"/>
      <c r="G336" s="9"/>
      <c r="H336" s="9"/>
      <c r="I336" s="60" t="str">
        <f t="shared" si="5"/>
        <v/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60" t="str">
        <f t="shared" si="1"/>
        <v/>
      </c>
      <c r="B337" s="9"/>
      <c r="C337" s="9"/>
      <c r="D337" s="133"/>
      <c r="E337" s="133"/>
      <c r="F337" s="69"/>
      <c r="G337" s="9"/>
      <c r="H337" s="9"/>
      <c r="I337" s="60" t="str">
        <f t="shared" si="5"/>
        <v/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60" t="str">
        <f t="shared" si="1"/>
        <v/>
      </c>
      <c r="B338" s="9"/>
      <c r="C338" s="9"/>
      <c r="D338" s="133"/>
      <c r="E338" s="133"/>
      <c r="F338" s="69"/>
      <c r="G338" s="9"/>
      <c r="H338" s="9"/>
      <c r="I338" s="60" t="str">
        <f t="shared" si="5"/>
        <v/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60" t="str">
        <f t="shared" si="1"/>
        <v/>
      </c>
      <c r="B339" s="9"/>
      <c r="C339" s="9"/>
      <c r="D339" s="133"/>
      <c r="E339" s="133"/>
      <c r="F339" s="69"/>
      <c r="G339" s="9"/>
      <c r="H339" s="9"/>
      <c r="I339" s="60" t="str">
        <f t="shared" si="5"/>
        <v/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60" t="str">
        <f t="shared" si="1"/>
        <v/>
      </c>
      <c r="B340" s="9"/>
      <c r="C340" s="9"/>
      <c r="D340" s="133"/>
      <c r="E340" s="133"/>
      <c r="F340" s="69"/>
      <c r="G340" s="9"/>
      <c r="H340" s="9"/>
      <c r="I340" s="60" t="str">
        <f t="shared" si="5"/>
        <v/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60" t="str">
        <f t="shared" si="1"/>
        <v/>
      </c>
      <c r="B341" s="9"/>
      <c r="C341" s="9"/>
      <c r="D341" s="133"/>
      <c r="E341" s="133"/>
      <c r="F341" s="69"/>
      <c r="G341" s="9"/>
      <c r="H341" s="9"/>
      <c r="I341" s="60" t="str">
        <f t="shared" si="5"/>
        <v/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60" t="str">
        <f t="shared" si="1"/>
        <v/>
      </c>
      <c r="B342" s="9"/>
      <c r="C342" s="9"/>
      <c r="D342" s="133"/>
      <c r="E342" s="133"/>
      <c r="F342" s="69"/>
      <c r="G342" s="9"/>
      <c r="H342" s="9"/>
      <c r="I342" s="60" t="str">
        <f t="shared" si="5"/>
        <v/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60" t="str">
        <f t="shared" si="1"/>
        <v/>
      </c>
      <c r="B343" s="9"/>
      <c r="C343" s="9"/>
      <c r="D343" s="133"/>
      <c r="E343" s="133"/>
      <c r="F343" s="69"/>
      <c r="G343" s="9"/>
      <c r="H343" s="9"/>
      <c r="I343" s="60" t="str">
        <f t="shared" si="5"/>
        <v/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60" t="str">
        <f t="shared" si="1"/>
        <v/>
      </c>
      <c r="B344" s="9"/>
      <c r="C344" s="9"/>
      <c r="D344" s="133"/>
      <c r="E344" s="133"/>
      <c r="F344" s="69"/>
      <c r="G344" s="9"/>
      <c r="H344" s="9"/>
      <c r="I344" s="60" t="str">
        <f t="shared" si="5"/>
        <v/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60" t="str">
        <f t="shared" si="1"/>
        <v/>
      </c>
      <c r="B345" s="9"/>
      <c r="C345" s="9"/>
      <c r="D345" s="133"/>
      <c r="E345" s="133"/>
      <c r="F345" s="69"/>
      <c r="G345" s="9"/>
      <c r="H345" s="9"/>
      <c r="I345" s="60" t="str">
        <f t="shared" si="5"/>
        <v/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60" t="str">
        <f t="shared" si="1"/>
        <v/>
      </c>
      <c r="B346" s="9"/>
      <c r="C346" s="9"/>
      <c r="D346" s="133"/>
      <c r="E346" s="133"/>
      <c r="F346" s="69"/>
      <c r="G346" s="9"/>
      <c r="H346" s="9"/>
      <c r="I346" s="60" t="str">
        <f t="shared" si="5"/>
        <v/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60" t="str">
        <f t="shared" si="1"/>
        <v/>
      </c>
      <c r="B347" s="9"/>
      <c r="C347" s="9"/>
      <c r="D347" s="133"/>
      <c r="E347" s="133"/>
      <c r="F347" s="69"/>
      <c r="G347" s="9"/>
      <c r="H347" s="9"/>
      <c r="I347" s="60" t="str">
        <f t="shared" si="5"/>
        <v/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60" t="str">
        <f t="shared" si="1"/>
        <v/>
      </c>
      <c r="B348" s="9"/>
      <c r="C348" s="9"/>
      <c r="D348" s="133"/>
      <c r="E348" s="133"/>
      <c r="F348" s="69"/>
      <c r="G348" s="9"/>
      <c r="H348" s="9"/>
      <c r="I348" s="60" t="str">
        <f t="shared" si="5"/>
        <v/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60" t="str">
        <f t="shared" si="1"/>
        <v/>
      </c>
      <c r="B349" s="9"/>
      <c r="C349" s="9"/>
      <c r="D349" s="133"/>
      <c r="E349" s="133"/>
      <c r="F349" s="69"/>
      <c r="G349" s="9"/>
      <c r="H349" s="9"/>
      <c r="I349" s="60" t="str">
        <f t="shared" si="5"/>
        <v/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60" t="str">
        <f t="shared" si="1"/>
        <v/>
      </c>
      <c r="B350" s="9"/>
      <c r="C350" s="9"/>
      <c r="D350" s="133"/>
      <c r="E350" s="133"/>
      <c r="F350" s="69"/>
      <c r="G350" s="9"/>
      <c r="H350" s="9"/>
      <c r="I350" s="60" t="str">
        <f t="shared" si="5"/>
        <v/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60" t="str">
        <f t="shared" si="1"/>
        <v/>
      </c>
      <c r="B351" s="9"/>
      <c r="C351" s="9"/>
      <c r="D351" s="133"/>
      <c r="E351" s="133"/>
      <c r="F351" s="69"/>
      <c r="G351" s="9"/>
      <c r="H351" s="9"/>
      <c r="I351" s="60" t="str">
        <f t="shared" si="5"/>
        <v/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60" t="str">
        <f t="shared" si="1"/>
        <v/>
      </c>
      <c r="B352" s="9"/>
      <c r="C352" s="9"/>
      <c r="D352" s="133"/>
      <c r="E352" s="133"/>
      <c r="F352" s="69"/>
      <c r="G352" s="9"/>
      <c r="H352" s="9"/>
      <c r="I352" s="60" t="str">
        <f t="shared" si="5"/>
        <v/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60" t="str">
        <f t="shared" si="1"/>
        <v/>
      </c>
      <c r="B353" s="9"/>
      <c r="C353" s="9"/>
      <c r="D353" s="133"/>
      <c r="E353" s="133"/>
      <c r="F353" s="69"/>
      <c r="G353" s="9"/>
      <c r="H353" s="9"/>
      <c r="I353" s="60" t="str">
        <f t="shared" si="5"/>
        <v/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60" t="str">
        <f t="shared" si="1"/>
        <v/>
      </c>
      <c r="B354" s="9"/>
      <c r="C354" s="9"/>
      <c r="D354" s="133"/>
      <c r="E354" s="133"/>
      <c r="F354" s="69"/>
      <c r="G354" s="9"/>
      <c r="H354" s="9"/>
      <c r="I354" s="60" t="str">
        <f t="shared" si="5"/>
        <v/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60" t="str">
        <f t="shared" si="1"/>
        <v/>
      </c>
      <c r="B355" s="9"/>
      <c r="C355" s="9"/>
      <c r="D355" s="133"/>
      <c r="E355" s="133"/>
      <c r="F355" s="69"/>
      <c r="G355" s="9"/>
      <c r="H355" s="9"/>
      <c r="I355" s="60" t="str">
        <f t="shared" si="5"/>
        <v/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60" t="str">
        <f t="shared" si="1"/>
        <v/>
      </c>
      <c r="B356" s="9"/>
      <c r="C356" s="9"/>
      <c r="D356" s="133"/>
      <c r="E356" s="133"/>
      <c r="F356" s="69"/>
      <c r="G356" s="9"/>
      <c r="H356" s="9"/>
      <c r="I356" s="60" t="str">
        <f t="shared" si="5"/>
        <v/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60" t="str">
        <f t="shared" si="1"/>
        <v/>
      </c>
      <c r="B357" s="9"/>
      <c r="C357" s="9"/>
      <c r="D357" s="133"/>
      <c r="E357" s="133"/>
      <c r="F357" s="69"/>
      <c r="G357" s="9"/>
      <c r="H357" s="9"/>
      <c r="I357" s="60" t="str">
        <f t="shared" si="5"/>
        <v/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60" t="str">
        <f t="shared" si="1"/>
        <v/>
      </c>
      <c r="B358" s="9"/>
      <c r="C358" s="9"/>
      <c r="D358" s="133"/>
      <c r="E358" s="133"/>
      <c r="F358" s="69"/>
      <c r="G358" s="9"/>
      <c r="H358" s="9"/>
      <c r="I358" s="60" t="str">
        <f t="shared" si="5"/>
        <v/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60" t="str">
        <f t="shared" si="1"/>
        <v/>
      </c>
      <c r="B359" s="9"/>
      <c r="C359" s="9"/>
      <c r="D359" s="133"/>
      <c r="E359" s="133"/>
      <c r="F359" s="69"/>
      <c r="G359" s="9"/>
      <c r="H359" s="9"/>
      <c r="I359" s="60" t="str">
        <f t="shared" si="5"/>
        <v/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60" t="str">
        <f t="shared" si="1"/>
        <v/>
      </c>
      <c r="B360" s="9"/>
      <c r="C360" s="9"/>
      <c r="D360" s="133"/>
      <c r="E360" s="133"/>
      <c r="F360" s="69"/>
      <c r="G360" s="9"/>
      <c r="H360" s="9"/>
      <c r="I360" s="60" t="str">
        <f t="shared" si="5"/>
        <v/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60" t="str">
        <f t="shared" si="1"/>
        <v/>
      </c>
      <c r="B361" s="9"/>
      <c r="C361" s="9"/>
      <c r="D361" s="133"/>
      <c r="E361" s="133"/>
      <c r="F361" s="69"/>
      <c r="G361" s="9"/>
      <c r="H361" s="9"/>
      <c r="I361" s="60" t="str">
        <f t="shared" si="5"/>
        <v/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60" t="str">
        <f t="shared" si="1"/>
        <v/>
      </c>
      <c r="B362" s="9"/>
      <c r="C362" s="9"/>
      <c r="D362" s="133"/>
      <c r="E362" s="133"/>
      <c r="F362" s="69"/>
      <c r="G362" s="9"/>
      <c r="H362" s="9"/>
      <c r="I362" s="60" t="str">
        <f t="shared" si="5"/>
        <v/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60" t="str">
        <f t="shared" si="1"/>
        <v/>
      </c>
      <c r="B363" s="9"/>
      <c r="C363" s="9"/>
      <c r="D363" s="133"/>
      <c r="E363" s="133"/>
      <c r="F363" s="69"/>
      <c r="G363" s="9"/>
      <c r="H363" s="9"/>
      <c r="I363" s="60" t="str">
        <f t="shared" si="5"/>
        <v/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60" t="str">
        <f t="shared" si="1"/>
        <v/>
      </c>
      <c r="B364" s="9"/>
      <c r="C364" s="9"/>
      <c r="D364" s="133"/>
      <c r="E364" s="133"/>
      <c r="F364" s="69"/>
      <c r="G364" s="9"/>
      <c r="H364" s="9"/>
      <c r="I364" s="60" t="str">
        <f t="shared" si="5"/>
        <v/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60" t="str">
        <f t="shared" si="1"/>
        <v/>
      </c>
      <c r="B365" s="9"/>
      <c r="C365" s="9"/>
      <c r="D365" s="133"/>
      <c r="E365" s="133"/>
      <c r="F365" s="69"/>
      <c r="G365" s="9"/>
      <c r="H365" s="9"/>
      <c r="I365" s="60" t="str">
        <f t="shared" si="5"/>
        <v/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60" t="str">
        <f t="shared" si="1"/>
        <v/>
      </c>
      <c r="B366" s="9"/>
      <c r="C366" s="9"/>
      <c r="D366" s="133"/>
      <c r="E366" s="133"/>
      <c r="F366" s="69"/>
      <c r="G366" s="9"/>
      <c r="H366" s="9"/>
      <c r="I366" s="60" t="str">
        <f t="shared" si="5"/>
        <v/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60" t="str">
        <f t="shared" si="1"/>
        <v/>
      </c>
      <c r="B367" s="9"/>
      <c r="C367" s="9"/>
      <c r="D367" s="133"/>
      <c r="E367" s="133"/>
      <c r="F367" s="69"/>
      <c r="G367" s="9"/>
      <c r="H367" s="9"/>
      <c r="I367" s="60" t="str">
        <f t="shared" si="5"/>
        <v/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60" t="str">
        <f t="shared" si="1"/>
        <v/>
      </c>
      <c r="B368" s="9"/>
      <c r="C368" s="9"/>
      <c r="D368" s="133"/>
      <c r="E368" s="133"/>
      <c r="F368" s="69"/>
      <c r="G368" s="9"/>
      <c r="H368" s="9"/>
      <c r="I368" s="60" t="str">
        <f t="shared" si="5"/>
        <v/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60" t="str">
        <f t="shared" si="1"/>
        <v/>
      </c>
      <c r="B369" s="9"/>
      <c r="C369" s="9"/>
      <c r="D369" s="133"/>
      <c r="E369" s="133"/>
      <c r="F369" s="69"/>
      <c r="G369" s="9"/>
      <c r="H369" s="9"/>
      <c r="I369" s="60" t="str">
        <f t="shared" si="5"/>
        <v/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60" t="str">
        <f t="shared" si="1"/>
        <v/>
      </c>
      <c r="B370" s="9"/>
      <c r="C370" s="9"/>
      <c r="D370" s="133"/>
      <c r="E370" s="133"/>
      <c r="F370" s="69"/>
      <c r="G370" s="9"/>
      <c r="H370" s="9"/>
      <c r="I370" s="60" t="str">
        <f t="shared" si="5"/>
        <v/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60" t="str">
        <f t="shared" si="1"/>
        <v/>
      </c>
      <c r="B371" s="9"/>
      <c r="C371" s="9"/>
      <c r="D371" s="133"/>
      <c r="E371" s="133"/>
      <c r="F371" s="69"/>
      <c r="G371" s="9"/>
      <c r="H371" s="9"/>
      <c r="I371" s="60" t="str">
        <f t="shared" si="5"/>
        <v/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60" t="str">
        <f t="shared" si="1"/>
        <v/>
      </c>
      <c r="B372" s="9"/>
      <c r="C372" s="9"/>
      <c r="D372" s="133"/>
      <c r="E372" s="133"/>
      <c r="F372" s="69"/>
      <c r="G372" s="9"/>
      <c r="H372" s="9"/>
      <c r="I372" s="60" t="str">
        <f t="shared" si="5"/>
        <v/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60" t="str">
        <f t="shared" si="1"/>
        <v/>
      </c>
      <c r="B373" s="9"/>
      <c r="C373" s="9"/>
      <c r="D373" s="133"/>
      <c r="E373" s="133"/>
      <c r="F373" s="69"/>
      <c r="G373" s="9"/>
      <c r="H373" s="9"/>
      <c r="I373" s="60" t="str">
        <f t="shared" si="5"/>
        <v/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60" t="str">
        <f t="shared" si="1"/>
        <v/>
      </c>
      <c r="B374" s="9"/>
      <c r="C374" s="9"/>
      <c r="D374" s="133"/>
      <c r="E374" s="133"/>
      <c r="F374" s="69"/>
      <c r="G374" s="9"/>
      <c r="H374" s="9"/>
      <c r="I374" s="60" t="str">
        <f t="shared" si="5"/>
        <v/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60" t="str">
        <f t="shared" si="1"/>
        <v/>
      </c>
      <c r="B375" s="9"/>
      <c r="C375" s="9"/>
      <c r="D375" s="133"/>
      <c r="E375" s="133"/>
      <c r="F375" s="69"/>
      <c r="G375" s="9"/>
      <c r="H375" s="9"/>
      <c r="I375" s="60" t="str">
        <f t="shared" si="5"/>
        <v/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60" t="str">
        <f t="shared" si="1"/>
        <v/>
      </c>
      <c r="B376" s="9"/>
      <c r="C376" s="9"/>
      <c r="D376" s="133"/>
      <c r="E376" s="133"/>
      <c r="F376" s="69"/>
      <c r="G376" s="9"/>
      <c r="H376" s="9"/>
      <c r="I376" s="60" t="str">
        <f t="shared" si="5"/>
        <v/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60" t="str">
        <f t="shared" si="1"/>
        <v/>
      </c>
      <c r="B377" s="9"/>
      <c r="C377" s="9"/>
      <c r="D377" s="133"/>
      <c r="E377" s="133"/>
      <c r="F377" s="69"/>
      <c r="G377" s="9"/>
      <c r="H377" s="9"/>
      <c r="I377" s="60" t="str">
        <f t="shared" si="5"/>
        <v/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60" t="str">
        <f t="shared" si="1"/>
        <v/>
      </c>
      <c r="B378" s="9"/>
      <c r="C378" s="9"/>
      <c r="D378" s="133"/>
      <c r="E378" s="133"/>
      <c r="F378" s="69"/>
      <c r="G378" s="9"/>
      <c r="H378" s="9"/>
      <c r="I378" s="60" t="str">
        <f t="shared" si="5"/>
        <v/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60" t="str">
        <f t="shared" si="1"/>
        <v/>
      </c>
      <c r="B379" s="9"/>
      <c r="C379" s="9"/>
      <c r="D379" s="133"/>
      <c r="E379" s="133"/>
      <c r="F379" s="69"/>
      <c r="G379" s="9"/>
      <c r="H379" s="9"/>
      <c r="I379" s="60" t="str">
        <f t="shared" si="5"/>
        <v/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60" t="str">
        <f t="shared" si="1"/>
        <v/>
      </c>
      <c r="B380" s="9"/>
      <c r="C380" s="9"/>
      <c r="D380" s="133"/>
      <c r="E380" s="133"/>
      <c r="F380" s="69"/>
      <c r="G380" s="9"/>
      <c r="H380" s="9"/>
      <c r="I380" s="60" t="str">
        <f t="shared" si="5"/>
        <v/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60" t="str">
        <f t="shared" si="1"/>
        <v/>
      </c>
      <c r="B381" s="9"/>
      <c r="C381" s="9"/>
      <c r="D381" s="133"/>
      <c r="E381" s="133"/>
      <c r="F381" s="69"/>
      <c r="G381" s="9"/>
      <c r="H381" s="9"/>
      <c r="I381" s="60" t="str">
        <f t="shared" si="5"/>
        <v/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60" t="str">
        <f t="shared" si="1"/>
        <v/>
      </c>
      <c r="B382" s="9"/>
      <c r="C382" s="9"/>
      <c r="D382" s="133"/>
      <c r="E382" s="133"/>
      <c r="F382" s="69"/>
      <c r="G382" s="9"/>
      <c r="H382" s="9"/>
      <c r="I382" s="60" t="str">
        <f t="shared" si="5"/>
        <v/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60" t="str">
        <f t="shared" si="1"/>
        <v/>
      </c>
      <c r="B383" s="9"/>
      <c r="C383" s="9"/>
      <c r="D383" s="133"/>
      <c r="E383" s="133"/>
      <c r="F383" s="69"/>
      <c r="G383" s="9"/>
      <c r="H383" s="9"/>
      <c r="I383" s="60" t="str">
        <f t="shared" si="5"/>
        <v/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60" t="str">
        <f t="shared" si="1"/>
        <v/>
      </c>
      <c r="B384" s="9"/>
      <c r="C384" s="9"/>
      <c r="D384" s="133"/>
      <c r="E384" s="133"/>
      <c r="F384" s="69"/>
      <c r="G384" s="9"/>
      <c r="H384" s="9"/>
      <c r="I384" s="60" t="str">
        <f t="shared" si="5"/>
        <v/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60" t="str">
        <f t="shared" si="1"/>
        <v/>
      </c>
      <c r="B385" s="9"/>
      <c r="C385" s="9"/>
      <c r="D385" s="133"/>
      <c r="E385" s="133"/>
      <c r="F385" s="69"/>
      <c r="G385" s="9"/>
      <c r="H385" s="9"/>
      <c r="I385" s="60" t="str">
        <f t="shared" si="5"/>
        <v/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60" t="str">
        <f t="shared" si="1"/>
        <v/>
      </c>
      <c r="B386" s="9"/>
      <c r="C386" s="9"/>
      <c r="D386" s="133"/>
      <c r="E386" s="133"/>
      <c r="F386" s="69"/>
      <c r="G386" s="9"/>
      <c r="H386" s="9"/>
      <c r="I386" s="60" t="str">
        <f t="shared" si="5"/>
        <v/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60" t="str">
        <f t="shared" si="1"/>
        <v/>
      </c>
      <c r="B387" s="9"/>
      <c r="C387" s="9"/>
      <c r="D387" s="133"/>
      <c r="E387" s="133"/>
      <c r="F387" s="69"/>
      <c r="G387" s="9"/>
      <c r="H387" s="9"/>
      <c r="I387" s="60" t="str">
        <f t="shared" si="5"/>
        <v/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60" t="str">
        <f t="shared" si="1"/>
        <v/>
      </c>
      <c r="B388" s="9"/>
      <c r="C388" s="9"/>
      <c r="D388" s="133"/>
      <c r="E388" s="133"/>
      <c r="F388" s="69"/>
      <c r="G388" s="9"/>
      <c r="H388" s="9"/>
      <c r="I388" s="60" t="str">
        <f t="shared" si="5"/>
        <v/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60" t="str">
        <f t="shared" si="1"/>
        <v/>
      </c>
      <c r="B389" s="9"/>
      <c r="C389" s="9"/>
      <c r="D389" s="133"/>
      <c r="E389" s="133"/>
      <c r="F389" s="69"/>
      <c r="G389" s="9"/>
      <c r="H389" s="9"/>
      <c r="I389" s="60" t="str">
        <f t="shared" si="5"/>
        <v/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60" t="str">
        <f t="shared" si="1"/>
        <v/>
      </c>
      <c r="B390" s="9"/>
      <c r="C390" s="9"/>
      <c r="D390" s="133"/>
      <c r="E390" s="133"/>
      <c r="F390" s="69"/>
      <c r="G390" s="9"/>
      <c r="H390" s="9"/>
      <c r="I390" s="60" t="str">
        <f t="shared" si="5"/>
        <v/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60" t="str">
        <f t="shared" si="1"/>
        <v/>
      </c>
      <c r="B391" s="9"/>
      <c r="C391" s="9"/>
      <c r="D391" s="133"/>
      <c r="E391" s="133"/>
      <c r="F391" s="69"/>
      <c r="G391" s="9"/>
      <c r="H391" s="9"/>
      <c r="I391" s="60" t="str">
        <f t="shared" si="5"/>
        <v/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60" t="str">
        <f t="shared" si="1"/>
        <v/>
      </c>
      <c r="B392" s="9"/>
      <c r="C392" s="9"/>
      <c r="D392" s="133"/>
      <c r="E392" s="133"/>
      <c r="F392" s="69"/>
      <c r="G392" s="9"/>
      <c r="H392" s="9"/>
      <c r="I392" s="60" t="str">
        <f t="shared" si="5"/>
        <v/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60" t="str">
        <f t="shared" si="1"/>
        <v/>
      </c>
      <c r="B393" s="9"/>
      <c r="C393" s="9"/>
      <c r="D393" s="133"/>
      <c r="E393" s="133"/>
      <c r="F393" s="69"/>
      <c r="G393" s="9"/>
      <c r="H393" s="9"/>
      <c r="I393" s="60" t="str">
        <f t="shared" si="5"/>
        <v/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60" t="str">
        <f t="shared" si="1"/>
        <v/>
      </c>
      <c r="B394" s="9"/>
      <c r="C394" s="9"/>
      <c r="D394" s="133"/>
      <c r="E394" s="133"/>
      <c r="F394" s="69"/>
      <c r="G394" s="9"/>
      <c r="H394" s="9"/>
      <c r="I394" s="60" t="str">
        <f t="shared" si="5"/>
        <v/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60" t="str">
        <f t="shared" si="1"/>
        <v/>
      </c>
      <c r="B395" s="9"/>
      <c r="C395" s="9"/>
      <c r="D395" s="133"/>
      <c r="E395" s="133"/>
      <c r="F395" s="69"/>
      <c r="G395" s="9"/>
      <c r="H395" s="9"/>
      <c r="I395" s="60" t="str">
        <f t="shared" si="5"/>
        <v/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60" t="str">
        <f t="shared" si="1"/>
        <v/>
      </c>
      <c r="B396" s="9"/>
      <c r="C396" s="9"/>
      <c r="D396" s="133"/>
      <c r="E396" s="133"/>
      <c r="F396" s="69"/>
      <c r="G396" s="9"/>
      <c r="H396" s="9"/>
      <c r="I396" s="60" t="str">
        <f t="shared" si="5"/>
        <v/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60" t="str">
        <f t="shared" si="1"/>
        <v/>
      </c>
      <c r="B397" s="9"/>
      <c r="C397" s="9"/>
      <c r="D397" s="133"/>
      <c r="E397" s="133"/>
      <c r="F397" s="69"/>
      <c r="G397" s="9"/>
      <c r="H397" s="9"/>
      <c r="I397" s="60" t="str">
        <f t="shared" si="5"/>
        <v/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60" t="str">
        <f t="shared" si="1"/>
        <v/>
      </c>
      <c r="B398" s="9"/>
      <c r="C398" s="9"/>
      <c r="D398" s="133"/>
      <c r="E398" s="133"/>
      <c r="F398" s="69"/>
      <c r="G398" s="9"/>
      <c r="H398" s="9"/>
      <c r="I398" s="60" t="str">
        <f t="shared" si="5"/>
        <v/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60" t="str">
        <f t="shared" si="1"/>
        <v/>
      </c>
      <c r="B399" s="9"/>
      <c r="C399" s="9"/>
      <c r="D399" s="133"/>
      <c r="E399" s="133"/>
      <c r="F399" s="69"/>
      <c r="G399" s="9"/>
      <c r="H399" s="9"/>
      <c r="I399" s="60" t="str">
        <f t="shared" si="5"/>
        <v/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60" t="str">
        <f t="shared" si="1"/>
        <v/>
      </c>
      <c r="B400" s="9"/>
      <c r="C400" s="9"/>
      <c r="D400" s="133"/>
      <c r="E400" s="133"/>
      <c r="F400" s="69"/>
      <c r="G400" s="9"/>
      <c r="H400" s="9"/>
      <c r="I400" s="60" t="str">
        <f t="shared" si="5"/>
        <v/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60" t="str">
        <f t="shared" si="1"/>
        <v/>
      </c>
      <c r="B401" s="9"/>
      <c r="C401" s="9"/>
      <c r="D401" s="133"/>
      <c r="E401" s="133"/>
      <c r="F401" s="69"/>
      <c r="G401" s="9"/>
      <c r="H401" s="9"/>
      <c r="I401" s="60" t="str">
        <f t="shared" si="5"/>
        <v/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60" t="str">
        <f t="shared" si="1"/>
        <v/>
      </c>
      <c r="B402" s="9"/>
      <c r="C402" s="9"/>
      <c r="D402" s="133"/>
      <c r="E402" s="133"/>
      <c r="F402" s="69"/>
      <c r="G402" s="9"/>
      <c r="H402" s="9"/>
      <c r="I402" s="60" t="str">
        <f t="shared" si="5"/>
        <v/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60" t="str">
        <f t="shared" si="1"/>
        <v/>
      </c>
      <c r="B403" s="9"/>
      <c r="C403" s="9"/>
      <c r="D403" s="133"/>
      <c r="E403" s="133"/>
      <c r="F403" s="69"/>
      <c r="G403" s="9"/>
      <c r="H403" s="9"/>
      <c r="I403" s="60" t="str">
        <f t="shared" si="5"/>
        <v/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60" t="str">
        <f t="shared" si="1"/>
        <v/>
      </c>
      <c r="B404" s="9"/>
      <c r="C404" s="9"/>
      <c r="D404" s="133"/>
      <c r="E404" s="133"/>
      <c r="F404" s="69"/>
      <c r="G404" s="9"/>
      <c r="H404" s="9"/>
      <c r="I404" s="60" t="str">
        <f t="shared" si="5"/>
        <v/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60" t="str">
        <f t="shared" si="1"/>
        <v/>
      </c>
      <c r="B405" s="9"/>
      <c r="C405" s="9"/>
      <c r="D405" s="133"/>
      <c r="E405" s="133"/>
      <c r="F405" s="69"/>
      <c r="G405" s="9"/>
      <c r="H405" s="9"/>
      <c r="I405" s="60" t="str">
        <f t="shared" si="5"/>
        <v/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60" t="str">
        <f t="shared" si="1"/>
        <v/>
      </c>
      <c r="B406" s="9"/>
      <c r="C406" s="9"/>
      <c r="D406" s="133"/>
      <c r="E406" s="133"/>
      <c r="F406" s="69"/>
      <c r="G406" s="9"/>
      <c r="H406" s="9"/>
      <c r="I406" s="60" t="str">
        <f t="shared" si="5"/>
        <v/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60" t="str">
        <f t="shared" si="1"/>
        <v/>
      </c>
      <c r="B407" s="9"/>
      <c r="C407" s="9"/>
      <c r="D407" s="133"/>
      <c r="E407" s="133"/>
      <c r="F407" s="69"/>
      <c r="G407" s="9"/>
      <c r="H407" s="9"/>
      <c r="I407" s="60" t="str">
        <f t="shared" si="5"/>
        <v/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60" t="str">
        <f t="shared" si="1"/>
        <v/>
      </c>
      <c r="B408" s="9"/>
      <c r="C408" s="9"/>
      <c r="D408" s="133"/>
      <c r="E408" s="133"/>
      <c r="F408" s="69"/>
      <c r="G408" s="9"/>
      <c r="H408" s="9"/>
      <c r="I408" s="60" t="str">
        <f t="shared" si="5"/>
        <v/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60" t="str">
        <f t="shared" si="1"/>
        <v/>
      </c>
      <c r="B409" s="9"/>
      <c r="C409" s="9"/>
      <c r="D409" s="133"/>
      <c r="E409" s="133"/>
      <c r="F409" s="69"/>
      <c r="G409" s="9"/>
      <c r="H409" s="9"/>
      <c r="I409" s="60" t="str">
        <f t="shared" si="5"/>
        <v/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60" t="str">
        <f t="shared" si="1"/>
        <v/>
      </c>
      <c r="B410" s="9"/>
      <c r="C410" s="9"/>
      <c r="D410" s="133"/>
      <c r="E410" s="133"/>
      <c r="F410" s="69"/>
      <c r="G410" s="9"/>
      <c r="H410" s="9"/>
      <c r="I410" s="60" t="str">
        <f t="shared" si="5"/>
        <v/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60" t="str">
        <f t="shared" si="1"/>
        <v/>
      </c>
      <c r="B411" s="9"/>
      <c r="C411" s="9"/>
      <c r="D411" s="133"/>
      <c r="E411" s="133"/>
      <c r="F411" s="69"/>
      <c r="G411" s="9"/>
      <c r="H411" s="9"/>
      <c r="I411" s="60" t="str">
        <f t="shared" si="5"/>
        <v/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60" t="str">
        <f t="shared" si="1"/>
        <v/>
      </c>
      <c r="B412" s="9"/>
      <c r="C412" s="9"/>
      <c r="D412" s="133"/>
      <c r="E412" s="133"/>
      <c r="F412" s="69"/>
      <c r="G412" s="9"/>
      <c r="H412" s="9"/>
      <c r="I412" s="60" t="str">
        <f t="shared" si="5"/>
        <v/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60" t="str">
        <f t="shared" si="1"/>
        <v/>
      </c>
      <c r="B413" s="9"/>
      <c r="C413" s="9"/>
      <c r="D413" s="133"/>
      <c r="E413" s="133"/>
      <c r="F413" s="69"/>
      <c r="G413" s="9"/>
      <c r="H413" s="9"/>
      <c r="I413" s="60" t="str">
        <f t="shared" si="5"/>
        <v/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60" t="str">
        <f t="shared" si="1"/>
        <v/>
      </c>
      <c r="B414" s="9"/>
      <c r="C414" s="9"/>
      <c r="D414" s="133"/>
      <c r="E414" s="133"/>
      <c r="F414" s="69"/>
      <c r="G414" s="9"/>
      <c r="H414" s="9"/>
      <c r="I414" s="60" t="str">
        <f t="shared" si="5"/>
        <v/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60" t="str">
        <f t="shared" si="1"/>
        <v/>
      </c>
      <c r="B415" s="9"/>
      <c r="C415" s="9"/>
      <c r="D415" s="133"/>
      <c r="E415" s="133"/>
      <c r="F415" s="69"/>
      <c r="G415" s="9"/>
      <c r="H415" s="9"/>
      <c r="I415" s="60" t="str">
        <f t="shared" si="5"/>
        <v/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60" t="str">
        <f t="shared" si="1"/>
        <v/>
      </c>
      <c r="B416" s="9"/>
      <c r="C416" s="9"/>
      <c r="D416" s="133"/>
      <c r="E416" s="133"/>
      <c r="F416" s="69"/>
      <c r="G416" s="9"/>
      <c r="H416" s="9"/>
      <c r="I416" s="60" t="str">
        <f t="shared" si="5"/>
        <v/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60" t="str">
        <f t="shared" si="1"/>
        <v/>
      </c>
      <c r="B417" s="9"/>
      <c r="C417" s="9"/>
      <c r="D417" s="133"/>
      <c r="E417" s="133"/>
      <c r="F417" s="69"/>
      <c r="G417" s="9"/>
      <c r="H417" s="9"/>
      <c r="I417" s="60" t="str">
        <f t="shared" si="5"/>
        <v/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60" t="str">
        <f t="shared" si="1"/>
        <v/>
      </c>
      <c r="B418" s="9"/>
      <c r="C418" s="9"/>
      <c r="D418" s="133"/>
      <c r="E418" s="133"/>
      <c r="F418" s="69"/>
      <c r="G418" s="9"/>
      <c r="H418" s="9"/>
      <c r="I418" s="60" t="str">
        <f t="shared" si="5"/>
        <v/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60" t="str">
        <f t="shared" si="1"/>
        <v/>
      </c>
      <c r="B419" s="9"/>
      <c r="C419" s="9"/>
      <c r="D419" s="133"/>
      <c r="E419" s="133"/>
      <c r="F419" s="69"/>
      <c r="G419" s="9"/>
      <c r="H419" s="9"/>
      <c r="I419" s="60" t="str">
        <f t="shared" si="5"/>
        <v/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60" t="str">
        <f t="shared" si="1"/>
        <v/>
      </c>
      <c r="B420" s="9"/>
      <c r="C420" s="9"/>
      <c r="D420" s="133"/>
      <c r="E420" s="133"/>
      <c r="F420" s="69"/>
      <c r="G420" s="9"/>
      <c r="H420" s="9"/>
      <c r="I420" s="60" t="str">
        <f t="shared" si="5"/>
        <v/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60" t="str">
        <f t="shared" si="1"/>
        <v/>
      </c>
      <c r="B421" s="9"/>
      <c r="C421" s="9"/>
      <c r="D421" s="133"/>
      <c r="E421" s="133"/>
      <c r="F421" s="69"/>
      <c r="G421" s="9"/>
      <c r="H421" s="9"/>
      <c r="I421" s="60" t="str">
        <f t="shared" si="5"/>
        <v/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60" t="str">
        <f t="shared" si="1"/>
        <v/>
      </c>
      <c r="B422" s="9"/>
      <c r="C422" s="9"/>
      <c r="D422" s="133"/>
      <c r="E422" s="133"/>
      <c r="F422" s="69"/>
      <c r="G422" s="9"/>
      <c r="H422" s="9"/>
      <c r="I422" s="60" t="str">
        <f t="shared" si="5"/>
        <v/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60" t="str">
        <f t="shared" si="1"/>
        <v/>
      </c>
      <c r="B423" s="9"/>
      <c r="C423" s="9"/>
      <c r="D423" s="133"/>
      <c r="E423" s="133"/>
      <c r="F423" s="69"/>
      <c r="G423" s="9"/>
      <c r="H423" s="9"/>
      <c r="I423" s="60" t="str">
        <f t="shared" si="5"/>
        <v/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60" t="str">
        <f t="shared" si="1"/>
        <v/>
      </c>
      <c r="B424" s="9"/>
      <c r="C424" s="9"/>
      <c r="D424" s="133"/>
      <c r="E424" s="133"/>
      <c r="F424" s="69"/>
      <c r="G424" s="9"/>
      <c r="H424" s="9"/>
      <c r="I424" s="60" t="str">
        <f t="shared" si="5"/>
        <v/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60" t="str">
        <f t="shared" si="1"/>
        <v/>
      </c>
      <c r="B425" s="9"/>
      <c r="C425" s="9"/>
      <c r="D425" s="133"/>
      <c r="E425" s="133"/>
      <c r="F425" s="69"/>
      <c r="G425" s="9"/>
      <c r="H425" s="9"/>
      <c r="I425" s="60" t="str">
        <f t="shared" si="5"/>
        <v/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60" t="str">
        <f t="shared" si="1"/>
        <v/>
      </c>
      <c r="B426" s="9"/>
      <c r="C426" s="9"/>
      <c r="D426" s="133"/>
      <c r="E426" s="133"/>
      <c r="F426" s="69"/>
      <c r="G426" s="9"/>
      <c r="H426" s="9"/>
      <c r="I426" s="60" t="str">
        <f t="shared" si="5"/>
        <v/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60" t="str">
        <f t="shared" si="1"/>
        <v/>
      </c>
      <c r="B427" s="9"/>
      <c r="C427" s="9"/>
      <c r="D427" s="133"/>
      <c r="E427" s="133"/>
      <c r="F427" s="69"/>
      <c r="G427" s="9"/>
      <c r="H427" s="9"/>
      <c r="I427" s="60" t="str">
        <f t="shared" si="5"/>
        <v/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60" t="str">
        <f t="shared" si="1"/>
        <v/>
      </c>
      <c r="B428" s="9"/>
      <c r="C428" s="9"/>
      <c r="D428" s="133"/>
      <c r="E428" s="133"/>
      <c r="F428" s="69"/>
      <c r="G428" s="9"/>
      <c r="H428" s="9"/>
      <c r="I428" s="60" t="str">
        <f t="shared" si="5"/>
        <v/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60" t="str">
        <f t="shared" si="1"/>
        <v/>
      </c>
      <c r="B429" s="9"/>
      <c r="C429" s="9"/>
      <c r="D429" s="133"/>
      <c r="E429" s="133"/>
      <c r="F429" s="69"/>
      <c r="G429" s="9"/>
      <c r="H429" s="9"/>
      <c r="I429" s="60" t="str">
        <f t="shared" si="5"/>
        <v/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60" t="str">
        <f t="shared" si="1"/>
        <v/>
      </c>
      <c r="B430" s="9"/>
      <c r="C430" s="9"/>
      <c r="D430" s="133"/>
      <c r="E430" s="133"/>
      <c r="F430" s="69"/>
      <c r="G430" s="9"/>
      <c r="H430" s="9"/>
      <c r="I430" s="60" t="str">
        <f t="shared" si="5"/>
        <v/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60" t="str">
        <f t="shared" si="1"/>
        <v/>
      </c>
      <c r="B431" s="9"/>
      <c r="C431" s="9"/>
      <c r="D431" s="133"/>
      <c r="E431" s="133"/>
      <c r="F431" s="69"/>
      <c r="G431" s="9"/>
      <c r="H431" s="9"/>
      <c r="I431" s="60" t="str">
        <f t="shared" si="5"/>
        <v/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60" t="str">
        <f t="shared" si="1"/>
        <v/>
      </c>
      <c r="B432" s="9"/>
      <c r="C432" s="9"/>
      <c r="D432" s="133"/>
      <c r="E432" s="133"/>
      <c r="F432" s="69"/>
      <c r="G432" s="9"/>
      <c r="H432" s="9"/>
      <c r="I432" s="60" t="str">
        <f t="shared" si="5"/>
        <v/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60" t="str">
        <f t="shared" si="1"/>
        <v/>
      </c>
      <c r="B433" s="9"/>
      <c r="C433" s="9"/>
      <c r="D433" s="133"/>
      <c r="E433" s="133"/>
      <c r="F433" s="69"/>
      <c r="G433" s="9"/>
      <c r="H433" s="9"/>
      <c r="I433" s="60" t="str">
        <f t="shared" si="5"/>
        <v/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60" t="str">
        <f t="shared" si="1"/>
        <v/>
      </c>
      <c r="B434" s="9"/>
      <c r="C434" s="9"/>
      <c r="D434" s="133"/>
      <c r="E434" s="133"/>
      <c r="F434" s="69"/>
      <c r="G434" s="9"/>
      <c r="H434" s="9"/>
      <c r="I434" s="60" t="str">
        <f t="shared" si="5"/>
        <v/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60" t="str">
        <f t="shared" si="1"/>
        <v/>
      </c>
      <c r="B435" s="9"/>
      <c r="C435" s="9"/>
      <c r="D435" s="133"/>
      <c r="E435" s="133"/>
      <c r="F435" s="69"/>
      <c r="G435" s="9"/>
      <c r="H435" s="9"/>
      <c r="I435" s="60" t="str">
        <f t="shared" si="5"/>
        <v/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60" t="str">
        <f t="shared" si="1"/>
        <v/>
      </c>
      <c r="B436" s="9"/>
      <c r="C436" s="9"/>
      <c r="D436" s="133"/>
      <c r="E436" s="133"/>
      <c r="F436" s="69"/>
      <c r="G436" s="9"/>
      <c r="H436" s="9"/>
      <c r="I436" s="60" t="str">
        <f t="shared" si="5"/>
        <v/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60" t="str">
        <f t="shared" si="1"/>
        <v/>
      </c>
      <c r="B437" s="9"/>
      <c r="C437" s="9"/>
      <c r="D437" s="133"/>
      <c r="E437" s="133"/>
      <c r="F437" s="69"/>
      <c r="G437" s="9"/>
      <c r="H437" s="9"/>
      <c r="I437" s="60" t="str">
        <f t="shared" si="5"/>
        <v/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60" t="str">
        <f t="shared" si="1"/>
        <v/>
      </c>
      <c r="B438" s="9"/>
      <c r="C438" s="9"/>
      <c r="D438" s="133"/>
      <c r="E438" s="133"/>
      <c r="F438" s="69"/>
      <c r="G438" s="9"/>
      <c r="H438" s="9"/>
      <c r="I438" s="60" t="str">
        <f t="shared" si="5"/>
        <v/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60" t="str">
        <f t="shared" si="1"/>
        <v/>
      </c>
      <c r="B439" s="9"/>
      <c r="C439" s="9"/>
      <c r="D439" s="133"/>
      <c r="E439" s="133"/>
      <c r="F439" s="69"/>
      <c r="G439" s="9"/>
      <c r="H439" s="9"/>
      <c r="I439" s="60" t="str">
        <f t="shared" si="5"/>
        <v/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60" t="str">
        <f t="shared" si="1"/>
        <v/>
      </c>
      <c r="B440" s="9"/>
      <c r="C440" s="9"/>
      <c r="D440" s="133"/>
      <c r="E440" s="133"/>
      <c r="F440" s="69"/>
      <c r="G440" s="9"/>
      <c r="H440" s="9"/>
      <c r="I440" s="60" t="str">
        <f t="shared" si="5"/>
        <v/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60" t="str">
        <f t="shared" si="1"/>
        <v/>
      </c>
      <c r="B441" s="9"/>
      <c r="C441" s="9"/>
      <c r="D441" s="133"/>
      <c r="E441" s="133"/>
      <c r="F441" s="69"/>
      <c r="G441" s="9"/>
      <c r="H441" s="9"/>
      <c r="I441" s="60" t="str">
        <f t="shared" si="5"/>
        <v/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60" t="str">
        <f t="shared" si="1"/>
        <v/>
      </c>
      <c r="B442" s="9"/>
      <c r="C442" s="9"/>
      <c r="D442" s="133"/>
      <c r="E442" s="133"/>
      <c r="F442" s="69"/>
      <c r="G442" s="9"/>
      <c r="H442" s="9"/>
      <c r="I442" s="60" t="str">
        <f t="shared" si="5"/>
        <v/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60" t="str">
        <f t="shared" si="1"/>
        <v/>
      </c>
      <c r="B443" s="9"/>
      <c r="C443" s="9"/>
      <c r="D443" s="133"/>
      <c r="E443" s="133"/>
      <c r="F443" s="69"/>
      <c r="G443" s="9"/>
      <c r="H443" s="9"/>
      <c r="I443" s="60" t="str">
        <f t="shared" si="5"/>
        <v/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60" t="str">
        <f t="shared" si="1"/>
        <v/>
      </c>
      <c r="B444" s="9"/>
      <c r="C444" s="9"/>
      <c r="D444" s="133"/>
      <c r="E444" s="133"/>
      <c r="F444" s="69"/>
      <c r="G444" s="9"/>
      <c r="H444" s="9"/>
      <c r="I444" s="60" t="str">
        <f t="shared" si="5"/>
        <v/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60" t="str">
        <f t="shared" si="1"/>
        <v/>
      </c>
      <c r="B445" s="9"/>
      <c r="C445" s="9"/>
      <c r="D445" s="133"/>
      <c r="E445" s="133"/>
      <c r="F445" s="69"/>
      <c r="G445" s="9"/>
      <c r="H445" s="9"/>
      <c r="I445" s="60" t="str">
        <f t="shared" si="5"/>
        <v/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60" t="str">
        <f t="shared" si="1"/>
        <v/>
      </c>
      <c r="B446" s="9"/>
      <c r="C446" s="9"/>
      <c r="D446" s="133"/>
      <c r="E446" s="133"/>
      <c r="F446" s="69"/>
      <c r="G446" s="9"/>
      <c r="H446" s="9"/>
      <c r="I446" s="60" t="str">
        <f t="shared" si="5"/>
        <v/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60" t="str">
        <f t="shared" si="1"/>
        <v/>
      </c>
      <c r="B447" s="9"/>
      <c r="C447" s="9"/>
      <c r="D447" s="133"/>
      <c r="E447" s="133"/>
      <c r="F447" s="69"/>
      <c r="G447" s="9"/>
      <c r="H447" s="9"/>
      <c r="I447" s="60" t="str">
        <f t="shared" si="5"/>
        <v/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60" t="str">
        <f t="shared" si="1"/>
        <v/>
      </c>
      <c r="B448" s="9"/>
      <c r="C448" s="9"/>
      <c r="D448" s="133"/>
      <c r="E448" s="133"/>
      <c r="F448" s="69"/>
      <c r="G448" s="9"/>
      <c r="H448" s="9"/>
      <c r="I448" s="60" t="str">
        <f t="shared" si="5"/>
        <v/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60" t="str">
        <f t="shared" si="1"/>
        <v/>
      </c>
      <c r="B449" s="9"/>
      <c r="C449" s="9"/>
      <c r="D449" s="133"/>
      <c r="E449" s="133"/>
      <c r="F449" s="69"/>
      <c r="G449" s="9"/>
      <c r="H449" s="9"/>
      <c r="I449" s="60" t="str">
        <f t="shared" si="5"/>
        <v/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60" t="str">
        <f t="shared" si="1"/>
        <v/>
      </c>
      <c r="B450" s="9"/>
      <c r="C450" s="9"/>
      <c r="D450" s="133"/>
      <c r="E450" s="133"/>
      <c r="F450" s="69"/>
      <c r="G450" s="9"/>
      <c r="H450" s="9"/>
      <c r="I450" s="60" t="str">
        <f t="shared" si="5"/>
        <v/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60" t="str">
        <f t="shared" si="1"/>
        <v/>
      </c>
      <c r="B451" s="9"/>
      <c r="C451" s="9"/>
      <c r="D451" s="133"/>
      <c r="E451" s="133"/>
      <c r="F451" s="69"/>
      <c r="G451" s="9"/>
      <c r="H451" s="9"/>
      <c r="I451" s="60" t="str">
        <f t="shared" si="5"/>
        <v/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60" t="str">
        <f t="shared" si="1"/>
        <v/>
      </c>
      <c r="B452" s="9"/>
      <c r="C452" s="9"/>
      <c r="D452" s="133"/>
      <c r="E452" s="133"/>
      <c r="F452" s="69"/>
      <c r="G452" s="9"/>
      <c r="H452" s="9"/>
      <c r="I452" s="60" t="str">
        <f t="shared" si="5"/>
        <v/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60" t="str">
        <f t="shared" si="1"/>
        <v/>
      </c>
      <c r="B453" s="9"/>
      <c r="C453" s="9"/>
      <c r="D453" s="133"/>
      <c r="E453" s="133"/>
      <c r="F453" s="69"/>
      <c r="G453" s="9"/>
      <c r="H453" s="9"/>
      <c r="I453" s="60" t="str">
        <f t="shared" si="5"/>
        <v/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60" t="str">
        <f t="shared" si="1"/>
        <v/>
      </c>
      <c r="B454" s="9"/>
      <c r="C454" s="9"/>
      <c r="D454" s="133"/>
      <c r="E454" s="133"/>
      <c r="F454" s="69"/>
      <c r="G454" s="9"/>
      <c r="H454" s="9"/>
      <c r="I454" s="60" t="str">
        <f t="shared" si="5"/>
        <v/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60" t="str">
        <f t="shared" si="1"/>
        <v/>
      </c>
      <c r="B455" s="9"/>
      <c r="C455" s="9"/>
      <c r="D455" s="133"/>
      <c r="E455" s="133"/>
      <c r="F455" s="69"/>
      <c r="G455" s="9"/>
      <c r="H455" s="9"/>
      <c r="I455" s="60" t="str">
        <f t="shared" si="5"/>
        <v/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60" t="str">
        <f t="shared" si="1"/>
        <v/>
      </c>
      <c r="B456" s="9"/>
      <c r="C456" s="9"/>
      <c r="D456" s="133"/>
      <c r="E456" s="133"/>
      <c r="F456" s="69"/>
      <c r="G456" s="9"/>
      <c r="H456" s="9"/>
      <c r="I456" s="60" t="str">
        <f t="shared" si="5"/>
        <v/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60" t="str">
        <f t="shared" si="1"/>
        <v/>
      </c>
      <c r="B457" s="9"/>
      <c r="C457" s="9"/>
      <c r="D457" s="133"/>
      <c r="E457" s="133"/>
      <c r="F457" s="69"/>
      <c r="G457" s="9"/>
      <c r="H457" s="9"/>
      <c r="I457" s="60" t="str">
        <f t="shared" si="5"/>
        <v/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60" t="str">
        <f t="shared" si="1"/>
        <v/>
      </c>
      <c r="B458" s="9"/>
      <c r="C458" s="9"/>
      <c r="D458" s="133"/>
      <c r="E458" s="133"/>
      <c r="F458" s="69"/>
      <c r="G458" s="9"/>
      <c r="H458" s="9"/>
      <c r="I458" s="60" t="str">
        <f t="shared" si="5"/>
        <v/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60" t="str">
        <f t="shared" si="1"/>
        <v/>
      </c>
      <c r="B459" s="9"/>
      <c r="C459" s="9"/>
      <c r="D459" s="133"/>
      <c r="E459" s="133"/>
      <c r="F459" s="69"/>
      <c r="G459" s="9"/>
      <c r="H459" s="9"/>
      <c r="I459" s="60" t="str">
        <f t="shared" si="5"/>
        <v/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60" t="str">
        <f t="shared" si="1"/>
        <v/>
      </c>
      <c r="B460" s="9"/>
      <c r="C460" s="9"/>
      <c r="D460" s="133"/>
      <c r="E460" s="133"/>
      <c r="F460" s="69"/>
      <c r="G460" s="9"/>
      <c r="H460" s="9"/>
      <c r="I460" s="60" t="str">
        <f t="shared" si="5"/>
        <v/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60" t="str">
        <f t="shared" si="1"/>
        <v/>
      </c>
      <c r="B461" s="9"/>
      <c r="C461" s="9"/>
      <c r="D461" s="133"/>
      <c r="E461" s="133"/>
      <c r="F461" s="69"/>
      <c r="G461" s="9"/>
      <c r="H461" s="9"/>
      <c r="I461" s="60" t="str">
        <f t="shared" si="5"/>
        <v/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60" t="str">
        <f t="shared" si="1"/>
        <v/>
      </c>
      <c r="B462" s="9"/>
      <c r="C462" s="9"/>
      <c r="D462" s="133"/>
      <c r="E462" s="133"/>
      <c r="F462" s="69"/>
      <c r="G462" s="9"/>
      <c r="H462" s="9"/>
      <c r="I462" s="60" t="str">
        <f t="shared" si="5"/>
        <v/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60" t="str">
        <f t="shared" si="1"/>
        <v/>
      </c>
      <c r="B463" s="9"/>
      <c r="C463" s="9"/>
      <c r="D463" s="133"/>
      <c r="E463" s="133"/>
      <c r="F463" s="69"/>
      <c r="G463" s="9"/>
      <c r="H463" s="9"/>
      <c r="I463" s="60" t="str">
        <f t="shared" si="5"/>
        <v/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60" t="str">
        <f t="shared" si="1"/>
        <v/>
      </c>
      <c r="B464" s="9"/>
      <c r="C464" s="9"/>
      <c r="D464" s="133"/>
      <c r="E464" s="133"/>
      <c r="F464" s="69"/>
      <c r="G464" s="9"/>
      <c r="H464" s="9"/>
      <c r="I464" s="60" t="str">
        <f t="shared" si="5"/>
        <v/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60" t="str">
        <f t="shared" si="1"/>
        <v/>
      </c>
      <c r="B465" s="9"/>
      <c r="C465" s="9"/>
      <c r="D465" s="133"/>
      <c r="E465" s="133"/>
      <c r="F465" s="69"/>
      <c r="G465" s="9"/>
      <c r="H465" s="9"/>
      <c r="I465" s="60" t="str">
        <f t="shared" si="5"/>
        <v/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60" t="str">
        <f t="shared" si="1"/>
        <v/>
      </c>
      <c r="B466" s="9"/>
      <c r="C466" s="9"/>
      <c r="D466" s="133"/>
      <c r="E466" s="133"/>
      <c r="F466" s="69"/>
      <c r="G466" s="9"/>
      <c r="H466" s="9"/>
      <c r="I466" s="60" t="str">
        <f t="shared" si="5"/>
        <v/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60" t="str">
        <f t="shared" si="1"/>
        <v/>
      </c>
      <c r="B467" s="9"/>
      <c r="C467" s="9"/>
      <c r="D467" s="133"/>
      <c r="E467" s="133"/>
      <c r="F467" s="69"/>
      <c r="G467" s="9"/>
      <c r="H467" s="9"/>
      <c r="I467" s="60" t="str">
        <f t="shared" si="5"/>
        <v/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60" t="str">
        <f t="shared" si="1"/>
        <v/>
      </c>
      <c r="B468" s="9"/>
      <c r="C468" s="9"/>
      <c r="D468" s="133"/>
      <c r="E468" s="133"/>
      <c r="F468" s="69"/>
      <c r="G468" s="9"/>
      <c r="H468" s="9"/>
      <c r="I468" s="60" t="str">
        <f t="shared" si="5"/>
        <v/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60" t="str">
        <f t="shared" si="1"/>
        <v/>
      </c>
      <c r="B469" s="9"/>
      <c r="C469" s="9"/>
      <c r="D469" s="133"/>
      <c r="E469" s="133"/>
      <c r="F469" s="69"/>
      <c r="G469" s="9"/>
      <c r="H469" s="9"/>
      <c r="I469" s="60" t="str">
        <f t="shared" si="5"/>
        <v/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60" t="str">
        <f t="shared" si="1"/>
        <v/>
      </c>
      <c r="B470" s="9"/>
      <c r="C470" s="9"/>
      <c r="D470" s="133"/>
      <c r="E470" s="133"/>
      <c r="F470" s="69"/>
      <c r="G470" s="9"/>
      <c r="H470" s="9"/>
      <c r="I470" s="60" t="str">
        <f t="shared" si="5"/>
        <v/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60" t="str">
        <f t="shared" si="1"/>
        <v/>
      </c>
      <c r="B471" s="9"/>
      <c r="C471" s="9"/>
      <c r="D471" s="133"/>
      <c r="E471" s="133"/>
      <c r="F471" s="69"/>
      <c r="G471" s="9"/>
      <c r="H471" s="9"/>
      <c r="I471" s="60" t="str">
        <f t="shared" si="5"/>
        <v/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60" t="str">
        <f t="shared" si="1"/>
        <v/>
      </c>
      <c r="B472" s="9"/>
      <c r="C472" s="9"/>
      <c r="D472" s="133"/>
      <c r="E472" s="133"/>
      <c r="F472" s="69"/>
      <c r="G472" s="9"/>
      <c r="H472" s="9"/>
      <c r="I472" s="60" t="str">
        <f t="shared" si="5"/>
        <v/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60" t="str">
        <f t="shared" si="1"/>
        <v/>
      </c>
      <c r="B473" s="9"/>
      <c r="C473" s="9"/>
      <c r="D473" s="133"/>
      <c r="E473" s="133"/>
      <c r="F473" s="69"/>
      <c r="G473" s="9"/>
      <c r="H473" s="9"/>
      <c r="I473" s="60" t="str">
        <f t="shared" si="5"/>
        <v/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60" t="str">
        <f t="shared" si="1"/>
        <v/>
      </c>
      <c r="B474" s="9"/>
      <c r="C474" s="9"/>
      <c r="D474" s="133"/>
      <c r="E474" s="133"/>
      <c r="F474" s="69"/>
      <c r="G474" s="9"/>
      <c r="H474" s="9"/>
      <c r="I474" s="60" t="str">
        <f t="shared" si="5"/>
        <v/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60" t="str">
        <f t="shared" si="1"/>
        <v/>
      </c>
      <c r="B475" s="9"/>
      <c r="C475" s="9"/>
      <c r="D475" s="133"/>
      <c r="E475" s="133"/>
      <c r="F475" s="69"/>
      <c r="G475" s="9"/>
      <c r="H475" s="9"/>
      <c r="I475" s="60" t="str">
        <f t="shared" si="5"/>
        <v/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60" t="str">
        <f t="shared" si="1"/>
        <v/>
      </c>
      <c r="B476" s="9"/>
      <c r="C476" s="9"/>
      <c r="D476" s="133"/>
      <c r="E476" s="133"/>
      <c r="F476" s="69"/>
      <c r="G476" s="9"/>
      <c r="H476" s="9"/>
      <c r="I476" s="60" t="str">
        <f t="shared" si="5"/>
        <v/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60" t="str">
        <f t="shared" si="1"/>
        <v/>
      </c>
      <c r="B477" s="9"/>
      <c r="C477" s="9"/>
      <c r="D477" s="133"/>
      <c r="E477" s="133"/>
      <c r="F477" s="69"/>
      <c r="G477" s="9"/>
      <c r="H477" s="9"/>
      <c r="I477" s="60" t="str">
        <f t="shared" si="5"/>
        <v/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60" t="str">
        <f t="shared" si="1"/>
        <v/>
      </c>
      <c r="B478" s="9"/>
      <c r="C478" s="9"/>
      <c r="D478" s="133"/>
      <c r="E478" s="133"/>
      <c r="F478" s="69"/>
      <c r="G478" s="9"/>
      <c r="H478" s="9"/>
      <c r="I478" s="60" t="str">
        <f t="shared" si="5"/>
        <v/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60" t="str">
        <f t="shared" si="1"/>
        <v/>
      </c>
      <c r="B479" s="9"/>
      <c r="C479" s="9"/>
      <c r="D479" s="133"/>
      <c r="E479" s="133"/>
      <c r="F479" s="69"/>
      <c r="G479" s="9"/>
      <c r="H479" s="9"/>
      <c r="I479" s="60" t="str">
        <f t="shared" si="5"/>
        <v/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60" t="str">
        <f t="shared" si="1"/>
        <v/>
      </c>
      <c r="B480" s="9"/>
      <c r="C480" s="9"/>
      <c r="D480" s="133"/>
      <c r="E480" s="133"/>
      <c r="F480" s="69"/>
      <c r="G480" s="9"/>
      <c r="H480" s="9"/>
      <c r="I480" s="60" t="str">
        <f t="shared" si="5"/>
        <v/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60" t="str">
        <f t="shared" si="1"/>
        <v/>
      </c>
      <c r="B481" s="9"/>
      <c r="C481" s="9"/>
      <c r="D481" s="133"/>
      <c r="E481" s="133"/>
      <c r="F481" s="69"/>
      <c r="G481" s="9"/>
      <c r="H481" s="9"/>
      <c r="I481" s="60" t="str">
        <f t="shared" si="5"/>
        <v/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60" t="str">
        <f t="shared" si="1"/>
        <v/>
      </c>
      <c r="B482" s="9"/>
      <c r="C482" s="9"/>
      <c r="D482" s="133"/>
      <c r="E482" s="133"/>
      <c r="F482" s="69"/>
      <c r="G482" s="9"/>
      <c r="H482" s="9"/>
      <c r="I482" s="60" t="str">
        <f t="shared" si="5"/>
        <v/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60" t="str">
        <f t="shared" si="1"/>
        <v/>
      </c>
      <c r="B483" s="9"/>
      <c r="C483" s="9"/>
      <c r="D483" s="133"/>
      <c r="E483" s="133"/>
      <c r="F483" s="69"/>
      <c r="G483" s="9"/>
      <c r="H483" s="9"/>
      <c r="I483" s="60" t="str">
        <f t="shared" si="5"/>
        <v/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60" t="str">
        <f t="shared" si="1"/>
        <v/>
      </c>
      <c r="B484" s="9"/>
      <c r="C484" s="9"/>
      <c r="D484" s="133"/>
      <c r="E484" s="133"/>
      <c r="F484" s="69"/>
      <c r="G484" s="9"/>
      <c r="H484" s="9"/>
      <c r="I484" s="60" t="str">
        <f t="shared" si="5"/>
        <v/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60" t="str">
        <f t="shared" si="1"/>
        <v/>
      </c>
      <c r="B485" s="9"/>
      <c r="C485" s="9"/>
      <c r="D485" s="133"/>
      <c r="E485" s="133"/>
      <c r="F485" s="69"/>
      <c r="G485" s="9"/>
      <c r="H485" s="9"/>
      <c r="I485" s="60" t="str">
        <f t="shared" si="5"/>
        <v/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60" t="str">
        <f t="shared" si="1"/>
        <v/>
      </c>
      <c r="B486" s="9"/>
      <c r="C486" s="9"/>
      <c r="D486" s="133"/>
      <c r="E486" s="133"/>
      <c r="F486" s="69"/>
      <c r="G486" s="9"/>
      <c r="H486" s="9"/>
      <c r="I486" s="60" t="str">
        <f t="shared" si="5"/>
        <v/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60" t="str">
        <f t="shared" si="1"/>
        <v/>
      </c>
      <c r="B487" s="9"/>
      <c r="C487" s="9"/>
      <c r="D487" s="133"/>
      <c r="E487" s="133"/>
      <c r="F487" s="69"/>
      <c r="G487" s="9"/>
      <c r="H487" s="9"/>
      <c r="I487" s="60" t="str">
        <f t="shared" si="5"/>
        <v/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60" t="str">
        <f t="shared" si="1"/>
        <v/>
      </c>
      <c r="B488" s="9"/>
      <c r="C488" s="9"/>
      <c r="D488" s="133"/>
      <c r="E488" s="133"/>
      <c r="F488" s="69"/>
      <c r="G488" s="9"/>
      <c r="H488" s="9"/>
      <c r="I488" s="60" t="str">
        <f t="shared" si="5"/>
        <v/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60" t="str">
        <f t="shared" si="1"/>
        <v/>
      </c>
      <c r="B489" s="9"/>
      <c r="C489" s="9"/>
      <c r="D489" s="133"/>
      <c r="E489" s="133"/>
      <c r="F489" s="69"/>
      <c r="G489" s="9"/>
      <c r="H489" s="9"/>
      <c r="I489" s="60" t="str">
        <f t="shared" si="5"/>
        <v/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60" t="str">
        <f t="shared" si="1"/>
        <v/>
      </c>
      <c r="B490" s="9"/>
      <c r="C490" s="9"/>
      <c r="D490" s="133"/>
      <c r="E490" s="133"/>
      <c r="F490" s="69"/>
      <c r="G490" s="9"/>
      <c r="H490" s="9"/>
      <c r="I490" s="60" t="str">
        <f t="shared" si="5"/>
        <v/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60" t="str">
        <f t="shared" si="1"/>
        <v/>
      </c>
      <c r="B491" s="9"/>
      <c r="C491" s="9"/>
      <c r="D491" s="133"/>
      <c r="E491" s="133"/>
      <c r="F491" s="69"/>
      <c r="G491" s="9"/>
      <c r="H491" s="9"/>
      <c r="I491" s="60" t="str">
        <f t="shared" si="5"/>
        <v/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60" t="str">
        <f t="shared" si="1"/>
        <v/>
      </c>
      <c r="B492" s="9"/>
      <c r="C492" s="9"/>
      <c r="D492" s="133"/>
      <c r="E492" s="133"/>
      <c r="F492" s="69"/>
      <c r="G492" s="9"/>
      <c r="H492" s="9"/>
      <c r="I492" s="60" t="str">
        <f t="shared" si="5"/>
        <v/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60" t="str">
        <f t="shared" si="1"/>
        <v/>
      </c>
      <c r="B493" s="9"/>
      <c r="C493" s="9"/>
      <c r="D493" s="133"/>
      <c r="E493" s="133"/>
      <c r="F493" s="69"/>
      <c r="G493" s="9"/>
      <c r="H493" s="9"/>
      <c r="I493" s="60" t="str">
        <f t="shared" si="5"/>
        <v/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60" t="str">
        <f t="shared" si="1"/>
        <v/>
      </c>
      <c r="B494" s="9"/>
      <c r="C494" s="9"/>
      <c r="D494" s="133"/>
      <c r="E494" s="133"/>
      <c r="F494" s="69"/>
      <c r="G494" s="9"/>
      <c r="H494" s="9"/>
      <c r="I494" s="60" t="str">
        <f t="shared" si="5"/>
        <v/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60" t="str">
        <f t="shared" si="1"/>
        <v/>
      </c>
      <c r="B495" s="9"/>
      <c r="C495" s="9"/>
      <c r="D495" s="133"/>
      <c r="E495" s="133"/>
      <c r="F495" s="69"/>
      <c r="G495" s="9"/>
      <c r="H495" s="9"/>
      <c r="I495" s="60" t="str">
        <f t="shared" si="5"/>
        <v/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60" t="str">
        <f t="shared" si="1"/>
        <v/>
      </c>
      <c r="B496" s="9"/>
      <c r="C496" s="9"/>
      <c r="D496" s="133"/>
      <c r="E496" s="133"/>
      <c r="F496" s="69"/>
      <c r="G496" s="9"/>
      <c r="H496" s="9"/>
      <c r="I496" s="60" t="str">
        <f t="shared" si="5"/>
        <v/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60" t="str">
        <f t="shared" si="1"/>
        <v/>
      </c>
      <c r="B497" s="9"/>
      <c r="C497" s="9"/>
      <c r="D497" s="133"/>
      <c r="E497" s="133"/>
      <c r="F497" s="69"/>
      <c r="G497" s="9"/>
      <c r="H497" s="9"/>
      <c r="I497" s="60" t="str">
        <f t="shared" si="5"/>
        <v/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60" t="str">
        <f t="shared" si="1"/>
        <v/>
      </c>
      <c r="B498" s="9"/>
      <c r="C498" s="9"/>
      <c r="D498" s="133"/>
      <c r="E498" s="133"/>
      <c r="F498" s="69"/>
      <c r="G498" s="9"/>
      <c r="H498" s="9"/>
      <c r="I498" s="60" t="str">
        <f t="shared" si="5"/>
        <v/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60" t="str">
        <f t="shared" si="1"/>
        <v/>
      </c>
      <c r="B499" s="9"/>
      <c r="C499" s="9"/>
      <c r="D499" s="133"/>
      <c r="E499" s="133"/>
      <c r="F499" s="69"/>
      <c r="G499" s="9"/>
      <c r="H499" s="9"/>
      <c r="I499" s="60" t="str">
        <f t="shared" si="5"/>
        <v/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60" t="str">
        <f t="shared" si="1"/>
        <v/>
      </c>
      <c r="B500" s="9"/>
      <c r="C500" s="9"/>
      <c r="D500" s="133"/>
      <c r="E500" s="133"/>
      <c r="F500" s="69"/>
      <c r="G500" s="9"/>
      <c r="H500" s="9"/>
      <c r="I500" s="60" t="str">
        <f t="shared" si="5"/>
        <v/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60" t="str">
        <f t="shared" si="1"/>
        <v/>
      </c>
      <c r="B501" s="9"/>
      <c r="C501" s="9"/>
      <c r="D501" s="133"/>
      <c r="E501" s="133"/>
      <c r="F501" s="69"/>
      <c r="G501" s="9"/>
      <c r="H501" s="9"/>
      <c r="I501" s="60" t="str">
        <f t="shared" si="5"/>
        <v/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60" t="str">
        <f t="shared" si="1"/>
        <v/>
      </c>
      <c r="B502" s="9"/>
      <c r="C502" s="9"/>
      <c r="D502" s="133"/>
      <c r="E502" s="133"/>
      <c r="F502" s="69"/>
      <c r="G502" s="9"/>
      <c r="H502" s="9"/>
      <c r="I502" s="60" t="str">
        <f t="shared" si="5"/>
        <v/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60" t="str">
        <f t="shared" si="1"/>
        <v/>
      </c>
      <c r="B503" s="9"/>
      <c r="C503" s="9"/>
      <c r="D503" s="133"/>
      <c r="E503" s="133"/>
      <c r="F503" s="69"/>
      <c r="G503" s="9"/>
      <c r="H503" s="9"/>
      <c r="I503" s="60" t="str">
        <f t="shared" si="5"/>
        <v/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60" t="str">
        <f t="shared" si="1"/>
        <v/>
      </c>
      <c r="B504" s="9"/>
      <c r="C504" s="9"/>
      <c r="D504" s="133"/>
      <c r="E504" s="133"/>
      <c r="F504" s="69"/>
      <c r="G504" s="9"/>
      <c r="H504" s="9"/>
      <c r="I504" s="60" t="str">
        <f t="shared" si="5"/>
        <v/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60" t="str">
        <f t="shared" si="1"/>
        <v/>
      </c>
      <c r="B505" s="9"/>
      <c r="C505" s="9"/>
      <c r="D505" s="133"/>
      <c r="E505" s="133"/>
      <c r="F505" s="69"/>
      <c r="G505" s="9"/>
      <c r="H505" s="9"/>
      <c r="I505" s="60" t="str">
        <f t="shared" si="5"/>
        <v/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60" t="str">
        <f t="shared" si="1"/>
        <v/>
      </c>
      <c r="B506" s="9"/>
      <c r="C506" s="9"/>
      <c r="D506" s="133"/>
      <c r="E506" s="133"/>
      <c r="F506" s="69"/>
      <c r="G506" s="9"/>
      <c r="H506" s="9"/>
      <c r="I506" s="60" t="str">
        <f t="shared" si="5"/>
        <v/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60" t="str">
        <f t="shared" si="1"/>
        <v/>
      </c>
      <c r="B507" s="9"/>
      <c r="C507" s="9"/>
      <c r="D507" s="133"/>
      <c r="E507" s="133"/>
      <c r="F507" s="69"/>
      <c r="G507" s="9"/>
      <c r="H507" s="9"/>
      <c r="I507" s="60" t="str">
        <f t="shared" si="5"/>
        <v/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60" t="str">
        <f t="shared" si="1"/>
        <v/>
      </c>
      <c r="B508" s="9"/>
      <c r="C508" s="9"/>
      <c r="D508" s="133"/>
      <c r="E508" s="133"/>
      <c r="F508" s="69"/>
      <c r="G508" s="9"/>
      <c r="H508" s="9"/>
      <c r="I508" s="60" t="str">
        <f t="shared" si="5"/>
        <v/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60" t="str">
        <f t="shared" si="1"/>
        <v/>
      </c>
      <c r="B509" s="9"/>
      <c r="C509" s="9"/>
      <c r="D509" s="133"/>
      <c r="E509" s="133"/>
      <c r="F509" s="69"/>
      <c r="G509" s="9"/>
      <c r="H509" s="9"/>
      <c r="I509" s="60" t="str">
        <f t="shared" si="5"/>
        <v/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60" t="str">
        <f t="shared" si="1"/>
        <v/>
      </c>
      <c r="B510" s="9"/>
      <c r="C510" s="9"/>
      <c r="D510" s="133"/>
      <c r="E510" s="133"/>
      <c r="F510" s="69"/>
      <c r="G510" s="9"/>
      <c r="H510" s="9"/>
      <c r="I510" s="60" t="str">
        <f t="shared" si="5"/>
        <v/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60" t="str">
        <f t="shared" si="1"/>
        <v/>
      </c>
      <c r="B511" s="9"/>
      <c r="C511" s="9"/>
      <c r="D511" s="133"/>
      <c r="E511" s="133"/>
      <c r="F511" s="69"/>
      <c r="G511" s="9"/>
      <c r="H511" s="9"/>
      <c r="I511" s="60" t="str">
        <f t="shared" si="5"/>
        <v/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60" t="str">
        <f t="shared" si="1"/>
        <v/>
      </c>
      <c r="B512" s="9"/>
      <c r="C512" s="9"/>
      <c r="D512" s="133"/>
      <c r="E512" s="133"/>
      <c r="F512" s="69"/>
      <c r="G512" s="9"/>
      <c r="H512" s="9"/>
      <c r="I512" s="60" t="str">
        <f t="shared" si="5"/>
        <v/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60" t="str">
        <f t="shared" si="1"/>
        <v/>
      </c>
      <c r="B513" s="9"/>
      <c r="C513" s="9"/>
      <c r="D513" s="133"/>
      <c r="E513" s="133"/>
      <c r="F513" s="69"/>
      <c r="G513" s="9"/>
      <c r="H513" s="9"/>
      <c r="I513" s="60" t="str">
        <f t="shared" si="5"/>
        <v/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60" t="str">
        <f t="shared" si="1"/>
        <v/>
      </c>
      <c r="B514" s="9"/>
      <c r="C514" s="9"/>
      <c r="D514" s="133"/>
      <c r="E514" s="133"/>
      <c r="F514" s="69"/>
      <c r="G514" s="9"/>
      <c r="H514" s="9"/>
      <c r="I514" s="60" t="str">
        <f t="shared" si="5"/>
        <v/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60" t="str">
        <f t="shared" si="1"/>
        <v/>
      </c>
      <c r="B515" s="9"/>
      <c r="C515" s="9"/>
      <c r="D515" s="133"/>
      <c r="E515" s="133"/>
      <c r="F515" s="69"/>
      <c r="G515" s="9"/>
      <c r="H515" s="9"/>
      <c r="I515" s="60" t="str">
        <f t="shared" si="5"/>
        <v/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60" t="str">
        <f t="shared" si="1"/>
        <v/>
      </c>
      <c r="B516" s="9"/>
      <c r="C516" s="9"/>
      <c r="D516" s="133"/>
      <c r="E516" s="133"/>
      <c r="F516" s="69"/>
      <c r="G516" s="9"/>
      <c r="H516" s="9"/>
      <c r="I516" s="60" t="str">
        <f t="shared" si="5"/>
        <v/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60" t="str">
        <f t="shared" si="1"/>
        <v/>
      </c>
      <c r="B517" s="9"/>
      <c r="C517" s="9"/>
      <c r="D517" s="133"/>
      <c r="E517" s="133"/>
      <c r="F517" s="69"/>
      <c r="G517" s="9"/>
      <c r="H517" s="9"/>
      <c r="I517" s="60" t="str">
        <f t="shared" si="5"/>
        <v/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60" t="str">
        <f t="shared" si="1"/>
        <v/>
      </c>
      <c r="B518" s="9"/>
      <c r="C518" s="9"/>
      <c r="D518" s="133"/>
      <c r="E518" s="133"/>
      <c r="F518" s="69"/>
      <c r="G518" s="9"/>
      <c r="H518" s="9"/>
      <c r="I518" s="60" t="str">
        <f t="shared" si="5"/>
        <v/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60" t="str">
        <f t="shared" si="1"/>
        <v/>
      </c>
      <c r="B519" s="9"/>
      <c r="C519" s="9"/>
      <c r="D519" s="133"/>
      <c r="E519" s="133"/>
      <c r="F519" s="69"/>
      <c r="G519" s="9"/>
      <c r="H519" s="9"/>
      <c r="I519" s="60" t="str">
        <f t="shared" si="5"/>
        <v/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60" t="str">
        <f t="shared" si="1"/>
        <v/>
      </c>
      <c r="B520" s="9"/>
      <c r="C520" s="9"/>
      <c r="D520" s="133"/>
      <c r="E520" s="133"/>
      <c r="F520" s="69"/>
      <c r="G520" s="9"/>
      <c r="H520" s="9"/>
      <c r="I520" s="60" t="str">
        <f t="shared" si="5"/>
        <v/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60" t="str">
        <f t="shared" si="1"/>
        <v/>
      </c>
      <c r="B521" s="9"/>
      <c r="C521" s="9"/>
      <c r="D521" s="133"/>
      <c r="E521" s="133"/>
      <c r="F521" s="69"/>
      <c r="G521" s="9"/>
      <c r="H521" s="9"/>
      <c r="I521" s="60" t="str">
        <f t="shared" si="5"/>
        <v/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60" t="str">
        <f t="shared" si="1"/>
        <v/>
      </c>
      <c r="B522" s="9"/>
      <c r="C522" s="9"/>
      <c r="D522" s="133"/>
      <c r="E522" s="133"/>
      <c r="F522" s="69"/>
      <c r="G522" s="9"/>
      <c r="H522" s="9"/>
      <c r="I522" s="60" t="str">
        <f t="shared" si="5"/>
        <v/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60" t="str">
        <f t="shared" si="1"/>
        <v/>
      </c>
      <c r="B523" s="9"/>
      <c r="C523" s="9"/>
      <c r="D523" s="133"/>
      <c r="E523" s="133"/>
      <c r="F523" s="69"/>
      <c r="G523" s="9"/>
      <c r="H523" s="9"/>
      <c r="I523" s="60" t="str">
        <f t="shared" si="5"/>
        <v/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60" t="str">
        <f t="shared" si="1"/>
        <v/>
      </c>
      <c r="B524" s="9"/>
      <c r="C524" s="9"/>
      <c r="D524" s="133"/>
      <c r="E524" s="133"/>
      <c r="F524" s="69"/>
      <c r="G524" s="9"/>
      <c r="H524" s="9"/>
      <c r="I524" s="60" t="str">
        <f t="shared" si="5"/>
        <v/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60" t="str">
        <f t="shared" si="1"/>
        <v/>
      </c>
      <c r="B525" s="9"/>
      <c r="C525" s="9"/>
      <c r="D525" s="133"/>
      <c r="E525" s="133"/>
      <c r="F525" s="69"/>
      <c r="G525" s="9"/>
      <c r="H525" s="9"/>
      <c r="I525" s="60" t="str">
        <f t="shared" si="5"/>
        <v/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60" t="str">
        <f t="shared" si="1"/>
        <v/>
      </c>
      <c r="B526" s="9"/>
      <c r="C526" s="9"/>
      <c r="D526" s="133"/>
      <c r="E526" s="133"/>
      <c r="F526" s="69"/>
      <c r="G526" s="9"/>
      <c r="H526" s="9"/>
      <c r="I526" s="60" t="str">
        <f t="shared" si="5"/>
        <v/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60" t="str">
        <f t="shared" si="1"/>
        <v/>
      </c>
      <c r="B527" s="9"/>
      <c r="C527" s="9"/>
      <c r="D527" s="133"/>
      <c r="E527" s="133"/>
      <c r="F527" s="69"/>
      <c r="G527" s="9"/>
      <c r="H527" s="9"/>
      <c r="I527" s="60" t="str">
        <f t="shared" si="5"/>
        <v/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60" t="str">
        <f t="shared" si="1"/>
        <v/>
      </c>
      <c r="B528" s="9"/>
      <c r="C528" s="9"/>
      <c r="D528" s="133"/>
      <c r="E528" s="133"/>
      <c r="F528" s="69"/>
      <c r="G528" s="9"/>
      <c r="H528" s="9"/>
      <c r="I528" s="60" t="str">
        <f t="shared" si="5"/>
        <v/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60" t="str">
        <f t="shared" si="1"/>
        <v/>
      </c>
      <c r="B529" s="9"/>
      <c r="C529" s="9"/>
      <c r="D529" s="133"/>
      <c r="E529" s="133"/>
      <c r="F529" s="69"/>
      <c r="G529" s="9"/>
      <c r="H529" s="9"/>
      <c r="I529" s="60" t="str">
        <f t="shared" si="5"/>
        <v/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60" t="str">
        <f t="shared" si="1"/>
        <v/>
      </c>
      <c r="B530" s="9"/>
      <c r="C530" s="9"/>
      <c r="D530" s="133"/>
      <c r="E530" s="133"/>
      <c r="F530" s="69"/>
      <c r="G530" s="9"/>
      <c r="H530" s="9"/>
      <c r="I530" s="60" t="str">
        <f t="shared" si="5"/>
        <v/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60" t="str">
        <f t="shared" si="1"/>
        <v/>
      </c>
      <c r="B531" s="9"/>
      <c r="C531" s="9"/>
      <c r="D531" s="133"/>
      <c r="E531" s="133"/>
      <c r="F531" s="69"/>
      <c r="G531" s="9"/>
      <c r="H531" s="9"/>
      <c r="I531" s="60" t="str">
        <f t="shared" si="5"/>
        <v/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60" t="str">
        <f t="shared" si="1"/>
        <v/>
      </c>
      <c r="B532" s="9"/>
      <c r="C532" s="9"/>
      <c r="D532" s="133"/>
      <c r="E532" s="133"/>
      <c r="F532" s="69"/>
      <c r="G532" s="9"/>
      <c r="H532" s="9"/>
      <c r="I532" s="60" t="str">
        <f t="shared" si="5"/>
        <v/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60" t="str">
        <f t="shared" si="1"/>
        <v/>
      </c>
      <c r="B533" s="9"/>
      <c r="C533" s="9"/>
      <c r="D533" s="133"/>
      <c r="E533" s="133"/>
      <c r="F533" s="69"/>
      <c r="G533" s="9"/>
      <c r="H533" s="9"/>
      <c r="I533" s="60" t="str">
        <f t="shared" si="5"/>
        <v/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60" t="str">
        <f t="shared" si="1"/>
        <v/>
      </c>
      <c r="B534" s="9"/>
      <c r="C534" s="9"/>
      <c r="D534" s="133"/>
      <c r="E534" s="133"/>
      <c r="F534" s="69"/>
      <c r="G534" s="9"/>
      <c r="H534" s="9"/>
      <c r="I534" s="60" t="str">
        <f t="shared" si="5"/>
        <v/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60" t="str">
        <f t="shared" si="1"/>
        <v/>
      </c>
      <c r="B535" s="9"/>
      <c r="C535" s="9"/>
      <c r="D535" s="133"/>
      <c r="E535" s="133"/>
      <c r="F535" s="69"/>
      <c r="G535" s="9"/>
      <c r="H535" s="9"/>
      <c r="I535" s="60" t="str">
        <f t="shared" si="5"/>
        <v/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60" t="str">
        <f t="shared" si="1"/>
        <v/>
      </c>
      <c r="B536" s="9"/>
      <c r="C536" s="9"/>
      <c r="D536" s="133"/>
      <c r="E536" s="133"/>
      <c r="F536" s="69"/>
      <c r="G536" s="9"/>
      <c r="H536" s="9"/>
      <c r="I536" s="60" t="str">
        <f t="shared" si="5"/>
        <v/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60" t="str">
        <f t="shared" si="1"/>
        <v/>
      </c>
      <c r="B537" s="9"/>
      <c r="C537" s="9"/>
      <c r="D537" s="133"/>
      <c r="E537" s="133"/>
      <c r="F537" s="69"/>
      <c r="G537" s="9"/>
      <c r="H537" s="9"/>
      <c r="I537" s="60" t="str">
        <f t="shared" si="5"/>
        <v/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60" t="str">
        <f t="shared" si="1"/>
        <v/>
      </c>
      <c r="B538" s="9"/>
      <c r="C538" s="9"/>
      <c r="D538" s="133"/>
      <c r="E538" s="133"/>
      <c r="F538" s="69"/>
      <c r="G538" s="9"/>
      <c r="H538" s="9"/>
      <c r="I538" s="60" t="str">
        <f t="shared" si="5"/>
        <v/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60" t="str">
        <f t="shared" si="1"/>
        <v/>
      </c>
      <c r="B539" s="9"/>
      <c r="C539" s="9"/>
      <c r="D539" s="133"/>
      <c r="E539" s="133"/>
      <c r="F539" s="69"/>
      <c r="G539" s="9"/>
      <c r="H539" s="9"/>
      <c r="I539" s="60" t="str">
        <f t="shared" si="5"/>
        <v/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60" t="str">
        <f t="shared" si="1"/>
        <v/>
      </c>
      <c r="B540" s="9"/>
      <c r="C540" s="9"/>
      <c r="D540" s="133"/>
      <c r="E540" s="133"/>
      <c r="F540" s="69"/>
      <c r="G540" s="9"/>
      <c r="H540" s="9"/>
      <c r="I540" s="60" t="str">
        <f t="shared" si="5"/>
        <v/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60" t="str">
        <f t="shared" si="1"/>
        <v/>
      </c>
      <c r="B541" s="9"/>
      <c r="C541" s="9"/>
      <c r="D541" s="133"/>
      <c r="E541" s="133"/>
      <c r="F541" s="69"/>
      <c r="G541" s="9"/>
      <c r="H541" s="9"/>
      <c r="I541" s="60" t="str">
        <f t="shared" si="5"/>
        <v/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60" t="str">
        <f t="shared" si="1"/>
        <v/>
      </c>
      <c r="B542" s="9"/>
      <c r="C542" s="9"/>
      <c r="D542" s="133"/>
      <c r="E542" s="133"/>
      <c r="F542" s="69"/>
      <c r="G542" s="9"/>
      <c r="H542" s="9"/>
      <c r="I542" s="60" t="str">
        <f t="shared" si="5"/>
        <v/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60" t="str">
        <f t="shared" si="1"/>
        <v/>
      </c>
      <c r="B543" s="9"/>
      <c r="C543" s="9"/>
      <c r="D543" s="133"/>
      <c r="E543" s="133"/>
      <c r="F543" s="69"/>
      <c r="G543" s="9"/>
      <c r="H543" s="9"/>
      <c r="I543" s="60" t="str">
        <f t="shared" si="5"/>
        <v/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60" t="str">
        <f t="shared" si="1"/>
        <v/>
      </c>
      <c r="B544" s="9"/>
      <c r="C544" s="9"/>
      <c r="D544" s="133"/>
      <c r="E544" s="133"/>
      <c r="F544" s="69"/>
      <c r="G544" s="9"/>
      <c r="H544" s="9"/>
      <c r="I544" s="60" t="str">
        <f t="shared" si="5"/>
        <v/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60" t="str">
        <f t="shared" si="1"/>
        <v/>
      </c>
      <c r="B545" s="9"/>
      <c r="C545" s="9"/>
      <c r="D545" s="133"/>
      <c r="E545" s="133"/>
      <c r="F545" s="69"/>
      <c r="G545" s="9"/>
      <c r="H545" s="9"/>
      <c r="I545" s="60" t="str">
        <f t="shared" si="5"/>
        <v/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60" t="str">
        <f t="shared" si="1"/>
        <v/>
      </c>
      <c r="B546" s="9"/>
      <c r="C546" s="9"/>
      <c r="D546" s="133"/>
      <c r="E546" s="133"/>
      <c r="F546" s="69"/>
      <c r="G546" s="9"/>
      <c r="H546" s="9"/>
      <c r="I546" s="60" t="str">
        <f t="shared" si="5"/>
        <v/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60" t="str">
        <f t="shared" si="1"/>
        <v/>
      </c>
      <c r="B547" s="9"/>
      <c r="C547" s="9"/>
      <c r="D547" s="133"/>
      <c r="E547" s="133"/>
      <c r="F547" s="69"/>
      <c r="G547" s="9"/>
      <c r="H547" s="9"/>
      <c r="I547" s="60" t="str">
        <f t="shared" si="5"/>
        <v/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60" t="str">
        <f t="shared" si="1"/>
        <v/>
      </c>
      <c r="B548" s="9"/>
      <c r="C548" s="9"/>
      <c r="D548" s="133"/>
      <c r="E548" s="133"/>
      <c r="F548" s="69"/>
      <c r="G548" s="9"/>
      <c r="H548" s="9"/>
      <c r="I548" s="60" t="str">
        <f t="shared" si="5"/>
        <v/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60" t="str">
        <f t="shared" si="1"/>
        <v/>
      </c>
      <c r="B549" s="9"/>
      <c r="C549" s="9"/>
      <c r="D549" s="133"/>
      <c r="E549" s="133"/>
      <c r="F549" s="69"/>
      <c r="G549" s="9"/>
      <c r="H549" s="9"/>
      <c r="I549" s="60" t="str">
        <f t="shared" si="5"/>
        <v/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60" t="str">
        <f t="shared" si="1"/>
        <v/>
      </c>
      <c r="B550" s="9"/>
      <c r="C550" s="9"/>
      <c r="D550" s="133"/>
      <c r="E550" s="133"/>
      <c r="F550" s="69"/>
      <c r="G550" s="9"/>
      <c r="H550" s="9"/>
      <c r="I550" s="60" t="str">
        <f t="shared" si="5"/>
        <v/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60" t="str">
        <f t="shared" si="1"/>
        <v/>
      </c>
      <c r="B551" s="9"/>
      <c r="C551" s="9"/>
      <c r="D551" s="133"/>
      <c r="E551" s="133"/>
      <c r="F551" s="69"/>
      <c r="G551" s="9"/>
      <c r="H551" s="9"/>
      <c r="I551" s="60" t="str">
        <f t="shared" si="5"/>
        <v/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60" t="str">
        <f t="shared" si="1"/>
        <v/>
      </c>
      <c r="B552" s="9"/>
      <c r="C552" s="9"/>
      <c r="D552" s="133"/>
      <c r="E552" s="133"/>
      <c r="F552" s="69"/>
      <c r="G552" s="9"/>
      <c r="H552" s="9"/>
      <c r="I552" s="60" t="str">
        <f t="shared" si="5"/>
        <v/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60" t="str">
        <f t="shared" si="1"/>
        <v/>
      </c>
      <c r="B553" s="9"/>
      <c r="C553" s="9"/>
      <c r="D553" s="133"/>
      <c r="E553" s="133"/>
      <c r="F553" s="69"/>
      <c r="G553" s="9"/>
      <c r="H553" s="9"/>
      <c r="I553" s="60" t="str">
        <f t="shared" si="5"/>
        <v/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60" t="str">
        <f t="shared" si="1"/>
        <v/>
      </c>
      <c r="B554" s="9"/>
      <c r="C554" s="9"/>
      <c r="D554" s="133"/>
      <c r="E554" s="133"/>
      <c r="F554" s="69"/>
      <c r="G554" s="9"/>
      <c r="H554" s="9"/>
      <c r="I554" s="60" t="str">
        <f t="shared" si="5"/>
        <v/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60" t="str">
        <f t="shared" si="1"/>
        <v/>
      </c>
      <c r="B555" s="9"/>
      <c r="C555" s="9"/>
      <c r="D555" s="133"/>
      <c r="E555" s="133"/>
      <c r="F555" s="69"/>
      <c r="G555" s="9"/>
      <c r="H555" s="9"/>
      <c r="I555" s="60" t="str">
        <f t="shared" si="5"/>
        <v/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60" t="str">
        <f t="shared" si="1"/>
        <v/>
      </c>
      <c r="B556" s="9"/>
      <c r="C556" s="9"/>
      <c r="D556" s="133"/>
      <c r="E556" s="133"/>
      <c r="F556" s="69"/>
      <c r="G556" s="9"/>
      <c r="H556" s="9"/>
      <c r="I556" s="60" t="str">
        <f t="shared" si="5"/>
        <v/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60" t="str">
        <f t="shared" si="1"/>
        <v/>
      </c>
      <c r="B557" s="9"/>
      <c r="C557" s="9"/>
      <c r="D557" s="133"/>
      <c r="E557" s="133"/>
      <c r="F557" s="69"/>
      <c r="G557" s="9"/>
      <c r="H557" s="9"/>
      <c r="I557" s="60" t="str">
        <f t="shared" si="5"/>
        <v/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60" t="str">
        <f t="shared" si="1"/>
        <v/>
      </c>
      <c r="B558" s="9"/>
      <c r="C558" s="9"/>
      <c r="D558" s="133"/>
      <c r="E558" s="133"/>
      <c r="F558" s="69"/>
      <c r="G558" s="9"/>
      <c r="H558" s="9"/>
      <c r="I558" s="60" t="str">
        <f t="shared" si="5"/>
        <v/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60" t="str">
        <f t="shared" si="1"/>
        <v/>
      </c>
      <c r="B559" s="9"/>
      <c r="C559" s="9"/>
      <c r="D559" s="133"/>
      <c r="E559" s="133"/>
      <c r="F559" s="69"/>
      <c r="G559" s="9"/>
      <c r="H559" s="9"/>
      <c r="I559" s="60" t="str">
        <f t="shared" si="5"/>
        <v/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60" t="str">
        <f t="shared" si="1"/>
        <v/>
      </c>
      <c r="B560" s="9"/>
      <c r="C560" s="9"/>
      <c r="D560" s="133"/>
      <c r="E560" s="133"/>
      <c r="F560" s="69"/>
      <c r="G560" s="9"/>
      <c r="H560" s="9"/>
      <c r="I560" s="60" t="str">
        <f t="shared" si="5"/>
        <v/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60" t="str">
        <f t="shared" si="1"/>
        <v/>
      </c>
      <c r="B561" s="9"/>
      <c r="C561" s="9"/>
      <c r="D561" s="133"/>
      <c r="E561" s="133"/>
      <c r="F561" s="69"/>
      <c r="G561" s="9"/>
      <c r="H561" s="9"/>
      <c r="I561" s="60" t="str">
        <f t="shared" si="5"/>
        <v/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60" t="str">
        <f t="shared" si="1"/>
        <v/>
      </c>
      <c r="B562" s="9"/>
      <c r="C562" s="9"/>
      <c r="D562" s="133"/>
      <c r="E562" s="133"/>
      <c r="F562" s="69"/>
      <c r="G562" s="9"/>
      <c r="H562" s="9"/>
      <c r="I562" s="60" t="str">
        <f t="shared" si="5"/>
        <v/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60" t="str">
        <f t="shared" si="1"/>
        <v/>
      </c>
      <c r="B563" s="9"/>
      <c r="C563" s="9"/>
      <c r="D563" s="133"/>
      <c r="E563" s="133"/>
      <c r="F563" s="69"/>
      <c r="G563" s="9"/>
      <c r="H563" s="9"/>
      <c r="I563" s="60" t="str">
        <f t="shared" si="5"/>
        <v/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60" t="str">
        <f t="shared" si="1"/>
        <v/>
      </c>
      <c r="B564" s="9"/>
      <c r="C564" s="9"/>
      <c r="D564" s="133"/>
      <c r="E564" s="133"/>
      <c r="F564" s="69"/>
      <c r="G564" s="9"/>
      <c r="H564" s="9"/>
      <c r="I564" s="60" t="str">
        <f t="shared" si="5"/>
        <v/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60" t="str">
        <f t="shared" si="1"/>
        <v/>
      </c>
      <c r="B565" s="9"/>
      <c r="C565" s="9"/>
      <c r="D565" s="133"/>
      <c r="E565" s="133"/>
      <c r="F565" s="69"/>
      <c r="G565" s="9"/>
      <c r="H565" s="9"/>
      <c r="I565" s="60" t="str">
        <f t="shared" si="5"/>
        <v/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60" t="str">
        <f t="shared" si="1"/>
        <v/>
      </c>
      <c r="B566" s="9"/>
      <c r="C566" s="9"/>
      <c r="D566" s="133"/>
      <c r="E566" s="133"/>
      <c r="F566" s="69"/>
      <c r="G566" s="9"/>
      <c r="H566" s="9"/>
      <c r="I566" s="60" t="str">
        <f t="shared" si="5"/>
        <v/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60" t="str">
        <f t="shared" si="1"/>
        <v/>
      </c>
      <c r="B567" s="9"/>
      <c r="C567" s="9"/>
      <c r="D567" s="133"/>
      <c r="E567" s="133"/>
      <c r="F567" s="69"/>
      <c r="G567" s="9"/>
      <c r="H567" s="9"/>
      <c r="I567" s="60" t="str">
        <f t="shared" si="5"/>
        <v/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60" t="str">
        <f t="shared" si="1"/>
        <v/>
      </c>
      <c r="B568" s="9"/>
      <c r="C568" s="9"/>
      <c r="D568" s="133"/>
      <c r="E568" s="133"/>
      <c r="F568" s="69"/>
      <c r="G568" s="9"/>
      <c r="H568" s="9"/>
      <c r="I568" s="60" t="str">
        <f t="shared" si="5"/>
        <v/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60" t="str">
        <f t="shared" si="1"/>
        <v/>
      </c>
      <c r="B569" s="9"/>
      <c r="C569" s="9"/>
      <c r="D569" s="133"/>
      <c r="E569" s="133"/>
      <c r="F569" s="69"/>
      <c r="G569" s="9"/>
      <c r="H569" s="9"/>
      <c r="I569" s="60" t="str">
        <f t="shared" si="5"/>
        <v/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60" t="str">
        <f t="shared" si="1"/>
        <v/>
      </c>
      <c r="B570" s="9"/>
      <c r="C570" s="9"/>
      <c r="D570" s="133"/>
      <c r="E570" s="133"/>
      <c r="F570" s="69"/>
      <c r="G570" s="9"/>
      <c r="H570" s="9"/>
      <c r="I570" s="60" t="str">
        <f t="shared" si="5"/>
        <v/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60" t="str">
        <f t="shared" si="1"/>
        <v/>
      </c>
      <c r="B571" s="9"/>
      <c r="C571" s="9"/>
      <c r="D571" s="133"/>
      <c r="E571" s="133"/>
      <c r="F571" s="69"/>
      <c r="G571" s="9"/>
      <c r="H571" s="9"/>
      <c r="I571" s="60" t="str">
        <f t="shared" si="5"/>
        <v/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60" t="str">
        <f t="shared" si="1"/>
        <v/>
      </c>
      <c r="B572" s="9"/>
      <c r="C572" s="9"/>
      <c r="D572" s="133"/>
      <c r="E572" s="133"/>
      <c r="F572" s="69"/>
      <c r="G572" s="9"/>
      <c r="H572" s="9"/>
      <c r="I572" s="60" t="str">
        <f t="shared" si="5"/>
        <v/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60" t="str">
        <f t="shared" si="1"/>
        <v/>
      </c>
      <c r="B573" s="9"/>
      <c r="C573" s="9"/>
      <c r="D573" s="133"/>
      <c r="E573" s="133"/>
      <c r="F573" s="69"/>
      <c r="G573" s="9"/>
      <c r="H573" s="9"/>
      <c r="I573" s="60" t="str">
        <f t="shared" si="5"/>
        <v/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60" t="str">
        <f t="shared" si="1"/>
        <v/>
      </c>
      <c r="B574" s="9"/>
      <c r="C574" s="9"/>
      <c r="D574" s="133"/>
      <c r="E574" s="133"/>
      <c r="F574" s="69"/>
      <c r="G574" s="9"/>
      <c r="H574" s="9"/>
      <c r="I574" s="60" t="str">
        <f t="shared" si="5"/>
        <v/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60" t="str">
        <f t="shared" si="1"/>
        <v/>
      </c>
      <c r="B575" s="9"/>
      <c r="C575" s="9"/>
      <c r="D575" s="133"/>
      <c r="E575" s="133"/>
      <c r="F575" s="69"/>
      <c r="G575" s="9"/>
      <c r="H575" s="9"/>
      <c r="I575" s="60" t="str">
        <f t="shared" si="5"/>
        <v/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60" t="str">
        <f t="shared" si="1"/>
        <v/>
      </c>
      <c r="B576" s="9"/>
      <c r="C576" s="9"/>
      <c r="D576" s="133"/>
      <c r="E576" s="133"/>
      <c r="F576" s="69"/>
      <c r="G576" s="9"/>
      <c r="H576" s="9"/>
      <c r="I576" s="60" t="str">
        <f t="shared" si="5"/>
        <v/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60" t="str">
        <f t="shared" si="1"/>
        <v/>
      </c>
      <c r="B577" s="9"/>
      <c r="C577" s="9"/>
      <c r="D577" s="133"/>
      <c r="E577" s="133"/>
      <c r="F577" s="69"/>
      <c r="G577" s="9"/>
      <c r="H577" s="9"/>
      <c r="I577" s="60" t="str">
        <f t="shared" si="5"/>
        <v/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60" t="str">
        <f t="shared" si="1"/>
        <v/>
      </c>
      <c r="B578" s="9"/>
      <c r="C578" s="9"/>
      <c r="D578" s="133"/>
      <c r="E578" s="133"/>
      <c r="F578" s="69"/>
      <c r="G578" s="9"/>
      <c r="H578" s="9"/>
      <c r="I578" s="60" t="str">
        <f t="shared" si="5"/>
        <v/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60" t="str">
        <f t="shared" si="1"/>
        <v/>
      </c>
      <c r="B579" s="9"/>
      <c r="C579" s="9"/>
      <c r="D579" s="133"/>
      <c r="E579" s="133"/>
      <c r="F579" s="69"/>
      <c r="G579" s="9"/>
      <c r="H579" s="9"/>
      <c r="I579" s="60" t="str">
        <f t="shared" si="5"/>
        <v/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60" t="str">
        <f t="shared" si="1"/>
        <v/>
      </c>
      <c r="B580" s="9"/>
      <c r="C580" s="9"/>
      <c r="D580" s="133"/>
      <c r="E580" s="133"/>
      <c r="F580" s="69"/>
      <c r="G580" s="9"/>
      <c r="H580" s="9"/>
      <c r="I580" s="60" t="str">
        <f t="shared" si="5"/>
        <v/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60" t="str">
        <f t="shared" si="1"/>
        <v/>
      </c>
      <c r="B581" s="9"/>
      <c r="C581" s="9"/>
      <c r="D581" s="133"/>
      <c r="E581" s="133"/>
      <c r="F581" s="69"/>
      <c r="G581" s="9"/>
      <c r="H581" s="9"/>
      <c r="I581" s="60" t="str">
        <f t="shared" si="5"/>
        <v/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60" t="str">
        <f t="shared" si="1"/>
        <v/>
      </c>
      <c r="B582" s="9"/>
      <c r="C582" s="9"/>
      <c r="D582" s="133"/>
      <c r="E582" s="133"/>
      <c r="F582" s="69"/>
      <c r="G582" s="9"/>
      <c r="H582" s="9"/>
      <c r="I582" s="60" t="str">
        <f t="shared" si="5"/>
        <v/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60" t="str">
        <f t="shared" si="1"/>
        <v/>
      </c>
      <c r="B583" s="9"/>
      <c r="C583" s="9"/>
      <c r="D583" s="133"/>
      <c r="E583" s="133"/>
      <c r="F583" s="69"/>
      <c r="G583" s="9"/>
      <c r="H583" s="9"/>
      <c r="I583" s="60" t="str">
        <f t="shared" si="5"/>
        <v/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60" t="str">
        <f t="shared" si="1"/>
        <v/>
      </c>
      <c r="B584" s="9"/>
      <c r="C584" s="9"/>
      <c r="D584" s="133"/>
      <c r="E584" s="133"/>
      <c r="F584" s="69"/>
      <c r="G584" s="9"/>
      <c r="H584" s="9"/>
      <c r="I584" s="60" t="str">
        <f t="shared" si="5"/>
        <v/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60" t="str">
        <f t="shared" si="1"/>
        <v/>
      </c>
      <c r="B585" s="9"/>
      <c r="C585" s="9"/>
      <c r="D585" s="133"/>
      <c r="E585" s="133"/>
      <c r="F585" s="69"/>
      <c r="G585" s="9"/>
      <c r="H585" s="9"/>
      <c r="I585" s="60" t="str">
        <f t="shared" si="5"/>
        <v/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60" t="str">
        <f t="shared" si="1"/>
        <v/>
      </c>
      <c r="B586" s="9"/>
      <c r="C586" s="9"/>
      <c r="D586" s="133"/>
      <c r="E586" s="133"/>
      <c r="F586" s="69"/>
      <c r="G586" s="9"/>
      <c r="H586" s="9"/>
      <c r="I586" s="60" t="str">
        <f t="shared" si="5"/>
        <v/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60" t="str">
        <f t="shared" si="1"/>
        <v/>
      </c>
      <c r="B587" s="9"/>
      <c r="C587" s="9"/>
      <c r="D587" s="133"/>
      <c r="E587" s="133"/>
      <c r="F587" s="69"/>
      <c r="G587" s="9"/>
      <c r="H587" s="9"/>
      <c r="I587" s="60" t="str">
        <f t="shared" si="5"/>
        <v/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60" t="str">
        <f t="shared" si="1"/>
        <v/>
      </c>
      <c r="B588" s="9"/>
      <c r="C588" s="9"/>
      <c r="D588" s="133"/>
      <c r="E588" s="133"/>
      <c r="F588" s="69"/>
      <c r="G588" s="9"/>
      <c r="H588" s="9"/>
      <c r="I588" s="60" t="str">
        <f t="shared" si="5"/>
        <v/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60" t="str">
        <f t="shared" si="1"/>
        <v/>
      </c>
      <c r="B589" s="9"/>
      <c r="C589" s="9"/>
      <c r="D589" s="133"/>
      <c r="E589" s="133"/>
      <c r="F589" s="69"/>
      <c r="G589" s="9"/>
      <c r="H589" s="9"/>
      <c r="I589" s="60" t="str">
        <f t="shared" si="5"/>
        <v/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60" t="str">
        <f t="shared" si="1"/>
        <v/>
      </c>
      <c r="B590" s="9"/>
      <c r="C590" s="9"/>
      <c r="D590" s="133"/>
      <c r="E590" s="133"/>
      <c r="F590" s="69"/>
      <c r="G590" s="9"/>
      <c r="H590" s="9"/>
      <c r="I590" s="60" t="str">
        <f t="shared" si="5"/>
        <v/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60" t="str">
        <f t="shared" si="1"/>
        <v/>
      </c>
      <c r="B591" s="9"/>
      <c r="C591" s="9"/>
      <c r="D591" s="133"/>
      <c r="E591" s="133"/>
      <c r="F591" s="69"/>
      <c r="G591" s="9"/>
      <c r="H591" s="9"/>
      <c r="I591" s="60" t="str">
        <f t="shared" si="5"/>
        <v/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60" t="str">
        <f t="shared" si="1"/>
        <v/>
      </c>
      <c r="B592" s="9"/>
      <c r="C592" s="9"/>
      <c r="D592" s="133"/>
      <c r="E592" s="133"/>
      <c r="F592" s="69"/>
      <c r="G592" s="9"/>
      <c r="H592" s="9"/>
      <c r="I592" s="60" t="str">
        <f t="shared" si="5"/>
        <v/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60" t="str">
        <f t="shared" si="1"/>
        <v/>
      </c>
      <c r="B593" s="9"/>
      <c r="C593" s="9"/>
      <c r="D593" s="133"/>
      <c r="E593" s="133"/>
      <c r="F593" s="69"/>
      <c r="G593" s="9"/>
      <c r="H593" s="9"/>
      <c r="I593" s="60" t="str">
        <f t="shared" si="5"/>
        <v/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60" t="str">
        <f t="shared" si="1"/>
        <v/>
      </c>
      <c r="B594" s="9"/>
      <c r="C594" s="9"/>
      <c r="D594" s="133"/>
      <c r="E594" s="133"/>
      <c r="F594" s="69"/>
      <c r="G594" s="9"/>
      <c r="H594" s="9"/>
      <c r="I594" s="60" t="str">
        <f t="shared" si="5"/>
        <v/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60" t="str">
        <f t="shared" si="1"/>
        <v/>
      </c>
      <c r="B595" s="9"/>
      <c r="C595" s="9"/>
      <c r="D595" s="133"/>
      <c r="E595" s="133"/>
      <c r="F595" s="69"/>
      <c r="G595" s="9"/>
      <c r="H595" s="9"/>
      <c r="I595" s="60" t="str">
        <f t="shared" si="5"/>
        <v/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60" t="str">
        <f t="shared" si="1"/>
        <v/>
      </c>
      <c r="B596" s="9"/>
      <c r="C596" s="9"/>
      <c r="D596" s="133"/>
      <c r="E596" s="133"/>
      <c r="F596" s="69"/>
      <c r="G596" s="9"/>
      <c r="H596" s="9"/>
      <c r="I596" s="60" t="str">
        <f t="shared" si="5"/>
        <v/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60" t="str">
        <f t="shared" si="1"/>
        <v/>
      </c>
      <c r="B597" s="9"/>
      <c r="C597" s="9"/>
      <c r="D597" s="133"/>
      <c r="E597" s="133"/>
      <c r="F597" s="69"/>
      <c r="G597" s="9"/>
      <c r="H597" s="9"/>
      <c r="I597" s="60" t="str">
        <f t="shared" si="5"/>
        <v/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60" t="str">
        <f t="shared" si="1"/>
        <v/>
      </c>
      <c r="B598" s="9"/>
      <c r="C598" s="9"/>
      <c r="D598" s="133"/>
      <c r="E598" s="133"/>
      <c r="F598" s="69"/>
      <c r="G598" s="9"/>
      <c r="H598" s="9"/>
      <c r="I598" s="60" t="str">
        <f t="shared" si="5"/>
        <v/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60" t="str">
        <f t="shared" si="1"/>
        <v/>
      </c>
      <c r="B599" s="9"/>
      <c r="C599" s="9"/>
      <c r="D599" s="133"/>
      <c r="E599" s="133"/>
      <c r="F599" s="69"/>
      <c r="G599" s="9"/>
      <c r="H599" s="9"/>
      <c r="I599" s="60" t="str">
        <f t="shared" si="5"/>
        <v/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60" t="str">
        <f t="shared" si="1"/>
        <v/>
      </c>
      <c r="B600" s="9"/>
      <c r="C600" s="9"/>
      <c r="D600" s="133"/>
      <c r="E600" s="133"/>
      <c r="F600" s="69"/>
      <c r="G600" s="9"/>
      <c r="H600" s="9"/>
      <c r="I600" s="60" t="str">
        <f t="shared" si="5"/>
        <v/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60" t="str">
        <f t="shared" si="1"/>
        <v/>
      </c>
      <c r="B601" s="9"/>
      <c r="C601" s="9"/>
      <c r="D601" s="133"/>
      <c r="E601" s="133"/>
      <c r="F601" s="69"/>
      <c r="G601" s="9"/>
      <c r="H601" s="9"/>
      <c r="I601" s="60" t="str">
        <f t="shared" si="5"/>
        <v/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60" t="str">
        <f t="shared" si="1"/>
        <v/>
      </c>
      <c r="B602" s="9"/>
      <c r="C602" s="9"/>
      <c r="D602" s="133"/>
      <c r="E602" s="133"/>
      <c r="F602" s="69"/>
      <c r="G602" s="9"/>
      <c r="H602" s="9"/>
      <c r="I602" s="60" t="str">
        <f t="shared" si="5"/>
        <v/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60" t="str">
        <f t="shared" si="1"/>
        <v/>
      </c>
      <c r="B603" s="9"/>
      <c r="C603" s="9"/>
      <c r="D603" s="133"/>
      <c r="E603" s="133"/>
      <c r="F603" s="69"/>
      <c r="G603" s="9"/>
      <c r="H603" s="9"/>
      <c r="I603" s="60" t="str">
        <f t="shared" si="5"/>
        <v/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60" t="str">
        <f t="shared" si="1"/>
        <v/>
      </c>
      <c r="B604" s="9"/>
      <c r="C604" s="9"/>
      <c r="D604" s="133"/>
      <c r="E604" s="133"/>
      <c r="F604" s="69"/>
      <c r="G604" s="9"/>
      <c r="H604" s="9"/>
      <c r="I604" s="60" t="str">
        <f t="shared" si="5"/>
        <v/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60" t="str">
        <f t="shared" si="1"/>
        <v/>
      </c>
      <c r="B605" s="9"/>
      <c r="C605" s="9"/>
      <c r="D605" s="133"/>
      <c r="E605" s="133"/>
      <c r="F605" s="69"/>
      <c r="G605" s="9"/>
      <c r="H605" s="9"/>
      <c r="I605" s="60" t="str">
        <f t="shared" si="5"/>
        <v/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60" t="str">
        <f t="shared" si="1"/>
        <v/>
      </c>
      <c r="B606" s="9"/>
      <c r="C606" s="9"/>
      <c r="D606" s="133"/>
      <c r="E606" s="133"/>
      <c r="F606" s="69"/>
      <c r="G606" s="9"/>
      <c r="H606" s="9"/>
      <c r="I606" s="60" t="str">
        <f t="shared" si="5"/>
        <v/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60" t="str">
        <f t="shared" si="1"/>
        <v/>
      </c>
      <c r="B607" s="9"/>
      <c r="C607" s="9"/>
      <c r="D607" s="133"/>
      <c r="E607" s="133"/>
      <c r="F607" s="69"/>
      <c r="G607" s="9"/>
      <c r="H607" s="9"/>
      <c r="I607" s="60" t="str">
        <f t="shared" si="5"/>
        <v/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60" t="str">
        <f t="shared" si="1"/>
        <v/>
      </c>
      <c r="B608" s="9"/>
      <c r="C608" s="9"/>
      <c r="D608" s="133"/>
      <c r="E608" s="133"/>
      <c r="F608" s="69"/>
      <c r="G608" s="9"/>
      <c r="H608" s="9"/>
      <c r="I608" s="60" t="str">
        <f t="shared" si="5"/>
        <v/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60" t="str">
        <f t="shared" si="1"/>
        <v/>
      </c>
      <c r="B609" s="9"/>
      <c r="C609" s="9"/>
      <c r="D609" s="133"/>
      <c r="E609" s="133"/>
      <c r="F609" s="69"/>
      <c r="G609" s="9"/>
      <c r="H609" s="9"/>
      <c r="I609" s="60" t="str">
        <f t="shared" si="5"/>
        <v/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60" t="str">
        <f t="shared" si="1"/>
        <v/>
      </c>
      <c r="B610" s="9"/>
      <c r="C610" s="9"/>
      <c r="D610" s="133"/>
      <c r="E610" s="133"/>
      <c r="F610" s="69"/>
      <c r="G610" s="9"/>
      <c r="H610" s="9"/>
      <c r="I610" s="60" t="str">
        <f t="shared" si="5"/>
        <v/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60" t="str">
        <f t="shared" si="1"/>
        <v/>
      </c>
      <c r="B611" s="9"/>
      <c r="C611" s="9"/>
      <c r="D611" s="133"/>
      <c r="E611" s="133"/>
      <c r="F611" s="69"/>
      <c r="G611" s="9"/>
      <c r="H611" s="9"/>
      <c r="I611" s="60" t="str">
        <f t="shared" si="5"/>
        <v/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60" t="str">
        <f t="shared" si="1"/>
        <v/>
      </c>
      <c r="B612" s="9"/>
      <c r="C612" s="9"/>
      <c r="D612" s="133"/>
      <c r="E612" s="133"/>
      <c r="F612" s="69"/>
      <c r="G612" s="9"/>
      <c r="H612" s="9"/>
      <c r="I612" s="60" t="str">
        <f t="shared" si="5"/>
        <v/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60" t="str">
        <f t="shared" si="1"/>
        <v/>
      </c>
      <c r="B613" s="9"/>
      <c r="C613" s="9"/>
      <c r="D613" s="133"/>
      <c r="E613" s="133"/>
      <c r="F613" s="69"/>
      <c r="G613" s="9"/>
      <c r="H613" s="9"/>
      <c r="I613" s="60" t="str">
        <f t="shared" si="5"/>
        <v/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60" t="str">
        <f t="shared" si="1"/>
        <v/>
      </c>
      <c r="B614" s="9"/>
      <c r="C614" s="9"/>
      <c r="D614" s="133"/>
      <c r="E614" s="133"/>
      <c r="F614" s="69"/>
      <c r="G614" s="9"/>
      <c r="H614" s="9"/>
      <c r="I614" s="60" t="str">
        <f t="shared" si="5"/>
        <v/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60" t="str">
        <f t="shared" si="1"/>
        <v/>
      </c>
      <c r="B615" s="9"/>
      <c r="C615" s="9"/>
      <c r="D615" s="133"/>
      <c r="E615" s="133"/>
      <c r="F615" s="69"/>
      <c r="G615" s="9"/>
      <c r="H615" s="9"/>
      <c r="I615" s="60" t="str">
        <f t="shared" si="5"/>
        <v/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60" t="str">
        <f t="shared" si="1"/>
        <v/>
      </c>
      <c r="B616" s="9"/>
      <c r="C616" s="9"/>
      <c r="D616" s="133"/>
      <c r="E616" s="133"/>
      <c r="F616" s="69"/>
      <c r="G616" s="9"/>
      <c r="H616" s="9"/>
      <c r="I616" s="60" t="str">
        <f t="shared" si="5"/>
        <v/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60" t="str">
        <f t="shared" si="1"/>
        <v/>
      </c>
      <c r="B617" s="9"/>
      <c r="C617" s="9"/>
      <c r="D617" s="133"/>
      <c r="E617" s="133"/>
      <c r="F617" s="69"/>
      <c r="G617" s="9"/>
      <c r="H617" s="9"/>
      <c r="I617" s="60" t="str">
        <f t="shared" si="5"/>
        <v/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60" t="str">
        <f t="shared" si="1"/>
        <v/>
      </c>
      <c r="B618" s="9"/>
      <c r="C618" s="9"/>
      <c r="D618" s="133"/>
      <c r="E618" s="133"/>
      <c r="F618" s="69"/>
      <c r="G618" s="9"/>
      <c r="H618" s="9"/>
      <c r="I618" s="60" t="str">
        <f t="shared" si="5"/>
        <v/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60" t="str">
        <f t="shared" si="1"/>
        <v/>
      </c>
      <c r="B619" s="9"/>
      <c r="C619" s="9"/>
      <c r="D619" s="133"/>
      <c r="E619" s="133"/>
      <c r="F619" s="69"/>
      <c r="G619" s="9"/>
      <c r="H619" s="9"/>
      <c r="I619" s="60" t="str">
        <f t="shared" si="5"/>
        <v/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60" t="str">
        <f t="shared" si="1"/>
        <v/>
      </c>
      <c r="B620" s="9"/>
      <c r="C620" s="9"/>
      <c r="D620" s="133"/>
      <c r="E620" s="133"/>
      <c r="F620" s="69"/>
      <c r="G620" s="9"/>
      <c r="H620" s="9"/>
      <c r="I620" s="60" t="str">
        <f t="shared" si="5"/>
        <v/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60" t="str">
        <f t="shared" si="1"/>
        <v/>
      </c>
      <c r="B621" s="9"/>
      <c r="C621" s="9"/>
      <c r="D621" s="133"/>
      <c r="E621" s="133"/>
      <c r="F621" s="69"/>
      <c r="G621" s="9"/>
      <c r="H621" s="9"/>
      <c r="I621" s="60" t="str">
        <f t="shared" si="5"/>
        <v/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60" t="str">
        <f t="shared" si="1"/>
        <v/>
      </c>
      <c r="B622" s="9"/>
      <c r="C622" s="9"/>
      <c r="D622" s="133"/>
      <c r="E622" s="133"/>
      <c r="F622" s="69"/>
      <c r="G622" s="9"/>
      <c r="H622" s="9"/>
      <c r="I622" s="60" t="str">
        <f t="shared" si="5"/>
        <v/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60" t="str">
        <f t="shared" si="1"/>
        <v/>
      </c>
      <c r="B623" s="9"/>
      <c r="C623" s="9"/>
      <c r="D623" s="133"/>
      <c r="E623" s="133"/>
      <c r="F623" s="69"/>
      <c r="G623" s="9"/>
      <c r="H623" s="9"/>
      <c r="I623" s="60" t="str">
        <f t="shared" si="5"/>
        <v/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60" t="str">
        <f t="shared" si="1"/>
        <v/>
      </c>
      <c r="B624" s="9"/>
      <c r="C624" s="9"/>
      <c r="D624" s="133"/>
      <c r="E624" s="133"/>
      <c r="F624" s="69"/>
      <c r="G624" s="9"/>
      <c r="H624" s="9"/>
      <c r="I624" s="60" t="str">
        <f t="shared" si="5"/>
        <v/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60" t="str">
        <f t="shared" si="1"/>
        <v/>
      </c>
      <c r="B625" s="9"/>
      <c r="C625" s="9"/>
      <c r="D625" s="133"/>
      <c r="E625" s="133"/>
      <c r="F625" s="69"/>
      <c r="G625" s="9"/>
      <c r="H625" s="9"/>
      <c r="I625" s="60" t="str">
        <f t="shared" si="5"/>
        <v/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60" t="str">
        <f t="shared" si="1"/>
        <v/>
      </c>
      <c r="B626" s="9"/>
      <c r="C626" s="9"/>
      <c r="D626" s="133"/>
      <c r="E626" s="133"/>
      <c r="F626" s="69"/>
      <c r="G626" s="9"/>
      <c r="H626" s="9"/>
      <c r="I626" s="60" t="str">
        <f t="shared" si="5"/>
        <v/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60" t="str">
        <f t="shared" si="1"/>
        <v/>
      </c>
      <c r="B627" s="9"/>
      <c r="C627" s="9"/>
      <c r="D627" s="133"/>
      <c r="E627" s="133"/>
      <c r="F627" s="69"/>
      <c r="G627" s="9"/>
      <c r="H627" s="9"/>
      <c r="I627" s="60" t="str">
        <f t="shared" si="5"/>
        <v/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60" t="str">
        <f t="shared" si="1"/>
        <v/>
      </c>
      <c r="B628" s="9"/>
      <c r="C628" s="9"/>
      <c r="D628" s="133"/>
      <c r="E628" s="133"/>
      <c r="F628" s="69"/>
      <c r="G628" s="9"/>
      <c r="H628" s="9"/>
      <c r="I628" s="60" t="str">
        <f t="shared" si="5"/>
        <v/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60" t="str">
        <f t="shared" si="1"/>
        <v/>
      </c>
      <c r="B629" s="9"/>
      <c r="C629" s="9"/>
      <c r="D629" s="133"/>
      <c r="E629" s="133"/>
      <c r="F629" s="69"/>
      <c r="G629" s="9"/>
      <c r="H629" s="9"/>
      <c r="I629" s="60" t="str">
        <f t="shared" si="5"/>
        <v/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60" t="str">
        <f t="shared" si="1"/>
        <v/>
      </c>
      <c r="B630" s="9"/>
      <c r="C630" s="9"/>
      <c r="D630" s="133"/>
      <c r="E630" s="133"/>
      <c r="F630" s="69"/>
      <c r="G630" s="9"/>
      <c r="H630" s="9"/>
      <c r="I630" s="60" t="str">
        <f t="shared" si="5"/>
        <v/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60" t="str">
        <f t="shared" si="1"/>
        <v/>
      </c>
      <c r="B631" s="9"/>
      <c r="C631" s="9"/>
      <c r="D631" s="133"/>
      <c r="E631" s="133"/>
      <c r="F631" s="69"/>
      <c r="G631" s="9"/>
      <c r="H631" s="9"/>
      <c r="I631" s="60" t="str">
        <f t="shared" si="5"/>
        <v/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60" t="str">
        <f t="shared" si="1"/>
        <v/>
      </c>
      <c r="B632" s="9"/>
      <c r="C632" s="9"/>
      <c r="D632" s="133"/>
      <c r="E632" s="133"/>
      <c r="F632" s="69"/>
      <c r="G632" s="9"/>
      <c r="H632" s="9"/>
      <c r="I632" s="60" t="str">
        <f t="shared" si="5"/>
        <v/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60" t="str">
        <f t="shared" si="1"/>
        <v/>
      </c>
      <c r="B633" s="9"/>
      <c r="C633" s="9"/>
      <c r="D633" s="133"/>
      <c r="E633" s="133"/>
      <c r="F633" s="69"/>
      <c r="G633" s="9"/>
      <c r="H633" s="9"/>
      <c r="I633" s="60" t="str">
        <f t="shared" si="5"/>
        <v/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60" t="str">
        <f t="shared" si="1"/>
        <v/>
      </c>
      <c r="B634" s="9"/>
      <c r="C634" s="9"/>
      <c r="D634" s="133"/>
      <c r="E634" s="133"/>
      <c r="F634" s="69"/>
      <c r="G634" s="9"/>
      <c r="H634" s="9"/>
      <c r="I634" s="60" t="str">
        <f t="shared" si="5"/>
        <v/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60" t="str">
        <f t="shared" si="1"/>
        <v/>
      </c>
      <c r="B635" s="9"/>
      <c r="C635" s="9"/>
      <c r="D635" s="133"/>
      <c r="E635" s="133"/>
      <c r="F635" s="69"/>
      <c r="G635" s="9"/>
      <c r="H635" s="9"/>
      <c r="I635" s="60" t="str">
        <f t="shared" si="5"/>
        <v/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60" t="str">
        <f t="shared" si="1"/>
        <v/>
      </c>
      <c r="B636" s="9"/>
      <c r="C636" s="9"/>
      <c r="D636" s="133"/>
      <c r="E636" s="133"/>
      <c r="F636" s="69"/>
      <c r="G636" s="9"/>
      <c r="H636" s="9"/>
      <c r="I636" s="60" t="str">
        <f t="shared" si="5"/>
        <v/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60" t="str">
        <f t="shared" si="1"/>
        <v/>
      </c>
      <c r="B637" s="9"/>
      <c r="C637" s="9"/>
      <c r="D637" s="133"/>
      <c r="E637" s="133"/>
      <c r="F637" s="69"/>
      <c r="G637" s="9"/>
      <c r="H637" s="9"/>
      <c r="I637" s="60" t="str">
        <f t="shared" si="5"/>
        <v/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60" t="str">
        <f t="shared" si="1"/>
        <v/>
      </c>
      <c r="B638" s="9"/>
      <c r="C638" s="9"/>
      <c r="D638" s="133"/>
      <c r="E638" s="133"/>
      <c r="F638" s="69"/>
      <c r="G638" s="9"/>
      <c r="H638" s="9"/>
      <c r="I638" s="60" t="str">
        <f t="shared" si="5"/>
        <v/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60" t="str">
        <f t="shared" si="1"/>
        <v/>
      </c>
      <c r="B639" s="9"/>
      <c r="C639" s="9"/>
      <c r="D639" s="133"/>
      <c r="E639" s="133"/>
      <c r="F639" s="69"/>
      <c r="G639" s="9"/>
      <c r="H639" s="9"/>
      <c r="I639" s="60" t="str">
        <f t="shared" si="5"/>
        <v/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60" t="str">
        <f t="shared" si="1"/>
        <v/>
      </c>
      <c r="B640" s="9"/>
      <c r="C640" s="9"/>
      <c r="D640" s="133"/>
      <c r="E640" s="133"/>
      <c r="F640" s="69"/>
      <c r="G640" s="9"/>
      <c r="H640" s="9"/>
      <c r="I640" s="60" t="str">
        <f t="shared" si="5"/>
        <v/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60" t="str">
        <f t="shared" si="1"/>
        <v/>
      </c>
      <c r="B641" s="9"/>
      <c r="C641" s="9"/>
      <c r="D641" s="133"/>
      <c r="E641" s="133"/>
      <c r="F641" s="69"/>
      <c r="G641" s="9"/>
      <c r="H641" s="9"/>
      <c r="I641" s="60" t="str">
        <f t="shared" si="5"/>
        <v/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60" t="str">
        <f t="shared" si="1"/>
        <v/>
      </c>
      <c r="B642" s="9"/>
      <c r="C642" s="9"/>
      <c r="D642" s="133"/>
      <c r="E642" s="133"/>
      <c r="F642" s="69"/>
      <c r="G642" s="9"/>
      <c r="H642" s="9"/>
      <c r="I642" s="60" t="str">
        <f t="shared" si="5"/>
        <v/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60" t="str">
        <f t="shared" si="1"/>
        <v/>
      </c>
      <c r="B643" s="9"/>
      <c r="C643" s="9"/>
      <c r="D643" s="133"/>
      <c r="E643" s="133"/>
      <c r="F643" s="69"/>
      <c r="G643" s="9"/>
      <c r="H643" s="9"/>
      <c r="I643" s="60" t="str">
        <f t="shared" si="5"/>
        <v/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60" t="str">
        <f t="shared" si="1"/>
        <v/>
      </c>
      <c r="B644" s="9"/>
      <c r="C644" s="9"/>
      <c r="D644" s="133"/>
      <c r="E644" s="133"/>
      <c r="F644" s="69"/>
      <c r="G644" s="9"/>
      <c r="H644" s="9"/>
      <c r="I644" s="60" t="str">
        <f t="shared" si="5"/>
        <v/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60" t="str">
        <f t="shared" si="1"/>
        <v/>
      </c>
      <c r="B645" s="9"/>
      <c r="C645" s="9"/>
      <c r="D645" s="133"/>
      <c r="E645" s="133"/>
      <c r="F645" s="69"/>
      <c r="G645" s="9"/>
      <c r="H645" s="9"/>
      <c r="I645" s="60" t="str">
        <f t="shared" si="5"/>
        <v/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60" t="str">
        <f t="shared" si="1"/>
        <v/>
      </c>
      <c r="B646" s="9"/>
      <c r="C646" s="9"/>
      <c r="D646" s="133"/>
      <c r="E646" s="133"/>
      <c r="F646" s="69"/>
      <c r="G646" s="9"/>
      <c r="H646" s="9"/>
      <c r="I646" s="60" t="str">
        <f t="shared" si="5"/>
        <v/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60" t="str">
        <f t="shared" si="1"/>
        <v/>
      </c>
      <c r="B647" s="9"/>
      <c r="C647" s="9"/>
      <c r="D647" s="133"/>
      <c r="E647" s="133"/>
      <c r="F647" s="69"/>
      <c r="G647" s="9"/>
      <c r="H647" s="9"/>
      <c r="I647" s="60" t="str">
        <f t="shared" si="5"/>
        <v/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60" t="str">
        <f t="shared" si="1"/>
        <v/>
      </c>
      <c r="B648" s="9"/>
      <c r="C648" s="9"/>
      <c r="D648" s="133"/>
      <c r="E648" s="133"/>
      <c r="F648" s="69"/>
      <c r="G648" s="9"/>
      <c r="H648" s="9"/>
      <c r="I648" s="60" t="str">
        <f t="shared" si="5"/>
        <v/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60" t="str">
        <f t="shared" si="1"/>
        <v/>
      </c>
      <c r="B649" s="9"/>
      <c r="C649" s="9"/>
      <c r="D649" s="133"/>
      <c r="E649" s="133"/>
      <c r="F649" s="69"/>
      <c r="G649" s="9"/>
      <c r="H649" s="9"/>
      <c r="I649" s="60" t="str">
        <f t="shared" si="5"/>
        <v/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60" t="str">
        <f t="shared" si="1"/>
        <v/>
      </c>
      <c r="B650" s="9"/>
      <c r="C650" s="9"/>
      <c r="D650" s="133"/>
      <c r="E650" s="133"/>
      <c r="F650" s="69"/>
      <c r="G650" s="9"/>
      <c r="H650" s="9"/>
      <c r="I650" s="60" t="str">
        <f t="shared" si="5"/>
        <v/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60" t="str">
        <f t="shared" si="1"/>
        <v/>
      </c>
      <c r="B651" s="9"/>
      <c r="C651" s="9"/>
      <c r="D651" s="133"/>
      <c r="E651" s="133"/>
      <c r="F651" s="69"/>
      <c r="G651" s="9"/>
      <c r="H651" s="9"/>
      <c r="I651" s="60" t="str">
        <f t="shared" si="5"/>
        <v/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60" t="str">
        <f t="shared" si="1"/>
        <v/>
      </c>
      <c r="B652" s="9"/>
      <c r="C652" s="9"/>
      <c r="D652" s="133"/>
      <c r="E652" s="133"/>
      <c r="F652" s="69"/>
      <c r="G652" s="9"/>
      <c r="H652" s="9"/>
      <c r="I652" s="60" t="str">
        <f t="shared" si="5"/>
        <v/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60" t="str">
        <f t="shared" si="1"/>
        <v/>
      </c>
      <c r="B653" s="9"/>
      <c r="C653" s="9"/>
      <c r="D653" s="133"/>
      <c r="E653" s="133"/>
      <c r="F653" s="69"/>
      <c r="G653" s="9"/>
      <c r="H653" s="9"/>
      <c r="I653" s="60" t="str">
        <f t="shared" si="5"/>
        <v/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60" t="str">
        <f t="shared" si="1"/>
        <v/>
      </c>
      <c r="B654" s="9"/>
      <c r="C654" s="9"/>
      <c r="D654" s="133"/>
      <c r="E654" s="133"/>
      <c r="F654" s="69"/>
      <c r="G654" s="9"/>
      <c r="H654" s="9"/>
      <c r="I654" s="60" t="str">
        <f t="shared" si="5"/>
        <v/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60" t="str">
        <f t="shared" si="1"/>
        <v/>
      </c>
      <c r="B655" s="9"/>
      <c r="C655" s="9"/>
      <c r="D655" s="133"/>
      <c r="E655" s="133"/>
      <c r="F655" s="69"/>
      <c r="G655" s="9"/>
      <c r="H655" s="9"/>
      <c r="I655" s="60" t="str">
        <f t="shared" si="5"/>
        <v/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60" t="str">
        <f t="shared" si="1"/>
        <v/>
      </c>
      <c r="B656" s="9"/>
      <c r="C656" s="9"/>
      <c r="D656" s="133"/>
      <c r="E656" s="133"/>
      <c r="F656" s="69"/>
      <c r="G656" s="9"/>
      <c r="H656" s="9"/>
      <c r="I656" s="60" t="str">
        <f t="shared" si="5"/>
        <v/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60" t="str">
        <f t="shared" si="1"/>
        <v/>
      </c>
      <c r="B657" s="9"/>
      <c r="C657" s="9"/>
      <c r="D657" s="133"/>
      <c r="E657" s="133"/>
      <c r="F657" s="69"/>
      <c r="G657" s="9"/>
      <c r="H657" s="9"/>
      <c r="I657" s="60" t="str">
        <f t="shared" si="5"/>
        <v/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60" t="str">
        <f t="shared" si="1"/>
        <v/>
      </c>
      <c r="B658" s="9"/>
      <c r="C658" s="9"/>
      <c r="D658" s="133"/>
      <c r="E658" s="133"/>
      <c r="F658" s="69"/>
      <c r="G658" s="9"/>
      <c r="H658" s="9"/>
      <c r="I658" s="60" t="str">
        <f t="shared" si="5"/>
        <v/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60" t="str">
        <f t="shared" si="1"/>
        <v/>
      </c>
      <c r="B659" s="9"/>
      <c r="C659" s="9"/>
      <c r="D659" s="133"/>
      <c r="E659" s="133"/>
      <c r="F659" s="69"/>
      <c r="G659" s="9"/>
      <c r="H659" s="9"/>
      <c r="I659" s="60" t="str">
        <f t="shared" si="5"/>
        <v/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60" t="str">
        <f t="shared" si="1"/>
        <v/>
      </c>
      <c r="B660" s="9"/>
      <c r="C660" s="9"/>
      <c r="D660" s="133"/>
      <c r="E660" s="133"/>
      <c r="F660" s="69"/>
      <c r="G660" s="9"/>
      <c r="H660" s="9"/>
      <c r="I660" s="60" t="str">
        <f t="shared" si="5"/>
        <v/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60" t="str">
        <f t="shared" si="1"/>
        <v/>
      </c>
      <c r="B661" s="9"/>
      <c r="C661" s="9"/>
      <c r="D661" s="133"/>
      <c r="E661" s="133"/>
      <c r="F661" s="69"/>
      <c r="G661" s="9"/>
      <c r="H661" s="9"/>
      <c r="I661" s="60" t="str">
        <f t="shared" si="5"/>
        <v/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60" t="str">
        <f t="shared" si="1"/>
        <v/>
      </c>
      <c r="B662" s="9"/>
      <c r="C662" s="9"/>
      <c r="D662" s="133"/>
      <c r="E662" s="133"/>
      <c r="F662" s="69"/>
      <c r="G662" s="9"/>
      <c r="H662" s="9"/>
      <c r="I662" s="60" t="str">
        <f t="shared" si="5"/>
        <v/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60" t="str">
        <f t="shared" si="1"/>
        <v/>
      </c>
      <c r="B663" s="9"/>
      <c r="C663" s="9"/>
      <c r="D663" s="133"/>
      <c r="E663" s="133"/>
      <c r="F663" s="69"/>
      <c r="G663" s="9"/>
      <c r="H663" s="9"/>
      <c r="I663" s="60" t="str">
        <f t="shared" si="5"/>
        <v/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60" t="str">
        <f t="shared" si="1"/>
        <v/>
      </c>
      <c r="B664" s="9"/>
      <c r="C664" s="9"/>
      <c r="D664" s="133"/>
      <c r="E664" s="133"/>
      <c r="F664" s="69"/>
      <c r="G664" s="9"/>
      <c r="H664" s="9"/>
      <c r="I664" s="60" t="str">
        <f t="shared" si="5"/>
        <v/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60" t="str">
        <f t="shared" si="1"/>
        <v/>
      </c>
      <c r="B665" s="9"/>
      <c r="C665" s="9"/>
      <c r="D665" s="133"/>
      <c r="E665" s="133"/>
      <c r="F665" s="69"/>
      <c r="G665" s="9"/>
      <c r="H665" s="9"/>
      <c r="I665" s="60" t="str">
        <f t="shared" si="5"/>
        <v/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60" t="str">
        <f t="shared" si="1"/>
        <v/>
      </c>
      <c r="B666" s="9"/>
      <c r="C666" s="9"/>
      <c r="D666" s="133"/>
      <c r="E666" s="133"/>
      <c r="F666" s="69"/>
      <c r="G666" s="9"/>
      <c r="H666" s="9"/>
      <c r="I666" s="60" t="str">
        <f t="shared" si="5"/>
        <v/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60" t="str">
        <f t="shared" si="1"/>
        <v/>
      </c>
      <c r="B667" s="9"/>
      <c r="C667" s="9"/>
      <c r="D667" s="133"/>
      <c r="E667" s="133"/>
      <c r="F667" s="69"/>
      <c r="G667" s="9"/>
      <c r="H667" s="9"/>
      <c r="I667" s="60" t="str">
        <f t="shared" si="5"/>
        <v/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60" t="str">
        <f t="shared" si="1"/>
        <v/>
      </c>
      <c r="B668" s="9"/>
      <c r="C668" s="9"/>
      <c r="D668" s="133"/>
      <c r="E668" s="133"/>
      <c r="F668" s="69"/>
      <c r="G668" s="9"/>
      <c r="H668" s="9"/>
      <c r="I668" s="60" t="str">
        <f t="shared" si="5"/>
        <v/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60" t="str">
        <f t="shared" si="1"/>
        <v/>
      </c>
      <c r="B669" s="9"/>
      <c r="C669" s="9"/>
      <c r="D669" s="133"/>
      <c r="E669" s="133"/>
      <c r="F669" s="69"/>
      <c r="G669" s="9"/>
      <c r="H669" s="9"/>
      <c r="I669" s="60" t="str">
        <f t="shared" si="5"/>
        <v/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60" t="str">
        <f t="shared" si="1"/>
        <v/>
      </c>
      <c r="B670" s="9"/>
      <c r="C670" s="9"/>
      <c r="D670" s="133"/>
      <c r="E670" s="133"/>
      <c r="F670" s="69"/>
      <c r="G670" s="9"/>
      <c r="H670" s="9"/>
      <c r="I670" s="60" t="str">
        <f t="shared" si="5"/>
        <v/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60" t="str">
        <f t="shared" si="1"/>
        <v/>
      </c>
      <c r="B671" s="9"/>
      <c r="C671" s="9"/>
      <c r="D671" s="133"/>
      <c r="E671" s="133"/>
      <c r="F671" s="69"/>
      <c r="G671" s="9"/>
      <c r="H671" s="9"/>
      <c r="I671" s="60" t="str">
        <f t="shared" si="5"/>
        <v/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60" t="str">
        <f t="shared" si="1"/>
        <v/>
      </c>
      <c r="B672" s="9"/>
      <c r="C672" s="9"/>
      <c r="D672" s="133"/>
      <c r="E672" s="133"/>
      <c r="F672" s="69"/>
      <c r="G672" s="9"/>
      <c r="H672" s="9"/>
      <c r="I672" s="60" t="str">
        <f t="shared" si="5"/>
        <v/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60" t="str">
        <f t="shared" si="1"/>
        <v/>
      </c>
      <c r="B673" s="9"/>
      <c r="C673" s="9"/>
      <c r="D673" s="133"/>
      <c r="E673" s="133"/>
      <c r="F673" s="69"/>
      <c r="G673" s="9"/>
      <c r="H673" s="9"/>
      <c r="I673" s="60" t="str">
        <f t="shared" si="5"/>
        <v/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60" t="str">
        <f t="shared" si="1"/>
        <v/>
      </c>
      <c r="B674" s="9"/>
      <c r="C674" s="9"/>
      <c r="D674" s="133"/>
      <c r="E674" s="133"/>
      <c r="F674" s="69"/>
      <c r="G674" s="9"/>
      <c r="H674" s="9"/>
      <c r="I674" s="60" t="str">
        <f t="shared" si="5"/>
        <v/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60" t="str">
        <f t="shared" si="1"/>
        <v/>
      </c>
      <c r="B675" s="9"/>
      <c r="C675" s="9"/>
      <c r="D675" s="133"/>
      <c r="E675" s="133"/>
      <c r="F675" s="69"/>
      <c r="G675" s="9"/>
      <c r="H675" s="9"/>
      <c r="I675" s="60" t="str">
        <f t="shared" si="5"/>
        <v/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60" t="str">
        <f t="shared" si="1"/>
        <v/>
      </c>
      <c r="B676" s="9"/>
      <c r="C676" s="9"/>
      <c r="D676" s="133"/>
      <c r="E676" s="133"/>
      <c r="F676" s="69"/>
      <c r="G676" s="9"/>
      <c r="H676" s="9"/>
      <c r="I676" s="60" t="str">
        <f t="shared" si="5"/>
        <v/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60" t="str">
        <f t="shared" si="1"/>
        <v/>
      </c>
      <c r="B677" s="9"/>
      <c r="C677" s="9"/>
      <c r="D677" s="133"/>
      <c r="E677" s="133"/>
      <c r="F677" s="69"/>
      <c r="G677" s="9"/>
      <c r="H677" s="9"/>
      <c r="I677" s="60" t="str">
        <f t="shared" si="5"/>
        <v/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60" t="str">
        <f t="shared" si="1"/>
        <v/>
      </c>
      <c r="B678" s="9"/>
      <c r="C678" s="9"/>
      <c r="D678" s="133"/>
      <c r="E678" s="133"/>
      <c r="F678" s="69"/>
      <c r="G678" s="9"/>
      <c r="H678" s="9"/>
      <c r="I678" s="60" t="str">
        <f t="shared" si="5"/>
        <v/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60" t="str">
        <f t="shared" si="1"/>
        <v/>
      </c>
      <c r="B679" s="9"/>
      <c r="C679" s="9"/>
      <c r="D679" s="133"/>
      <c r="E679" s="133"/>
      <c r="F679" s="69"/>
      <c r="G679" s="9"/>
      <c r="H679" s="9"/>
      <c r="I679" s="60" t="str">
        <f t="shared" si="5"/>
        <v/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60" t="str">
        <f t="shared" si="1"/>
        <v/>
      </c>
      <c r="B680" s="9"/>
      <c r="C680" s="9"/>
      <c r="D680" s="133"/>
      <c r="E680" s="133"/>
      <c r="F680" s="69"/>
      <c r="G680" s="9"/>
      <c r="H680" s="9"/>
      <c r="I680" s="60" t="str">
        <f t="shared" si="5"/>
        <v/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60" t="str">
        <f t="shared" si="1"/>
        <v/>
      </c>
      <c r="B681" s="9"/>
      <c r="C681" s="9"/>
      <c r="D681" s="133"/>
      <c r="E681" s="133"/>
      <c r="F681" s="69"/>
      <c r="G681" s="9"/>
      <c r="H681" s="9"/>
      <c r="I681" s="60" t="str">
        <f t="shared" si="5"/>
        <v/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60" t="str">
        <f t="shared" si="1"/>
        <v/>
      </c>
      <c r="B682" s="9"/>
      <c r="C682" s="9"/>
      <c r="D682" s="133"/>
      <c r="E682" s="133"/>
      <c r="F682" s="69"/>
      <c r="G682" s="9"/>
      <c r="H682" s="9"/>
      <c r="I682" s="60" t="str">
        <f t="shared" si="5"/>
        <v/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60" t="str">
        <f t="shared" si="1"/>
        <v/>
      </c>
      <c r="B683" s="9"/>
      <c r="C683" s="9"/>
      <c r="D683" s="133"/>
      <c r="E683" s="133"/>
      <c r="F683" s="69"/>
      <c r="G683" s="9"/>
      <c r="H683" s="9"/>
      <c r="I683" s="60" t="str">
        <f t="shared" si="5"/>
        <v/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60" t="str">
        <f t="shared" si="1"/>
        <v/>
      </c>
      <c r="B684" s="9"/>
      <c r="C684" s="9"/>
      <c r="D684" s="133"/>
      <c r="E684" s="133"/>
      <c r="F684" s="69"/>
      <c r="G684" s="9"/>
      <c r="H684" s="9"/>
      <c r="I684" s="60" t="str">
        <f t="shared" si="5"/>
        <v/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60" t="str">
        <f t="shared" si="1"/>
        <v/>
      </c>
      <c r="B685" s="9"/>
      <c r="C685" s="9"/>
      <c r="D685" s="133"/>
      <c r="E685" s="133"/>
      <c r="F685" s="69"/>
      <c r="G685" s="9"/>
      <c r="H685" s="9"/>
      <c r="I685" s="60" t="str">
        <f t="shared" si="5"/>
        <v/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60" t="str">
        <f t="shared" si="1"/>
        <v/>
      </c>
      <c r="B686" s="9"/>
      <c r="C686" s="9"/>
      <c r="D686" s="133"/>
      <c r="E686" s="133"/>
      <c r="F686" s="69"/>
      <c r="G686" s="9"/>
      <c r="H686" s="9"/>
      <c r="I686" s="60" t="str">
        <f t="shared" si="5"/>
        <v/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60" t="str">
        <f t="shared" si="1"/>
        <v/>
      </c>
      <c r="B687" s="9"/>
      <c r="C687" s="9"/>
      <c r="D687" s="133"/>
      <c r="E687" s="133"/>
      <c r="F687" s="69"/>
      <c r="G687" s="9"/>
      <c r="H687" s="9"/>
      <c r="I687" s="60" t="str">
        <f t="shared" si="5"/>
        <v/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60" t="str">
        <f t="shared" si="1"/>
        <v/>
      </c>
      <c r="B688" s="9"/>
      <c r="C688" s="9"/>
      <c r="D688" s="133"/>
      <c r="E688" s="133"/>
      <c r="F688" s="69"/>
      <c r="G688" s="9"/>
      <c r="H688" s="9"/>
      <c r="I688" s="60" t="str">
        <f t="shared" si="5"/>
        <v/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60" t="str">
        <f t="shared" si="1"/>
        <v/>
      </c>
      <c r="B689" s="9"/>
      <c r="C689" s="9"/>
      <c r="D689" s="133"/>
      <c r="E689" s="133"/>
      <c r="F689" s="69"/>
      <c r="G689" s="9"/>
      <c r="H689" s="9"/>
      <c r="I689" s="60" t="str">
        <f t="shared" si="5"/>
        <v/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60" t="str">
        <f t="shared" si="1"/>
        <v/>
      </c>
      <c r="B690" s="9"/>
      <c r="C690" s="9"/>
      <c r="D690" s="133"/>
      <c r="E690" s="133"/>
      <c r="F690" s="69"/>
      <c r="G690" s="9"/>
      <c r="H690" s="9"/>
      <c r="I690" s="60" t="str">
        <f t="shared" si="5"/>
        <v/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60" t="str">
        <f t="shared" si="1"/>
        <v/>
      </c>
      <c r="B691" s="9"/>
      <c r="C691" s="9"/>
      <c r="D691" s="133"/>
      <c r="E691" s="133"/>
      <c r="F691" s="69"/>
      <c r="G691" s="9"/>
      <c r="H691" s="9"/>
      <c r="I691" s="60" t="str">
        <f t="shared" si="5"/>
        <v/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60" t="str">
        <f t="shared" si="1"/>
        <v/>
      </c>
      <c r="B692" s="9"/>
      <c r="C692" s="9"/>
      <c r="D692" s="133"/>
      <c r="E692" s="133"/>
      <c r="F692" s="69"/>
      <c r="G692" s="9"/>
      <c r="H692" s="9"/>
      <c r="I692" s="60" t="str">
        <f t="shared" si="5"/>
        <v/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60" t="str">
        <f t="shared" si="1"/>
        <v/>
      </c>
      <c r="B693" s="9"/>
      <c r="C693" s="9"/>
      <c r="D693" s="133"/>
      <c r="E693" s="133"/>
      <c r="F693" s="69"/>
      <c r="G693" s="9"/>
      <c r="H693" s="9"/>
      <c r="I693" s="60" t="str">
        <f t="shared" si="5"/>
        <v/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60" t="str">
        <f t="shared" si="1"/>
        <v/>
      </c>
      <c r="B694" s="9"/>
      <c r="C694" s="9"/>
      <c r="D694" s="133"/>
      <c r="E694" s="133"/>
      <c r="F694" s="69"/>
      <c r="G694" s="9"/>
      <c r="H694" s="9"/>
      <c r="I694" s="60" t="str">
        <f t="shared" si="5"/>
        <v/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60" t="str">
        <f t="shared" si="1"/>
        <v/>
      </c>
      <c r="B695" s="9"/>
      <c r="C695" s="9"/>
      <c r="D695" s="133"/>
      <c r="E695" s="133"/>
      <c r="F695" s="69"/>
      <c r="G695" s="9"/>
      <c r="H695" s="9"/>
      <c r="I695" s="60" t="str">
        <f t="shared" si="5"/>
        <v/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60" t="str">
        <f t="shared" si="1"/>
        <v/>
      </c>
      <c r="B696" s="9"/>
      <c r="C696" s="9"/>
      <c r="D696" s="133"/>
      <c r="E696" s="133"/>
      <c r="F696" s="69"/>
      <c r="G696" s="9"/>
      <c r="H696" s="9"/>
      <c r="I696" s="60" t="str">
        <f t="shared" si="5"/>
        <v/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60" t="str">
        <f t="shared" si="1"/>
        <v/>
      </c>
      <c r="B697" s="9"/>
      <c r="C697" s="9"/>
      <c r="D697" s="133"/>
      <c r="E697" s="133"/>
      <c r="F697" s="69"/>
      <c r="G697" s="9"/>
      <c r="H697" s="9"/>
      <c r="I697" s="60" t="str">
        <f t="shared" si="5"/>
        <v/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60" t="str">
        <f t="shared" si="1"/>
        <v/>
      </c>
      <c r="B698" s="9"/>
      <c r="C698" s="9"/>
      <c r="D698" s="133"/>
      <c r="E698" s="133"/>
      <c r="F698" s="69"/>
      <c r="G698" s="9"/>
      <c r="H698" s="9"/>
      <c r="I698" s="60" t="str">
        <f t="shared" si="5"/>
        <v/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60" t="str">
        <f t="shared" si="1"/>
        <v/>
      </c>
      <c r="B699" s="9"/>
      <c r="C699" s="9"/>
      <c r="D699" s="133"/>
      <c r="E699" s="133"/>
      <c r="F699" s="69"/>
      <c r="G699" s="9"/>
      <c r="H699" s="9"/>
      <c r="I699" s="60" t="str">
        <f t="shared" si="5"/>
        <v/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60" t="str">
        <f t="shared" si="1"/>
        <v/>
      </c>
      <c r="B700" s="9"/>
      <c r="C700" s="9"/>
      <c r="D700" s="133"/>
      <c r="E700" s="133"/>
      <c r="F700" s="69"/>
      <c r="G700" s="9"/>
      <c r="H700" s="9"/>
      <c r="I700" s="60" t="str">
        <f t="shared" si="5"/>
        <v/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60" t="str">
        <f t="shared" si="1"/>
        <v/>
      </c>
      <c r="B701" s="9"/>
      <c r="C701" s="9"/>
      <c r="D701" s="133"/>
      <c r="E701" s="133"/>
      <c r="F701" s="69"/>
      <c r="G701" s="9"/>
      <c r="H701" s="9"/>
      <c r="I701" s="60" t="str">
        <f t="shared" si="5"/>
        <v/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60" t="str">
        <f t="shared" si="1"/>
        <v/>
      </c>
      <c r="B702" s="9"/>
      <c r="C702" s="9"/>
      <c r="D702" s="133"/>
      <c r="E702" s="133"/>
      <c r="F702" s="69"/>
      <c r="G702" s="9"/>
      <c r="H702" s="9"/>
      <c r="I702" s="60" t="str">
        <f t="shared" si="5"/>
        <v/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60" t="str">
        <f t="shared" si="1"/>
        <v/>
      </c>
      <c r="B703" s="9"/>
      <c r="C703" s="9"/>
      <c r="D703" s="133"/>
      <c r="E703" s="133"/>
      <c r="F703" s="69"/>
      <c r="G703" s="9"/>
      <c r="H703" s="9"/>
      <c r="I703" s="60" t="str">
        <f t="shared" si="5"/>
        <v/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60" t="str">
        <f t="shared" si="1"/>
        <v/>
      </c>
      <c r="B704" s="9"/>
      <c r="C704" s="9"/>
      <c r="D704" s="133"/>
      <c r="E704" s="133"/>
      <c r="F704" s="69"/>
      <c r="G704" s="9"/>
      <c r="H704" s="9"/>
      <c r="I704" s="60" t="str">
        <f t="shared" si="5"/>
        <v/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60" t="str">
        <f t="shared" si="1"/>
        <v/>
      </c>
      <c r="B705" s="9"/>
      <c r="C705" s="9"/>
      <c r="D705" s="133"/>
      <c r="E705" s="133"/>
      <c r="F705" s="69"/>
      <c r="G705" s="9"/>
      <c r="H705" s="9"/>
      <c r="I705" s="60" t="str">
        <f t="shared" si="5"/>
        <v/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60" t="str">
        <f t="shared" si="1"/>
        <v/>
      </c>
      <c r="B706" s="9"/>
      <c r="C706" s="9"/>
      <c r="D706" s="133"/>
      <c r="E706" s="133"/>
      <c r="F706" s="69"/>
      <c r="G706" s="9"/>
      <c r="H706" s="9"/>
      <c r="I706" s="60" t="str">
        <f t="shared" si="5"/>
        <v/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60" t="str">
        <f t="shared" si="1"/>
        <v/>
      </c>
      <c r="B707" s="9"/>
      <c r="C707" s="9"/>
      <c r="D707" s="133"/>
      <c r="E707" s="133"/>
      <c r="F707" s="69"/>
      <c r="G707" s="9"/>
      <c r="H707" s="9"/>
      <c r="I707" s="60" t="str">
        <f t="shared" si="5"/>
        <v/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60" t="str">
        <f t="shared" si="1"/>
        <v/>
      </c>
      <c r="B708" s="9"/>
      <c r="C708" s="9"/>
      <c r="D708" s="133"/>
      <c r="E708" s="133"/>
      <c r="F708" s="69"/>
      <c r="G708" s="9"/>
      <c r="H708" s="9"/>
      <c r="I708" s="60" t="str">
        <f t="shared" si="5"/>
        <v/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60" t="str">
        <f t="shared" si="1"/>
        <v/>
      </c>
      <c r="B709" s="9"/>
      <c r="C709" s="9"/>
      <c r="D709" s="133"/>
      <c r="E709" s="133"/>
      <c r="F709" s="69"/>
      <c r="G709" s="9"/>
      <c r="H709" s="9"/>
      <c r="I709" s="60" t="str">
        <f t="shared" si="5"/>
        <v/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60" t="str">
        <f t="shared" si="1"/>
        <v/>
      </c>
      <c r="B710" s="9"/>
      <c r="C710" s="9"/>
      <c r="D710" s="133"/>
      <c r="E710" s="133"/>
      <c r="F710" s="69"/>
      <c r="G710" s="9"/>
      <c r="H710" s="9"/>
      <c r="I710" s="60" t="str">
        <f t="shared" si="5"/>
        <v/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60" t="str">
        <f t="shared" si="1"/>
        <v/>
      </c>
      <c r="B711" s="9"/>
      <c r="C711" s="9"/>
      <c r="D711" s="133"/>
      <c r="E711" s="133"/>
      <c r="F711" s="69"/>
      <c r="G711" s="9"/>
      <c r="H711" s="9"/>
      <c r="I711" s="60" t="str">
        <f t="shared" si="5"/>
        <v/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60" t="str">
        <f t="shared" si="1"/>
        <v/>
      </c>
      <c r="B712" s="9"/>
      <c r="C712" s="9"/>
      <c r="D712" s="133"/>
      <c r="E712" s="133"/>
      <c r="F712" s="69"/>
      <c r="G712" s="9"/>
      <c r="H712" s="9"/>
      <c r="I712" s="60" t="str">
        <f t="shared" si="5"/>
        <v/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60" t="str">
        <f t="shared" si="1"/>
        <v/>
      </c>
      <c r="B713" s="9"/>
      <c r="C713" s="9"/>
      <c r="D713" s="133"/>
      <c r="E713" s="133"/>
      <c r="F713" s="69"/>
      <c r="G713" s="9"/>
      <c r="H713" s="9"/>
      <c r="I713" s="60" t="str">
        <f t="shared" si="5"/>
        <v/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60" t="str">
        <f t="shared" si="1"/>
        <v/>
      </c>
      <c r="B714" s="9"/>
      <c r="C714" s="9"/>
      <c r="D714" s="133"/>
      <c r="E714" s="133"/>
      <c r="F714" s="69"/>
      <c r="G714" s="9"/>
      <c r="H714" s="9"/>
      <c r="I714" s="60" t="str">
        <f t="shared" si="5"/>
        <v/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60" t="str">
        <f t="shared" si="1"/>
        <v/>
      </c>
      <c r="B715" s="9"/>
      <c r="C715" s="9"/>
      <c r="D715" s="133"/>
      <c r="E715" s="133"/>
      <c r="F715" s="69"/>
      <c r="G715" s="9"/>
      <c r="H715" s="9"/>
      <c r="I715" s="60" t="str">
        <f t="shared" si="5"/>
        <v/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60" t="str">
        <f t="shared" si="1"/>
        <v/>
      </c>
      <c r="B716" s="9"/>
      <c r="C716" s="9"/>
      <c r="D716" s="133"/>
      <c r="E716" s="133"/>
      <c r="F716" s="69"/>
      <c r="G716" s="9"/>
      <c r="H716" s="9"/>
      <c r="I716" s="60" t="str">
        <f t="shared" si="5"/>
        <v/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60" t="str">
        <f t="shared" si="1"/>
        <v/>
      </c>
      <c r="B717" s="9"/>
      <c r="C717" s="9"/>
      <c r="D717" s="133"/>
      <c r="E717" s="133"/>
      <c r="F717" s="69"/>
      <c r="G717" s="9"/>
      <c r="H717" s="9"/>
      <c r="I717" s="60" t="str">
        <f t="shared" si="5"/>
        <v/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60" t="str">
        <f t="shared" si="1"/>
        <v/>
      </c>
      <c r="B718" s="9"/>
      <c r="C718" s="9"/>
      <c r="D718" s="133"/>
      <c r="E718" s="133"/>
      <c r="F718" s="69"/>
      <c r="G718" s="9"/>
      <c r="H718" s="9"/>
      <c r="I718" s="60" t="str">
        <f t="shared" si="5"/>
        <v/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60" t="str">
        <f t="shared" si="1"/>
        <v/>
      </c>
      <c r="B719" s="9"/>
      <c r="C719" s="9"/>
      <c r="D719" s="133"/>
      <c r="E719" s="133"/>
      <c r="F719" s="69"/>
      <c r="G719" s="9"/>
      <c r="H719" s="9"/>
      <c r="I719" s="60" t="str">
        <f t="shared" si="5"/>
        <v/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60" t="str">
        <f t="shared" si="1"/>
        <v/>
      </c>
      <c r="B720" s="9"/>
      <c r="C720" s="9"/>
      <c r="D720" s="133"/>
      <c r="E720" s="133"/>
      <c r="F720" s="69"/>
      <c r="G720" s="9"/>
      <c r="H720" s="9"/>
      <c r="I720" s="60" t="str">
        <f t="shared" si="5"/>
        <v/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60" t="str">
        <f t="shared" si="1"/>
        <v/>
      </c>
      <c r="B721" s="9"/>
      <c r="C721" s="9"/>
      <c r="D721" s="133"/>
      <c r="E721" s="133"/>
      <c r="F721" s="69"/>
      <c r="G721" s="9"/>
      <c r="H721" s="9"/>
      <c r="I721" s="60" t="str">
        <f t="shared" si="5"/>
        <v/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60" t="str">
        <f t="shared" si="1"/>
        <v/>
      </c>
      <c r="B722" s="9"/>
      <c r="C722" s="9"/>
      <c r="D722" s="133"/>
      <c r="E722" s="133"/>
      <c r="F722" s="69"/>
      <c r="G722" s="9"/>
      <c r="H722" s="9"/>
      <c r="I722" s="60" t="str">
        <f t="shared" si="5"/>
        <v/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60" t="str">
        <f t="shared" si="1"/>
        <v/>
      </c>
      <c r="B723" s="9"/>
      <c r="C723" s="9"/>
      <c r="D723" s="133"/>
      <c r="E723" s="133"/>
      <c r="F723" s="69"/>
      <c r="G723" s="9"/>
      <c r="H723" s="9"/>
      <c r="I723" s="60" t="str">
        <f t="shared" si="5"/>
        <v/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60" t="str">
        <f t="shared" si="1"/>
        <v/>
      </c>
      <c r="B724" s="9"/>
      <c r="C724" s="9"/>
      <c r="D724" s="133"/>
      <c r="E724" s="133"/>
      <c r="F724" s="69"/>
      <c r="G724" s="9"/>
      <c r="H724" s="9"/>
      <c r="I724" s="60" t="str">
        <f t="shared" si="5"/>
        <v/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60" t="str">
        <f t="shared" si="1"/>
        <v/>
      </c>
      <c r="B725" s="9"/>
      <c r="C725" s="9"/>
      <c r="D725" s="133"/>
      <c r="E725" s="133"/>
      <c r="F725" s="69"/>
      <c r="G725" s="9"/>
      <c r="H725" s="9"/>
      <c r="I725" s="60" t="str">
        <f t="shared" si="5"/>
        <v/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60" t="str">
        <f t="shared" si="1"/>
        <v/>
      </c>
      <c r="B726" s="9"/>
      <c r="C726" s="9"/>
      <c r="D726" s="133"/>
      <c r="E726" s="133"/>
      <c r="F726" s="69"/>
      <c r="G726" s="9"/>
      <c r="H726" s="9"/>
      <c r="I726" s="60" t="str">
        <f t="shared" si="5"/>
        <v/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60" t="str">
        <f t="shared" si="1"/>
        <v/>
      </c>
      <c r="B727" s="9"/>
      <c r="C727" s="9"/>
      <c r="D727" s="133"/>
      <c r="E727" s="133"/>
      <c r="F727" s="69"/>
      <c r="G727" s="9"/>
      <c r="H727" s="9"/>
      <c r="I727" s="60" t="str">
        <f t="shared" si="5"/>
        <v/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60" t="str">
        <f t="shared" si="1"/>
        <v/>
      </c>
      <c r="B728" s="9"/>
      <c r="C728" s="9"/>
      <c r="D728" s="133"/>
      <c r="E728" s="133"/>
      <c r="F728" s="69"/>
      <c r="G728" s="9"/>
      <c r="H728" s="9"/>
      <c r="I728" s="60" t="str">
        <f t="shared" si="5"/>
        <v/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60" t="str">
        <f t="shared" si="1"/>
        <v/>
      </c>
      <c r="B729" s="9"/>
      <c r="C729" s="9"/>
      <c r="D729" s="133"/>
      <c r="E729" s="133"/>
      <c r="F729" s="69"/>
      <c r="G729" s="9"/>
      <c r="H729" s="9"/>
      <c r="I729" s="60" t="str">
        <f t="shared" si="5"/>
        <v/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60" t="str">
        <f t="shared" si="1"/>
        <v/>
      </c>
      <c r="B730" s="9"/>
      <c r="C730" s="9"/>
      <c r="D730" s="133"/>
      <c r="E730" s="133"/>
      <c r="F730" s="69"/>
      <c r="G730" s="9"/>
      <c r="H730" s="9"/>
      <c r="I730" s="60" t="str">
        <f t="shared" si="5"/>
        <v/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60" t="str">
        <f t="shared" si="1"/>
        <v/>
      </c>
      <c r="B731" s="9"/>
      <c r="C731" s="9"/>
      <c r="D731" s="133"/>
      <c r="E731" s="133"/>
      <c r="F731" s="69"/>
      <c r="G731" s="9"/>
      <c r="H731" s="9"/>
      <c r="I731" s="60" t="str">
        <f t="shared" si="5"/>
        <v/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60" t="str">
        <f t="shared" si="1"/>
        <v/>
      </c>
      <c r="B732" s="9"/>
      <c r="C732" s="9"/>
      <c r="D732" s="133"/>
      <c r="E732" s="133"/>
      <c r="F732" s="69"/>
      <c r="G732" s="9"/>
      <c r="H732" s="9"/>
      <c r="I732" s="60" t="str">
        <f t="shared" si="5"/>
        <v/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60" t="str">
        <f t="shared" si="1"/>
        <v/>
      </c>
      <c r="B733" s="9"/>
      <c r="C733" s="9"/>
      <c r="D733" s="133"/>
      <c r="E733" s="133"/>
      <c r="F733" s="69"/>
      <c r="G733" s="9"/>
      <c r="H733" s="9"/>
      <c r="I733" s="60" t="str">
        <f t="shared" si="5"/>
        <v/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60" t="str">
        <f t="shared" si="1"/>
        <v/>
      </c>
      <c r="B734" s="9"/>
      <c r="C734" s="9"/>
      <c r="D734" s="133"/>
      <c r="E734" s="133"/>
      <c r="F734" s="69"/>
      <c r="G734" s="9"/>
      <c r="H734" s="9"/>
      <c r="I734" s="60" t="str">
        <f t="shared" si="5"/>
        <v/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60" t="str">
        <f t="shared" si="1"/>
        <v/>
      </c>
      <c r="B735" s="9"/>
      <c r="C735" s="9"/>
      <c r="D735" s="133"/>
      <c r="E735" s="133"/>
      <c r="F735" s="69"/>
      <c r="G735" s="9"/>
      <c r="H735" s="9"/>
      <c r="I735" s="60" t="str">
        <f t="shared" si="5"/>
        <v/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60" t="str">
        <f t="shared" si="1"/>
        <v/>
      </c>
      <c r="B736" s="9"/>
      <c r="C736" s="9"/>
      <c r="D736" s="133"/>
      <c r="E736" s="133"/>
      <c r="F736" s="69"/>
      <c r="G736" s="9"/>
      <c r="H736" s="9"/>
      <c r="I736" s="60" t="str">
        <f t="shared" si="5"/>
        <v/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60" t="str">
        <f t="shared" si="1"/>
        <v/>
      </c>
      <c r="B737" s="9"/>
      <c r="C737" s="9"/>
      <c r="D737" s="133"/>
      <c r="E737" s="133"/>
      <c r="F737" s="69"/>
      <c r="G737" s="9"/>
      <c r="H737" s="9"/>
      <c r="I737" s="60" t="str">
        <f t="shared" si="5"/>
        <v/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60" t="str">
        <f t="shared" si="1"/>
        <v/>
      </c>
      <c r="B738" s="9"/>
      <c r="C738" s="9"/>
      <c r="D738" s="133"/>
      <c r="E738" s="133"/>
      <c r="F738" s="69"/>
      <c r="G738" s="9"/>
      <c r="H738" s="9"/>
      <c r="I738" s="60" t="str">
        <f t="shared" si="5"/>
        <v/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60" t="str">
        <f t="shared" si="1"/>
        <v/>
      </c>
      <c r="B739" s="9"/>
      <c r="C739" s="9"/>
      <c r="D739" s="133"/>
      <c r="E739" s="133"/>
      <c r="F739" s="69"/>
      <c r="G739" s="9"/>
      <c r="H739" s="9"/>
      <c r="I739" s="60" t="str">
        <f t="shared" si="5"/>
        <v/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60" t="str">
        <f t="shared" si="1"/>
        <v/>
      </c>
      <c r="B740" s="9"/>
      <c r="C740" s="9"/>
      <c r="D740" s="133"/>
      <c r="E740" s="133"/>
      <c r="F740" s="69"/>
      <c r="G740" s="9"/>
      <c r="H740" s="9"/>
      <c r="I740" s="60" t="str">
        <f t="shared" si="5"/>
        <v/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60" t="str">
        <f t="shared" si="1"/>
        <v/>
      </c>
      <c r="B741" s="9"/>
      <c r="C741" s="9"/>
      <c r="D741" s="133"/>
      <c r="E741" s="133"/>
      <c r="F741" s="69"/>
      <c r="G741" s="9"/>
      <c r="H741" s="9"/>
      <c r="I741" s="60" t="str">
        <f t="shared" si="5"/>
        <v/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60" t="str">
        <f t="shared" si="1"/>
        <v/>
      </c>
      <c r="B742" s="9"/>
      <c r="C742" s="9"/>
      <c r="D742" s="133"/>
      <c r="E742" s="133"/>
      <c r="F742" s="69"/>
      <c r="G742" s="9"/>
      <c r="H742" s="9"/>
      <c r="I742" s="60" t="str">
        <f t="shared" si="5"/>
        <v/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60" t="str">
        <f t="shared" si="1"/>
        <v/>
      </c>
      <c r="B743" s="9"/>
      <c r="C743" s="9"/>
      <c r="D743" s="133"/>
      <c r="E743" s="133"/>
      <c r="F743" s="69"/>
      <c r="G743" s="9"/>
      <c r="H743" s="9"/>
      <c r="I743" s="60" t="str">
        <f t="shared" si="5"/>
        <v/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60" t="str">
        <f t="shared" si="1"/>
        <v/>
      </c>
      <c r="B744" s="9"/>
      <c r="C744" s="9"/>
      <c r="D744" s="133"/>
      <c r="E744" s="133"/>
      <c r="F744" s="69"/>
      <c r="G744" s="9"/>
      <c r="H744" s="9"/>
      <c r="I744" s="60" t="str">
        <f t="shared" si="5"/>
        <v/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60" t="str">
        <f t="shared" si="1"/>
        <v/>
      </c>
      <c r="B745" s="9"/>
      <c r="C745" s="9"/>
      <c r="D745" s="133"/>
      <c r="E745" s="133"/>
      <c r="F745" s="69"/>
      <c r="G745" s="9"/>
      <c r="H745" s="9"/>
      <c r="I745" s="60" t="str">
        <f t="shared" si="5"/>
        <v/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60" t="str">
        <f t="shared" si="1"/>
        <v/>
      </c>
      <c r="B746" s="9"/>
      <c r="C746" s="9"/>
      <c r="D746" s="133"/>
      <c r="E746" s="133"/>
      <c r="F746" s="69"/>
      <c r="G746" s="9"/>
      <c r="H746" s="9"/>
      <c r="I746" s="60" t="str">
        <f t="shared" si="5"/>
        <v/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60" t="str">
        <f t="shared" si="1"/>
        <v/>
      </c>
      <c r="B747" s="9"/>
      <c r="C747" s="9"/>
      <c r="D747" s="133"/>
      <c r="E747" s="133"/>
      <c r="F747" s="69"/>
      <c r="G747" s="9"/>
      <c r="H747" s="9"/>
      <c r="I747" s="60" t="str">
        <f t="shared" si="5"/>
        <v/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60" t="str">
        <f t="shared" si="1"/>
        <v/>
      </c>
      <c r="B748" s="9"/>
      <c r="C748" s="9"/>
      <c r="D748" s="133"/>
      <c r="E748" s="133"/>
      <c r="F748" s="69"/>
      <c r="G748" s="9"/>
      <c r="H748" s="9"/>
      <c r="I748" s="60" t="str">
        <f t="shared" si="5"/>
        <v/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60" t="str">
        <f t="shared" si="1"/>
        <v/>
      </c>
      <c r="B749" s="9"/>
      <c r="C749" s="9"/>
      <c r="D749" s="133"/>
      <c r="E749" s="133"/>
      <c r="F749" s="69"/>
      <c r="G749" s="9"/>
      <c r="H749" s="9"/>
      <c r="I749" s="60" t="str">
        <f t="shared" si="5"/>
        <v/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60" t="str">
        <f t="shared" si="1"/>
        <v/>
      </c>
      <c r="B750" s="9"/>
      <c r="C750" s="9"/>
      <c r="D750" s="133"/>
      <c r="E750" s="133"/>
      <c r="F750" s="69"/>
      <c r="G750" s="9"/>
      <c r="H750" s="9"/>
      <c r="I750" s="60" t="str">
        <f t="shared" si="5"/>
        <v/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60" t="str">
        <f t="shared" si="1"/>
        <v/>
      </c>
      <c r="B751" s="9"/>
      <c r="C751" s="9"/>
      <c r="D751" s="133"/>
      <c r="E751" s="133"/>
      <c r="F751" s="69"/>
      <c r="G751" s="9"/>
      <c r="H751" s="9"/>
      <c r="I751" s="60" t="str">
        <f t="shared" si="5"/>
        <v/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60" t="str">
        <f t="shared" si="1"/>
        <v/>
      </c>
      <c r="B752" s="9"/>
      <c r="C752" s="9"/>
      <c r="D752" s="133"/>
      <c r="E752" s="133"/>
      <c r="F752" s="69"/>
      <c r="G752" s="9"/>
      <c r="H752" s="9"/>
      <c r="I752" s="60" t="str">
        <f t="shared" si="5"/>
        <v/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60" t="str">
        <f t="shared" si="1"/>
        <v/>
      </c>
      <c r="B753" s="9"/>
      <c r="C753" s="9"/>
      <c r="D753" s="133"/>
      <c r="E753" s="133"/>
      <c r="F753" s="69"/>
      <c r="G753" s="9"/>
      <c r="H753" s="9"/>
      <c r="I753" s="60" t="str">
        <f t="shared" si="5"/>
        <v/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60" t="str">
        <f t="shared" si="1"/>
        <v/>
      </c>
      <c r="B754" s="9"/>
      <c r="C754" s="9"/>
      <c r="D754" s="133"/>
      <c r="E754" s="133"/>
      <c r="F754" s="69"/>
      <c r="G754" s="9"/>
      <c r="H754" s="9"/>
      <c r="I754" s="60" t="str">
        <f t="shared" si="5"/>
        <v/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60" t="str">
        <f t="shared" si="1"/>
        <v/>
      </c>
      <c r="B755" s="9"/>
      <c r="C755" s="9"/>
      <c r="D755" s="133"/>
      <c r="E755" s="133"/>
      <c r="F755" s="69"/>
      <c r="G755" s="9"/>
      <c r="H755" s="9"/>
      <c r="I755" s="60" t="str">
        <f t="shared" si="5"/>
        <v/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60" t="str">
        <f t="shared" si="1"/>
        <v/>
      </c>
      <c r="B756" s="9"/>
      <c r="C756" s="9"/>
      <c r="D756" s="133"/>
      <c r="E756" s="133"/>
      <c r="F756" s="69"/>
      <c r="G756" s="9"/>
      <c r="H756" s="9"/>
      <c r="I756" s="60" t="str">
        <f t="shared" si="5"/>
        <v/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60" t="str">
        <f t="shared" si="1"/>
        <v/>
      </c>
      <c r="B757" s="9"/>
      <c r="C757" s="9"/>
      <c r="D757" s="133"/>
      <c r="E757" s="133"/>
      <c r="F757" s="69"/>
      <c r="G757" s="9"/>
      <c r="H757" s="9"/>
      <c r="I757" s="60" t="str">
        <f t="shared" si="5"/>
        <v/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60" t="str">
        <f t="shared" si="1"/>
        <v/>
      </c>
      <c r="B758" s="9"/>
      <c r="C758" s="9"/>
      <c r="D758" s="133"/>
      <c r="E758" s="133"/>
      <c r="F758" s="69"/>
      <c r="G758" s="9"/>
      <c r="H758" s="9"/>
      <c r="I758" s="60" t="str">
        <f t="shared" si="5"/>
        <v/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60" t="str">
        <f t="shared" si="1"/>
        <v/>
      </c>
      <c r="B759" s="9"/>
      <c r="C759" s="9"/>
      <c r="D759" s="133"/>
      <c r="E759" s="133"/>
      <c r="F759" s="69"/>
      <c r="G759" s="9"/>
      <c r="H759" s="9"/>
      <c r="I759" s="60" t="str">
        <f t="shared" si="5"/>
        <v/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60" t="str">
        <f t="shared" si="1"/>
        <v/>
      </c>
      <c r="B760" s="9"/>
      <c r="C760" s="9"/>
      <c r="D760" s="133"/>
      <c r="E760" s="133"/>
      <c r="F760" s="69"/>
      <c r="G760" s="9"/>
      <c r="H760" s="9"/>
      <c r="I760" s="60" t="str">
        <f t="shared" si="5"/>
        <v/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60" t="str">
        <f t="shared" si="1"/>
        <v/>
      </c>
      <c r="B761" s="9"/>
      <c r="C761" s="9"/>
      <c r="D761" s="133"/>
      <c r="E761" s="133"/>
      <c r="F761" s="69"/>
      <c r="G761" s="9"/>
      <c r="H761" s="9"/>
      <c r="I761" s="60" t="str">
        <f t="shared" si="5"/>
        <v/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60" t="str">
        <f t="shared" si="1"/>
        <v/>
      </c>
      <c r="B762" s="9"/>
      <c r="C762" s="9"/>
      <c r="D762" s="133"/>
      <c r="E762" s="133"/>
      <c r="F762" s="69"/>
      <c r="G762" s="9"/>
      <c r="H762" s="9"/>
      <c r="I762" s="60" t="str">
        <f t="shared" si="5"/>
        <v/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60" t="str">
        <f t="shared" si="1"/>
        <v/>
      </c>
      <c r="B763" s="9"/>
      <c r="C763" s="9"/>
      <c r="D763" s="133"/>
      <c r="E763" s="133"/>
      <c r="F763" s="69"/>
      <c r="G763" s="9"/>
      <c r="H763" s="9"/>
      <c r="I763" s="60" t="str">
        <f t="shared" si="5"/>
        <v/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60" t="str">
        <f t="shared" si="1"/>
        <v/>
      </c>
      <c r="B764" s="9"/>
      <c r="C764" s="9"/>
      <c r="D764" s="133"/>
      <c r="E764" s="133"/>
      <c r="F764" s="69"/>
      <c r="G764" s="9"/>
      <c r="H764" s="9"/>
      <c r="I764" s="60" t="str">
        <f t="shared" si="5"/>
        <v/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60" t="str">
        <f t="shared" si="1"/>
        <v/>
      </c>
      <c r="B765" s="9"/>
      <c r="C765" s="9"/>
      <c r="D765" s="133"/>
      <c r="E765" s="133"/>
      <c r="F765" s="69"/>
      <c r="G765" s="9"/>
      <c r="H765" s="9"/>
      <c r="I765" s="60" t="str">
        <f t="shared" si="5"/>
        <v/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60" t="str">
        <f t="shared" si="1"/>
        <v/>
      </c>
      <c r="B766" s="9"/>
      <c r="C766" s="9"/>
      <c r="D766" s="133"/>
      <c r="E766" s="133"/>
      <c r="F766" s="69"/>
      <c r="G766" s="9"/>
      <c r="H766" s="9"/>
      <c r="I766" s="60" t="str">
        <f t="shared" si="5"/>
        <v/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60" t="str">
        <f t="shared" si="1"/>
        <v/>
      </c>
      <c r="B767" s="9"/>
      <c r="C767" s="9"/>
      <c r="D767" s="133"/>
      <c r="E767" s="133"/>
      <c r="F767" s="69"/>
      <c r="G767" s="9"/>
      <c r="H767" s="9"/>
      <c r="I767" s="60" t="str">
        <f t="shared" si="5"/>
        <v/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60" t="str">
        <f t="shared" si="1"/>
        <v/>
      </c>
      <c r="B768" s="9"/>
      <c r="C768" s="9"/>
      <c r="D768" s="133"/>
      <c r="E768" s="133"/>
      <c r="F768" s="69"/>
      <c r="G768" s="9"/>
      <c r="H768" s="9"/>
      <c r="I768" s="60" t="str">
        <f t="shared" si="5"/>
        <v/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60" t="str">
        <f t="shared" si="1"/>
        <v/>
      </c>
      <c r="B769" s="9"/>
      <c r="C769" s="9"/>
      <c r="D769" s="133"/>
      <c r="E769" s="133"/>
      <c r="F769" s="69"/>
      <c r="G769" s="9"/>
      <c r="H769" s="9"/>
      <c r="I769" s="60" t="str">
        <f t="shared" si="5"/>
        <v/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60" t="str">
        <f t="shared" si="1"/>
        <v/>
      </c>
      <c r="B770" s="9"/>
      <c r="C770" s="9"/>
      <c r="D770" s="133"/>
      <c r="E770" s="133"/>
      <c r="F770" s="69"/>
      <c r="G770" s="9"/>
      <c r="H770" s="9"/>
      <c r="I770" s="60" t="str">
        <f t="shared" si="5"/>
        <v/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60" t="str">
        <f t="shared" si="1"/>
        <v/>
      </c>
      <c r="B771" s="9"/>
      <c r="C771" s="9"/>
      <c r="D771" s="133"/>
      <c r="E771" s="133"/>
      <c r="F771" s="69"/>
      <c r="G771" s="9"/>
      <c r="H771" s="9"/>
      <c r="I771" s="60" t="str">
        <f t="shared" si="5"/>
        <v/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60" t="str">
        <f t="shared" si="1"/>
        <v/>
      </c>
      <c r="B772" s="9"/>
      <c r="C772" s="9"/>
      <c r="D772" s="133"/>
      <c r="E772" s="133"/>
      <c r="F772" s="69"/>
      <c r="G772" s="9"/>
      <c r="H772" s="9"/>
      <c r="I772" s="60" t="str">
        <f t="shared" si="5"/>
        <v/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60" t="str">
        <f t="shared" si="1"/>
        <v/>
      </c>
      <c r="B773" s="9"/>
      <c r="C773" s="9"/>
      <c r="D773" s="133"/>
      <c r="E773" s="133"/>
      <c r="F773" s="69"/>
      <c r="G773" s="9"/>
      <c r="H773" s="9"/>
      <c r="I773" s="60" t="str">
        <f t="shared" si="5"/>
        <v/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60" t="str">
        <f t="shared" si="1"/>
        <v/>
      </c>
      <c r="B774" s="9"/>
      <c r="C774" s="9"/>
      <c r="D774" s="133"/>
      <c r="E774" s="133"/>
      <c r="F774" s="69"/>
      <c r="G774" s="9"/>
      <c r="H774" s="9"/>
      <c r="I774" s="60" t="str">
        <f t="shared" si="5"/>
        <v/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60" t="str">
        <f t="shared" si="1"/>
        <v/>
      </c>
      <c r="B775" s="9"/>
      <c r="C775" s="9"/>
      <c r="D775" s="133"/>
      <c r="E775" s="133"/>
      <c r="F775" s="69"/>
      <c r="G775" s="9"/>
      <c r="H775" s="9"/>
      <c r="I775" s="60" t="str">
        <f t="shared" si="5"/>
        <v/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60" t="str">
        <f t="shared" si="1"/>
        <v/>
      </c>
      <c r="B776" s="9"/>
      <c r="C776" s="9"/>
      <c r="D776" s="133"/>
      <c r="E776" s="133"/>
      <c r="F776" s="69"/>
      <c r="G776" s="9"/>
      <c r="H776" s="9"/>
      <c r="I776" s="60" t="str">
        <f t="shared" si="5"/>
        <v/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60" t="str">
        <f t="shared" si="1"/>
        <v/>
      </c>
      <c r="B777" s="9"/>
      <c r="C777" s="9"/>
      <c r="D777" s="133"/>
      <c r="E777" s="133"/>
      <c r="F777" s="69"/>
      <c r="G777" s="9"/>
      <c r="H777" s="9"/>
      <c r="I777" s="60" t="str">
        <f t="shared" si="5"/>
        <v/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60" t="str">
        <f t="shared" si="1"/>
        <v/>
      </c>
      <c r="B778" s="9"/>
      <c r="C778" s="9"/>
      <c r="D778" s="133"/>
      <c r="E778" s="133"/>
      <c r="F778" s="69"/>
      <c r="G778" s="9"/>
      <c r="H778" s="9"/>
      <c r="I778" s="60" t="str">
        <f t="shared" si="5"/>
        <v/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60" t="str">
        <f t="shared" si="1"/>
        <v/>
      </c>
      <c r="B779" s="9"/>
      <c r="C779" s="9"/>
      <c r="D779" s="133"/>
      <c r="E779" s="133"/>
      <c r="F779" s="69"/>
      <c r="G779" s="9"/>
      <c r="H779" s="9"/>
      <c r="I779" s="60" t="str">
        <f t="shared" si="5"/>
        <v/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60" t="str">
        <f t="shared" si="1"/>
        <v/>
      </c>
      <c r="B780" s="9"/>
      <c r="C780" s="9"/>
      <c r="D780" s="133"/>
      <c r="E780" s="133"/>
      <c r="F780" s="69"/>
      <c r="G780" s="9"/>
      <c r="H780" s="9"/>
      <c r="I780" s="60" t="str">
        <f t="shared" si="5"/>
        <v/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60" t="str">
        <f t="shared" si="1"/>
        <v/>
      </c>
      <c r="B781" s="9"/>
      <c r="C781" s="9"/>
      <c r="D781" s="133"/>
      <c r="E781" s="133"/>
      <c r="F781" s="69"/>
      <c r="G781" s="9"/>
      <c r="H781" s="9"/>
      <c r="I781" s="60" t="str">
        <f t="shared" si="5"/>
        <v/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60" t="str">
        <f t="shared" si="1"/>
        <v/>
      </c>
      <c r="B782" s="9"/>
      <c r="C782" s="9"/>
      <c r="D782" s="133"/>
      <c r="E782" s="133"/>
      <c r="F782" s="69"/>
      <c r="G782" s="9"/>
      <c r="H782" s="9"/>
      <c r="I782" s="60" t="str">
        <f t="shared" si="5"/>
        <v/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60" t="str">
        <f t="shared" si="1"/>
        <v/>
      </c>
      <c r="B783" s="9"/>
      <c r="C783" s="9"/>
      <c r="D783" s="133"/>
      <c r="E783" s="133"/>
      <c r="F783" s="69"/>
      <c r="G783" s="9"/>
      <c r="H783" s="9"/>
      <c r="I783" s="60" t="str">
        <f t="shared" si="5"/>
        <v/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60" t="str">
        <f t="shared" si="1"/>
        <v/>
      </c>
      <c r="B784" s="9"/>
      <c r="C784" s="9"/>
      <c r="D784" s="133"/>
      <c r="E784" s="133"/>
      <c r="F784" s="69"/>
      <c r="G784" s="9"/>
      <c r="H784" s="9"/>
      <c r="I784" s="60" t="str">
        <f t="shared" si="5"/>
        <v/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60" t="str">
        <f t="shared" si="1"/>
        <v/>
      </c>
      <c r="B785" s="9"/>
      <c r="C785" s="9"/>
      <c r="D785" s="133"/>
      <c r="E785" s="133"/>
      <c r="F785" s="69"/>
      <c r="G785" s="9"/>
      <c r="H785" s="9"/>
      <c r="I785" s="60" t="str">
        <f t="shared" si="5"/>
        <v/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60" t="str">
        <f t="shared" si="1"/>
        <v/>
      </c>
      <c r="B786" s="9"/>
      <c r="C786" s="9"/>
      <c r="D786" s="133"/>
      <c r="E786" s="133"/>
      <c r="F786" s="69"/>
      <c r="G786" s="9"/>
      <c r="H786" s="9"/>
      <c r="I786" s="60" t="str">
        <f t="shared" si="5"/>
        <v/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60" t="str">
        <f t="shared" si="1"/>
        <v/>
      </c>
      <c r="B787" s="9"/>
      <c r="C787" s="9"/>
      <c r="D787" s="133"/>
      <c r="E787" s="133"/>
      <c r="F787" s="69"/>
      <c r="G787" s="9"/>
      <c r="H787" s="9"/>
      <c r="I787" s="60" t="str">
        <f t="shared" si="5"/>
        <v/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60" t="str">
        <f t="shared" si="1"/>
        <v/>
      </c>
      <c r="B788" s="9"/>
      <c r="C788" s="9"/>
      <c r="D788" s="133"/>
      <c r="E788" s="133"/>
      <c r="F788" s="69"/>
      <c r="G788" s="9"/>
      <c r="H788" s="9"/>
      <c r="I788" s="60" t="str">
        <f t="shared" si="5"/>
        <v/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60" t="str">
        <f t="shared" si="1"/>
        <v/>
      </c>
      <c r="B789" s="9"/>
      <c r="C789" s="9"/>
      <c r="D789" s="133"/>
      <c r="E789" s="133"/>
      <c r="F789" s="69"/>
      <c r="G789" s="9"/>
      <c r="H789" s="9"/>
      <c r="I789" s="60" t="str">
        <f t="shared" si="5"/>
        <v/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60" t="str">
        <f t="shared" si="1"/>
        <v/>
      </c>
      <c r="B790" s="9"/>
      <c r="C790" s="9"/>
      <c r="D790" s="133"/>
      <c r="E790" s="133"/>
      <c r="F790" s="69"/>
      <c r="G790" s="9"/>
      <c r="H790" s="9"/>
      <c r="I790" s="60" t="str">
        <f t="shared" si="5"/>
        <v/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60" t="str">
        <f t="shared" si="1"/>
        <v/>
      </c>
      <c r="B791" s="9"/>
      <c r="C791" s="9"/>
      <c r="D791" s="133"/>
      <c r="E791" s="133"/>
      <c r="F791" s="69"/>
      <c r="G791" s="9"/>
      <c r="H791" s="9"/>
      <c r="I791" s="60" t="str">
        <f t="shared" si="5"/>
        <v/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60" t="str">
        <f t="shared" si="1"/>
        <v/>
      </c>
      <c r="B792" s="9"/>
      <c r="C792" s="9"/>
      <c r="D792" s="133"/>
      <c r="E792" s="133"/>
      <c r="F792" s="69"/>
      <c r="G792" s="9"/>
      <c r="H792" s="9"/>
      <c r="I792" s="60" t="str">
        <f t="shared" si="5"/>
        <v/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60" t="str">
        <f t="shared" si="1"/>
        <v/>
      </c>
      <c r="B793" s="9"/>
      <c r="C793" s="9"/>
      <c r="D793" s="133"/>
      <c r="E793" s="133"/>
      <c r="F793" s="69"/>
      <c r="G793" s="9"/>
      <c r="H793" s="9"/>
      <c r="I793" s="60" t="str">
        <f t="shared" si="5"/>
        <v/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60" t="str">
        <f t="shared" si="1"/>
        <v/>
      </c>
      <c r="B794" s="9"/>
      <c r="C794" s="9"/>
      <c r="D794" s="133"/>
      <c r="E794" s="133"/>
      <c r="F794" s="69"/>
      <c r="G794" s="9"/>
      <c r="H794" s="9"/>
      <c r="I794" s="60" t="str">
        <f t="shared" si="5"/>
        <v/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60" t="str">
        <f t="shared" si="1"/>
        <v/>
      </c>
      <c r="B795" s="9"/>
      <c r="C795" s="9"/>
      <c r="D795" s="133"/>
      <c r="E795" s="133"/>
      <c r="F795" s="69"/>
      <c r="G795" s="9"/>
      <c r="H795" s="9"/>
      <c r="I795" s="60" t="str">
        <f t="shared" si="5"/>
        <v/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60" t="str">
        <f t="shared" si="1"/>
        <v/>
      </c>
      <c r="B796" s="9"/>
      <c r="C796" s="9"/>
      <c r="D796" s="133"/>
      <c r="E796" s="133"/>
      <c r="F796" s="69"/>
      <c r="G796" s="9"/>
      <c r="H796" s="9"/>
      <c r="I796" s="60" t="str">
        <f t="shared" si="5"/>
        <v/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60" t="str">
        <f t="shared" si="1"/>
        <v/>
      </c>
      <c r="B797" s="9"/>
      <c r="C797" s="9"/>
      <c r="D797" s="133"/>
      <c r="E797" s="133"/>
      <c r="F797" s="69"/>
      <c r="G797" s="9"/>
      <c r="H797" s="9"/>
      <c r="I797" s="60" t="str">
        <f t="shared" si="5"/>
        <v/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60" t="str">
        <f t="shared" si="1"/>
        <v/>
      </c>
      <c r="B798" s="9"/>
      <c r="C798" s="9"/>
      <c r="D798" s="133"/>
      <c r="E798" s="133"/>
      <c r="F798" s="69"/>
      <c r="G798" s="9"/>
      <c r="H798" s="9"/>
      <c r="I798" s="60" t="str">
        <f t="shared" si="5"/>
        <v/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60" t="str">
        <f t="shared" si="1"/>
        <v/>
      </c>
      <c r="B799" s="9"/>
      <c r="C799" s="9"/>
      <c r="D799" s="133"/>
      <c r="E799" s="133"/>
      <c r="F799" s="69"/>
      <c r="G799" s="9"/>
      <c r="H799" s="9"/>
      <c r="I799" s="60" t="str">
        <f t="shared" si="5"/>
        <v/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60" t="str">
        <f t="shared" si="1"/>
        <v/>
      </c>
      <c r="B800" s="9"/>
      <c r="C800" s="9"/>
      <c r="D800" s="133"/>
      <c r="E800" s="133"/>
      <c r="F800" s="69"/>
      <c r="G800" s="9"/>
      <c r="H800" s="9"/>
      <c r="I800" s="60" t="str">
        <f t="shared" si="5"/>
        <v/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60" t="str">
        <f t="shared" si="1"/>
        <v/>
      </c>
      <c r="B801" s="9"/>
      <c r="C801" s="9"/>
      <c r="D801" s="133"/>
      <c r="E801" s="133"/>
      <c r="F801" s="69"/>
      <c r="G801" s="9"/>
      <c r="H801" s="9"/>
      <c r="I801" s="60" t="str">
        <f t="shared" si="5"/>
        <v/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60" t="str">
        <f t="shared" si="1"/>
        <v/>
      </c>
      <c r="B802" s="9"/>
      <c r="C802" s="9"/>
      <c r="D802" s="133"/>
      <c r="E802" s="133"/>
      <c r="F802" s="69"/>
      <c r="G802" s="9"/>
      <c r="H802" s="9"/>
      <c r="I802" s="60" t="str">
        <f t="shared" si="5"/>
        <v/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60" t="str">
        <f t="shared" si="1"/>
        <v/>
      </c>
      <c r="B803" s="9"/>
      <c r="C803" s="9"/>
      <c r="D803" s="133"/>
      <c r="E803" s="133"/>
      <c r="F803" s="69"/>
      <c r="G803" s="9"/>
      <c r="H803" s="9"/>
      <c r="I803" s="60" t="str">
        <f t="shared" si="5"/>
        <v/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60" t="str">
        <f t="shared" si="1"/>
        <v/>
      </c>
      <c r="B804" s="9"/>
      <c r="C804" s="9"/>
      <c r="D804" s="133"/>
      <c r="E804" s="133"/>
      <c r="F804" s="69"/>
      <c r="G804" s="9"/>
      <c r="H804" s="9"/>
      <c r="I804" s="60" t="str">
        <f t="shared" si="5"/>
        <v/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60" t="str">
        <f t="shared" si="1"/>
        <v/>
      </c>
      <c r="B805" s="9"/>
      <c r="C805" s="9"/>
      <c r="D805" s="133"/>
      <c r="E805" s="133"/>
      <c r="F805" s="69"/>
      <c r="G805" s="9"/>
      <c r="H805" s="9"/>
      <c r="I805" s="60" t="str">
        <f t="shared" si="5"/>
        <v/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60" t="str">
        <f t="shared" si="1"/>
        <v/>
      </c>
      <c r="B806" s="9"/>
      <c r="C806" s="9"/>
      <c r="D806" s="133"/>
      <c r="E806" s="133"/>
      <c r="F806" s="69"/>
      <c r="G806" s="9"/>
      <c r="H806" s="9"/>
      <c r="I806" s="60" t="str">
        <f t="shared" si="5"/>
        <v/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60" t="str">
        <f t="shared" si="1"/>
        <v/>
      </c>
      <c r="B807" s="9"/>
      <c r="C807" s="9"/>
      <c r="D807" s="133"/>
      <c r="E807" s="133"/>
      <c r="F807" s="69"/>
      <c r="G807" s="9"/>
      <c r="H807" s="9"/>
      <c r="I807" s="60" t="str">
        <f t="shared" si="5"/>
        <v/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60" t="str">
        <f t="shared" si="1"/>
        <v/>
      </c>
      <c r="B808" s="9"/>
      <c r="C808" s="9"/>
      <c r="D808" s="133"/>
      <c r="E808" s="133"/>
      <c r="F808" s="69"/>
      <c r="G808" s="9"/>
      <c r="H808" s="9"/>
      <c r="I808" s="60" t="str">
        <f t="shared" si="5"/>
        <v/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60" t="str">
        <f t="shared" si="1"/>
        <v/>
      </c>
      <c r="B809" s="9"/>
      <c r="C809" s="9"/>
      <c r="D809" s="133"/>
      <c r="E809" s="133"/>
      <c r="F809" s="69"/>
      <c r="G809" s="9"/>
      <c r="H809" s="9"/>
      <c r="I809" s="60" t="str">
        <f t="shared" si="5"/>
        <v/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60" t="str">
        <f t="shared" si="1"/>
        <v/>
      </c>
      <c r="B810" s="9"/>
      <c r="C810" s="9"/>
      <c r="D810" s="133"/>
      <c r="E810" s="133"/>
      <c r="F810" s="69"/>
      <c r="G810" s="9"/>
      <c r="H810" s="9"/>
      <c r="I810" s="60" t="str">
        <f t="shared" si="5"/>
        <v/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60" t="str">
        <f t="shared" si="1"/>
        <v/>
      </c>
      <c r="B811" s="9"/>
      <c r="C811" s="9"/>
      <c r="D811" s="133"/>
      <c r="E811" s="133"/>
      <c r="F811" s="69"/>
      <c r="G811" s="9"/>
      <c r="H811" s="9"/>
      <c r="I811" s="60" t="str">
        <f t="shared" si="5"/>
        <v/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60" t="str">
        <f t="shared" si="1"/>
        <v/>
      </c>
      <c r="B812" s="9"/>
      <c r="C812" s="9"/>
      <c r="D812" s="133"/>
      <c r="E812" s="133"/>
      <c r="F812" s="69"/>
      <c r="G812" s="9"/>
      <c r="H812" s="9"/>
      <c r="I812" s="60" t="str">
        <f t="shared" si="5"/>
        <v/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60" t="str">
        <f t="shared" si="1"/>
        <v/>
      </c>
      <c r="B813" s="9"/>
      <c r="C813" s="9"/>
      <c r="D813" s="133"/>
      <c r="E813" s="133"/>
      <c r="F813" s="69"/>
      <c r="G813" s="9"/>
      <c r="H813" s="9"/>
      <c r="I813" s="60" t="str">
        <f t="shared" si="5"/>
        <v/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60" t="str">
        <f t="shared" si="1"/>
        <v/>
      </c>
      <c r="B814" s="9"/>
      <c r="C814" s="9"/>
      <c r="D814" s="133"/>
      <c r="E814" s="133"/>
      <c r="F814" s="69"/>
      <c r="G814" s="9"/>
      <c r="H814" s="9"/>
      <c r="I814" s="60" t="str">
        <f t="shared" si="5"/>
        <v/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60" t="str">
        <f t="shared" si="1"/>
        <v/>
      </c>
      <c r="B815" s="9"/>
      <c r="C815" s="9"/>
      <c r="D815" s="133"/>
      <c r="E815" s="133"/>
      <c r="F815" s="69"/>
      <c r="G815" s="9"/>
      <c r="H815" s="9"/>
      <c r="I815" s="60" t="str">
        <f t="shared" si="5"/>
        <v/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60" t="str">
        <f t="shared" si="1"/>
        <v/>
      </c>
      <c r="B816" s="9"/>
      <c r="C816" s="9"/>
      <c r="D816" s="133"/>
      <c r="E816" s="133"/>
      <c r="F816" s="69"/>
      <c r="G816" s="9"/>
      <c r="H816" s="9"/>
      <c r="I816" s="60" t="str">
        <f t="shared" si="5"/>
        <v/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60" t="str">
        <f t="shared" si="1"/>
        <v/>
      </c>
      <c r="B817" s="9"/>
      <c r="C817" s="9"/>
      <c r="D817" s="133"/>
      <c r="E817" s="133"/>
      <c r="F817" s="69"/>
      <c r="G817" s="9"/>
      <c r="H817" s="9"/>
      <c r="I817" s="60" t="str">
        <f t="shared" si="5"/>
        <v/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60" t="str">
        <f t="shared" si="1"/>
        <v/>
      </c>
      <c r="B818" s="9"/>
      <c r="C818" s="9"/>
      <c r="D818" s="133"/>
      <c r="E818" s="133"/>
      <c r="F818" s="69"/>
      <c r="G818" s="9"/>
      <c r="H818" s="9"/>
      <c r="I818" s="60" t="str">
        <f t="shared" si="5"/>
        <v/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60" t="str">
        <f t="shared" si="1"/>
        <v/>
      </c>
      <c r="B819" s="9"/>
      <c r="C819" s="9"/>
      <c r="D819" s="133"/>
      <c r="E819" s="133"/>
      <c r="F819" s="69"/>
      <c r="G819" s="9"/>
      <c r="H819" s="9"/>
      <c r="I819" s="60" t="str">
        <f t="shared" si="5"/>
        <v/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60" t="str">
        <f t="shared" si="1"/>
        <v/>
      </c>
      <c r="B820" s="9"/>
      <c r="C820" s="9"/>
      <c r="D820" s="133"/>
      <c r="E820" s="133"/>
      <c r="F820" s="69"/>
      <c r="G820" s="9"/>
      <c r="H820" s="9"/>
      <c r="I820" s="60" t="str">
        <f t="shared" si="5"/>
        <v/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60" t="str">
        <f t="shared" si="1"/>
        <v/>
      </c>
      <c r="B821" s="9"/>
      <c r="C821" s="9"/>
      <c r="D821" s="133"/>
      <c r="E821" s="133"/>
      <c r="F821" s="69"/>
      <c r="G821" s="9"/>
      <c r="H821" s="9"/>
      <c r="I821" s="60" t="str">
        <f t="shared" si="5"/>
        <v/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60" t="str">
        <f t="shared" si="1"/>
        <v/>
      </c>
      <c r="B822" s="9"/>
      <c r="C822" s="9"/>
      <c r="D822" s="133"/>
      <c r="E822" s="133"/>
      <c r="F822" s="69"/>
      <c r="G822" s="9"/>
      <c r="H822" s="9"/>
      <c r="I822" s="60" t="str">
        <f t="shared" si="5"/>
        <v/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60" t="str">
        <f t="shared" si="1"/>
        <v/>
      </c>
      <c r="B823" s="9"/>
      <c r="C823" s="9"/>
      <c r="D823" s="133"/>
      <c r="E823" s="133"/>
      <c r="F823" s="69"/>
      <c r="G823" s="9"/>
      <c r="H823" s="9"/>
      <c r="I823" s="60" t="str">
        <f t="shared" si="5"/>
        <v/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60" t="str">
        <f t="shared" si="1"/>
        <v/>
      </c>
      <c r="B824" s="9"/>
      <c r="C824" s="9"/>
      <c r="D824" s="133"/>
      <c r="E824" s="133"/>
      <c r="F824" s="69"/>
      <c r="G824" s="9"/>
      <c r="H824" s="9"/>
      <c r="I824" s="60" t="str">
        <f t="shared" si="5"/>
        <v/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60" t="str">
        <f t="shared" si="1"/>
        <v/>
      </c>
      <c r="B825" s="9"/>
      <c r="C825" s="9"/>
      <c r="D825" s="133"/>
      <c r="E825" s="133"/>
      <c r="F825" s="69"/>
      <c r="G825" s="9"/>
      <c r="H825" s="9"/>
      <c r="I825" s="60" t="str">
        <f t="shared" si="5"/>
        <v/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60" t="str">
        <f t="shared" si="1"/>
        <v/>
      </c>
      <c r="B826" s="9"/>
      <c r="C826" s="9"/>
      <c r="D826" s="133"/>
      <c r="E826" s="133"/>
      <c r="F826" s="69"/>
      <c r="G826" s="9"/>
      <c r="H826" s="9"/>
      <c r="I826" s="60" t="str">
        <f t="shared" si="5"/>
        <v/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60" t="str">
        <f t="shared" si="1"/>
        <v/>
      </c>
      <c r="B827" s="9"/>
      <c r="C827" s="9"/>
      <c r="D827" s="133"/>
      <c r="E827" s="133"/>
      <c r="F827" s="69"/>
      <c r="G827" s="9"/>
      <c r="H827" s="9"/>
      <c r="I827" s="60" t="str">
        <f t="shared" si="5"/>
        <v/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60" t="str">
        <f t="shared" si="1"/>
        <v/>
      </c>
      <c r="B828" s="9"/>
      <c r="C828" s="9"/>
      <c r="D828" s="133"/>
      <c r="E828" s="133"/>
      <c r="F828" s="69"/>
      <c r="G828" s="9"/>
      <c r="H828" s="9"/>
      <c r="I828" s="60" t="str">
        <f t="shared" si="5"/>
        <v/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60" t="str">
        <f t="shared" si="1"/>
        <v/>
      </c>
      <c r="B829" s="9"/>
      <c r="C829" s="9"/>
      <c r="D829" s="133"/>
      <c r="E829" s="133"/>
      <c r="F829" s="69"/>
      <c r="G829" s="9"/>
      <c r="H829" s="9"/>
      <c r="I829" s="60" t="str">
        <f t="shared" si="5"/>
        <v/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60" t="str">
        <f t="shared" si="1"/>
        <v/>
      </c>
      <c r="B830" s="9"/>
      <c r="C830" s="9"/>
      <c r="D830" s="133"/>
      <c r="E830" s="133"/>
      <c r="F830" s="69"/>
      <c r="G830" s="9"/>
      <c r="H830" s="9"/>
      <c r="I830" s="60" t="str">
        <f t="shared" si="5"/>
        <v/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60" t="str">
        <f t="shared" si="1"/>
        <v/>
      </c>
      <c r="B831" s="9"/>
      <c r="C831" s="9"/>
      <c r="D831" s="133"/>
      <c r="E831" s="133"/>
      <c r="F831" s="69"/>
      <c r="G831" s="9"/>
      <c r="H831" s="9"/>
      <c r="I831" s="60" t="str">
        <f t="shared" si="5"/>
        <v/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60" t="str">
        <f t="shared" si="1"/>
        <v/>
      </c>
      <c r="B832" s="9"/>
      <c r="C832" s="9"/>
      <c r="D832" s="133"/>
      <c r="E832" s="133"/>
      <c r="F832" s="69"/>
      <c r="G832" s="9"/>
      <c r="H832" s="9"/>
      <c r="I832" s="60" t="str">
        <f t="shared" si="5"/>
        <v/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60" t="str">
        <f t="shared" si="1"/>
        <v/>
      </c>
      <c r="B833" s="9"/>
      <c r="C833" s="9"/>
      <c r="D833" s="133"/>
      <c r="E833" s="133"/>
      <c r="F833" s="69"/>
      <c r="G833" s="9"/>
      <c r="H833" s="9"/>
      <c r="I833" s="60" t="str">
        <f t="shared" si="5"/>
        <v/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60" t="str">
        <f t="shared" si="1"/>
        <v/>
      </c>
      <c r="B834" s="9"/>
      <c r="C834" s="9"/>
      <c r="D834" s="133"/>
      <c r="E834" s="133"/>
      <c r="F834" s="69"/>
      <c r="G834" s="9"/>
      <c r="H834" s="9"/>
      <c r="I834" s="60" t="str">
        <f t="shared" si="5"/>
        <v/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60" t="str">
        <f t="shared" si="1"/>
        <v/>
      </c>
      <c r="B835" s="9"/>
      <c r="C835" s="9"/>
      <c r="D835" s="133"/>
      <c r="E835" s="133"/>
      <c r="F835" s="69"/>
      <c r="G835" s="9"/>
      <c r="H835" s="9"/>
      <c r="I835" s="60" t="str">
        <f t="shared" si="5"/>
        <v/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60" t="str">
        <f t="shared" si="1"/>
        <v/>
      </c>
      <c r="B836" s="9"/>
      <c r="C836" s="9"/>
      <c r="D836" s="133"/>
      <c r="E836" s="133"/>
      <c r="F836" s="69"/>
      <c r="G836" s="9"/>
      <c r="H836" s="9"/>
      <c r="I836" s="60" t="str">
        <f t="shared" si="5"/>
        <v/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60" t="str">
        <f t="shared" si="1"/>
        <v/>
      </c>
      <c r="B837" s="9"/>
      <c r="C837" s="9"/>
      <c r="D837" s="133"/>
      <c r="E837" s="133"/>
      <c r="F837" s="69"/>
      <c r="G837" s="9"/>
      <c r="H837" s="9"/>
      <c r="I837" s="60" t="str">
        <f t="shared" si="5"/>
        <v/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60" t="str">
        <f t="shared" si="1"/>
        <v/>
      </c>
      <c r="B838" s="9"/>
      <c r="C838" s="9"/>
      <c r="D838" s="133"/>
      <c r="E838" s="133"/>
      <c r="F838" s="69"/>
      <c r="G838" s="9"/>
      <c r="H838" s="9"/>
      <c r="I838" s="60" t="str">
        <f t="shared" si="5"/>
        <v/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60" t="str">
        <f t="shared" si="1"/>
        <v/>
      </c>
      <c r="B839" s="9"/>
      <c r="C839" s="9"/>
      <c r="D839" s="133"/>
      <c r="E839" s="133"/>
      <c r="F839" s="69"/>
      <c r="G839" s="9"/>
      <c r="H839" s="9"/>
      <c r="I839" s="60" t="str">
        <f t="shared" si="5"/>
        <v/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60" t="str">
        <f t="shared" si="1"/>
        <v/>
      </c>
      <c r="B840" s="9"/>
      <c r="C840" s="9"/>
      <c r="D840" s="133"/>
      <c r="E840" s="133"/>
      <c r="F840" s="69"/>
      <c r="G840" s="9"/>
      <c r="H840" s="9"/>
      <c r="I840" s="60" t="str">
        <f t="shared" si="5"/>
        <v/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60" t="str">
        <f t="shared" si="1"/>
        <v/>
      </c>
      <c r="B841" s="9"/>
      <c r="C841" s="9"/>
      <c r="D841" s="133"/>
      <c r="E841" s="133"/>
      <c r="F841" s="69"/>
      <c r="G841" s="9"/>
      <c r="H841" s="9"/>
      <c r="I841" s="60" t="str">
        <f t="shared" si="5"/>
        <v/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60" t="str">
        <f t="shared" si="1"/>
        <v/>
      </c>
      <c r="B842" s="9"/>
      <c r="C842" s="9"/>
      <c r="D842" s="133"/>
      <c r="E842" s="133"/>
      <c r="F842" s="69"/>
      <c r="G842" s="9"/>
      <c r="H842" s="9"/>
      <c r="I842" s="60" t="str">
        <f t="shared" si="5"/>
        <v/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60" t="str">
        <f t="shared" si="1"/>
        <v/>
      </c>
      <c r="B843" s="9"/>
      <c r="C843" s="9"/>
      <c r="D843" s="133"/>
      <c r="E843" s="133"/>
      <c r="F843" s="69"/>
      <c r="G843" s="9"/>
      <c r="H843" s="9"/>
      <c r="I843" s="60" t="str">
        <f t="shared" si="5"/>
        <v/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60" t="str">
        <f t="shared" si="1"/>
        <v/>
      </c>
      <c r="B844" s="9"/>
      <c r="C844" s="9"/>
      <c r="D844" s="133"/>
      <c r="E844" s="133"/>
      <c r="F844" s="69"/>
      <c r="G844" s="9"/>
      <c r="H844" s="9"/>
      <c r="I844" s="60" t="str">
        <f t="shared" si="5"/>
        <v/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60" t="str">
        <f t="shared" si="1"/>
        <v/>
      </c>
      <c r="B845" s="9"/>
      <c r="C845" s="9"/>
      <c r="D845" s="133"/>
      <c r="E845" s="133"/>
      <c r="F845" s="69"/>
      <c r="G845" s="9"/>
      <c r="H845" s="9"/>
      <c r="I845" s="60" t="str">
        <f t="shared" si="5"/>
        <v/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60" t="str">
        <f t="shared" si="1"/>
        <v/>
      </c>
      <c r="B846" s="9"/>
      <c r="C846" s="9"/>
      <c r="D846" s="133"/>
      <c r="E846" s="133"/>
      <c r="F846" s="69"/>
      <c r="G846" s="9"/>
      <c r="H846" s="9"/>
      <c r="I846" s="60" t="str">
        <f t="shared" si="5"/>
        <v/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60" t="str">
        <f t="shared" si="1"/>
        <v/>
      </c>
      <c r="B847" s="9"/>
      <c r="C847" s="9"/>
      <c r="D847" s="133"/>
      <c r="E847" s="133"/>
      <c r="F847" s="69"/>
      <c r="G847" s="9"/>
      <c r="H847" s="9"/>
      <c r="I847" s="60" t="str">
        <f t="shared" si="5"/>
        <v/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60" t="str">
        <f t="shared" si="1"/>
        <v/>
      </c>
      <c r="B848" s="9"/>
      <c r="C848" s="9"/>
      <c r="D848" s="133"/>
      <c r="E848" s="133"/>
      <c r="F848" s="69"/>
      <c r="G848" s="9"/>
      <c r="H848" s="9"/>
      <c r="I848" s="60" t="str">
        <f t="shared" si="5"/>
        <v/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60" t="str">
        <f t="shared" si="1"/>
        <v/>
      </c>
      <c r="B849" s="9"/>
      <c r="C849" s="9"/>
      <c r="D849" s="133"/>
      <c r="E849" s="133"/>
      <c r="F849" s="69"/>
      <c r="G849" s="9"/>
      <c r="H849" s="9"/>
      <c r="I849" s="60" t="str">
        <f t="shared" si="5"/>
        <v/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60" t="str">
        <f t="shared" si="1"/>
        <v/>
      </c>
      <c r="B850" s="9"/>
      <c r="C850" s="9"/>
      <c r="D850" s="133"/>
      <c r="E850" s="133"/>
      <c r="F850" s="69"/>
      <c r="G850" s="9"/>
      <c r="H850" s="9"/>
      <c r="I850" s="60" t="str">
        <f t="shared" si="5"/>
        <v/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60" t="str">
        <f t="shared" si="1"/>
        <v/>
      </c>
      <c r="B851" s="9"/>
      <c r="C851" s="9"/>
      <c r="D851" s="133"/>
      <c r="E851" s="133"/>
      <c r="F851" s="69"/>
      <c r="G851" s="9"/>
      <c r="H851" s="9"/>
      <c r="I851" s="60" t="str">
        <f t="shared" si="5"/>
        <v/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60" t="str">
        <f t="shared" si="1"/>
        <v/>
      </c>
      <c r="B852" s="9"/>
      <c r="C852" s="9"/>
      <c r="D852" s="133"/>
      <c r="E852" s="133"/>
      <c r="F852" s="69"/>
      <c r="G852" s="9"/>
      <c r="H852" s="9"/>
      <c r="I852" s="60" t="str">
        <f t="shared" si="5"/>
        <v/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60" t="str">
        <f t="shared" si="1"/>
        <v/>
      </c>
      <c r="B853" s="9"/>
      <c r="C853" s="9"/>
      <c r="D853" s="133"/>
      <c r="E853" s="133"/>
      <c r="F853" s="69"/>
      <c r="G853" s="9"/>
      <c r="H853" s="9"/>
      <c r="I853" s="60" t="str">
        <f t="shared" si="5"/>
        <v/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60" t="str">
        <f t="shared" si="1"/>
        <v/>
      </c>
      <c r="B854" s="9"/>
      <c r="C854" s="9"/>
      <c r="D854" s="133"/>
      <c r="E854" s="133"/>
      <c r="F854" s="69"/>
      <c r="G854" s="9"/>
      <c r="H854" s="9"/>
      <c r="I854" s="60" t="str">
        <f t="shared" si="5"/>
        <v/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60" t="str">
        <f t="shared" si="1"/>
        <v/>
      </c>
      <c r="B855" s="9"/>
      <c r="C855" s="9"/>
      <c r="D855" s="133"/>
      <c r="E855" s="133"/>
      <c r="F855" s="69"/>
      <c r="G855" s="9"/>
      <c r="H855" s="9"/>
      <c r="I855" s="60" t="str">
        <f t="shared" si="5"/>
        <v/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60" t="str">
        <f t="shared" si="1"/>
        <v/>
      </c>
      <c r="B856" s="9"/>
      <c r="C856" s="9"/>
      <c r="D856" s="133"/>
      <c r="E856" s="133"/>
      <c r="F856" s="69"/>
      <c r="G856" s="9"/>
      <c r="H856" s="9"/>
      <c r="I856" s="60" t="str">
        <f t="shared" si="5"/>
        <v/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60" t="str">
        <f t="shared" si="1"/>
        <v/>
      </c>
      <c r="B857" s="9"/>
      <c r="C857" s="9"/>
      <c r="D857" s="133"/>
      <c r="E857" s="133"/>
      <c r="F857" s="69"/>
      <c r="G857" s="9"/>
      <c r="H857" s="9"/>
      <c r="I857" s="60" t="str">
        <f t="shared" si="5"/>
        <v/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60" t="str">
        <f t="shared" si="1"/>
        <v/>
      </c>
      <c r="B858" s="9"/>
      <c r="C858" s="9"/>
      <c r="D858" s="133"/>
      <c r="E858" s="133"/>
      <c r="F858" s="69"/>
      <c r="G858" s="9"/>
      <c r="H858" s="9"/>
      <c r="I858" s="60" t="str">
        <f t="shared" si="5"/>
        <v/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60" t="str">
        <f t="shared" si="1"/>
        <v/>
      </c>
      <c r="B859" s="9"/>
      <c r="C859" s="9"/>
      <c r="D859" s="133"/>
      <c r="E859" s="133"/>
      <c r="F859" s="69"/>
      <c r="G859" s="9"/>
      <c r="H859" s="9"/>
      <c r="I859" s="60" t="str">
        <f t="shared" si="5"/>
        <v/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60" t="str">
        <f t="shared" si="1"/>
        <v/>
      </c>
      <c r="B860" s="9"/>
      <c r="C860" s="9"/>
      <c r="D860" s="133"/>
      <c r="E860" s="133"/>
      <c r="F860" s="69"/>
      <c r="G860" s="9"/>
      <c r="H860" s="9"/>
      <c r="I860" s="60" t="str">
        <f t="shared" si="5"/>
        <v/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60" t="str">
        <f t="shared" si="1"/>
        <v/>
      </c>
      <c r="B861" s="9"/>
      <c r="C861" s="9"/>
      <c r="D861" s="133"/>
      <c r="E861" s="133"/>
      <c r="F861" s="69"/>
      <c r="G861" s="9"/>
      <c r="H861" s="9"/>
      <c r="I861" s="60" t="str">
        <f t="shared" si="5"/>
        <v/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60" t="str">
        <f t="shared" si="1"/>
        <v/>
      </c>
      <c r="B862" s="9"/>
      <c r="C862" s="9"/>
      <c r="D862" s="133"/>
      <c r="E862" s="133"/>
      <c r="F862" s="69"/>
      <c r="G862" s="9"/>
      <c r="H862" s="9"/>
      <c r="I862" s="60" t="str">
        <f t="shared" si="5"/>
        <v/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60" t="str">
        <f t="shared" si="1"/>
        <v/>
      </c>
      <c r="B863" s="9"/>
      <c r="C863" s="9"/>
      <c r="D863" s="133"/>
      <c r="E863" s="133"/>
      <c r="F863" s="69"/>
      <c r="G863" s="9"/>
      <c r="H863" s="9"/>
      <c r="I863" s="60" t="str">
        <f t="shared" si="5"/>
        <v/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60" t="str">
        <f t="shared" si="1"/>
        <v/>
      </c>
      <c r="B864" s="9"/>
      <c r="C864" s="9"/>
      <c r="D864" s="133"/>
      <c r="E864" s="133"/>
      <c r="F864" s="69"/>
      <c r="G864" s="9"/>
      <c r="H864" s="9"/>
      <c r="I864" s="60" t="str">
        <f t="shared" si="5"/>
        <v/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60" t="str">
        <f t="shared" si="1"/>
        <v/>
      </c>
      <c r="B865" s="9"/>
      <c r="C865" s="9"/>
      <c r="D865" s="133"/>
      <c r="E865" s="133"/>
      <c r="F865" s="69"/>
      <c r="G865" s="9"/>
      <c r="H865" s="9"/>
      <c r="I865" s="60" t="str">
        <f t="shared" si="5"/>
        <v/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60" t="str">
        <f t="shared" si="1"/>
        <v/>
      </c>
      <c r="B866" s="9"/>
      <c r="C866" s="9"/>
      <c r="D866" s="133"/>
      <c r="E866" s="133"/>
      <c r="F866" s="69"/>
      <c r="G866" s="9"/>
      <c r="H866" s="9"/>
      <c r="I866" s="60" t="str">
        <f t="shared" si="5"/>
        <v/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60" t="str">
        <f t="shared" si="1"/>
        <v/>
      </c>
      <c r="B867" s="9"/>
      <c r="C867" s="9"/>
      <c r="D867" s="133"/>
      <c r="E867" s="133"/>
      <c r="F867" s="69"/>
      <c r="G867" s="9"/>
      <c r="H867" s="9"/>
      <c r="I867" s="60" t="str">
        <f t="shared" si="5"/>
        <v/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60" t="str">
        <f t="shared" si="1"/>
        <v/>
      </c>
      <c r="B868" s="9"/>
      <c r="C868" s="9"/>
      <c r="D868" s="133"/>
      <c r="E868" s="133"/>
      <c r="F868" s="69"/>
      <c r="G868" s="9"/>
      <c r="H868" s="9"/>
      <c r="I868" s="60" t="str">
        <f t="shared" si="5"/>
        <v/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60" t="str">
        <f t="shared" si="1"/>
        <v/>
      </c>
      <c r="B869" s="9"/>
      <c r="C869" s="9"/>
      <c r="D869" s="133"/>
      <c r="E869" s="133"/>
      <c r="F869" s="69"/>
      <c r="G869" s="9"/>
      <c r="H869" s="9"/>
      <c r="I869" s="60" t="str">
        <f t="shared" si="5"/>
        <v/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60" t="str">
        <f t="shared" si="1"/>
        <v/>
      </c>
      <c r="B870" s="9"/>
      <c r="C870" s="9"/>
      <c r="D870" s="133"/>
      <c r="E870" s="133"/>
      <c r="F870" s="69"/>
      <c r="G870" s="9"/>
      <c r="H870" s="9"/>
      <c r="I870" s="60" t="str">
        <f t="shared" si="5"/>
        <v/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60" t="str">
        <f t="shared" si="1"/>
        <v/>
      </c>
      <c r="B871" s="9"/>
      <c r="C871" s="9"/>
      <c r="D871" s="133"/>
      <c r="E871" s="133"/>
      <c r="F871" s="69"/>
      <c r="G871" s="9"/>
      <c r="H871" s="9"/>
      <c r="I871" s="60" t="str">
        <f t="shared" si="5"/>
        <v/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60" t="str">
        <f t="shared" si="1"/>
        <v/>
      </c>
      <c r="B872" s="9"/>
      <c r="C872" s="9"/>
      <c r="D872" s="133"/>
      <c r="E872" s="133"/>
      <c r="F872" s="69"/>
      <c r="G872" s="9"/>
      <c r="H872" s="9"/>
      <c r="I872" s="60" t="str">
        <f t="shared" si="5"/>
        <v/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60" t="str">
        <f t="shared" si="1"/>
        <v/>
      </c>
      <c r="B873" s="9"/>
      <c r="C873" s="9"/>
      <c r="D873" s="133"/>
      <c r="E873" s="133"/>
      <c r="F873" s="69"/>
      <c r="G873" s="9"/>
      <c r="H873" s="9"/>
      <c r="I873" s="60" t="str">
        <f t="shared" si="5"/>
        <v/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60" t="str">
        <f t="shared" si="1"/>
        <v/>
      </c>
      <c r="B874" s="9"/>
      <c r="C874" s="9"/>
      <c r="D874" s="133"/>
      <c r="E874" s="133"/>
      <c r="F874" s="69"/>
      <c r="G874" s="9"/>
      <c r="H874" s="9"/>
      <c r="I874" s="60" t="str">
        <f t="shared" si="5"/>
        <v/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60" t="str">
        <f t="shared" si="1"/>
        <v/>
      </c>
      <c r="B875" s="9"/>
      <c r="C875" s="9"/>
      <c r="D875" s="133"/>
      <c r="E875" s="133"/>
      <c r="F875" s="69"/>
      <c r="G875" s="9"/>
      <c r="H875" s="9"/>
      <c r="I875" s="60" t="str">
        <f t="shared" si="5"/>
        <v/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60" t="str">
        <f t="shared" si="1"/>
        <v/>
      </c>
      <c r="B876" s="9"/>
      <c r="C876" s="9"/>
      <c r="D876" s="133"/>
      <c r="E876" s="133"/>
      <c r="F876" s="69"/>
      <c r="G876" s="9"/>
      <c r="H876" s="9"/>
      <c r="I876" s="60" t="str">
        <f t="shared" si="5"/>
        <v/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60" t="str">
        <f t="shared" si="1"/>
        <v/>
      </c>
      <c r="B877" s="9"/>
      <c r="C877" s="9"/>
      <c r="D877" s="133"/>
      <c r="E877" s="133"/>
      <c r="F877" s="69"/>
      <c r="G877" s="9"/>
      <c r="H877" s="9"/>
      <c r="I877" s="60" t="str">
        <f t="shared" si="5"/>
        <v/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60" t="str">
        <f t="shared" si="1"/>
        <v/>
      </c>
      <c r="B878" s="9"/>
      <c r="C878" s="9"/>
      <c r="D878" s="133"/>
      <c r="E878" s="133"/>
      <c r="F878" s="69"/>
      <c r="G878" s="9"/>
      <c r="H878" s="9"/>
      <c r="I878" s="60" t="str">
        <f t="shared" si="5"/>
        <v/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60" t="str">
        <f t="shared" si="1"/>
        <v/>
      </c>
      <c r="B879" s="9"/>
      <c r="C879" s="9"/>
      <c r="D879" s="133"/>
      <c r="E879" s="133"/>
      <c r="F879" s="69"/>
      <c r="G879" s="9"/>
      <c r="H879" s="9"/>
      <c r="I879" s="60" t="str">
        <f t="shared" si="5"/>
        <v/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60" t="str">
        <f t="shared" si="1"/>
        <v/>
      </c>
      <c r="B880" s="9"/>
      <c r="C880" s="9"/>
      <c r="D880" s="133"/>
      <c r="E880" s="133"/>
      <c r="F880" s="69"/>
      <c r="G880" s="9"/>
      <c r="H880" s="9"/>
      <c r="I880" s="60" t="str">
        <f t="shared" si="5"/>
        <v/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60" t="str">
        <f t="shared" si="1"/>
        <v/>
      </c>
      <c r="B881" s="9"/>
      <c r="C881" s="9"/>
      <c r="D881" s="133"/>
      <c r="E881" s="133"/>
      <c r="F881" s="69"/>
      <c r="G881" s="9"/>
      <c r="H881" s="9"/>
      <c r="I881" s="60" t="str">
        <f t="shared" si="5"/>
        <v/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60" t="str">
        <f t="shared" si="1"/>
        <v/>
      </c>
      <c r="B882" s="9"/>
      <c r="C882" s="9"/>
      <c r="D882" s="133"/>
      <c r="E882" s="133"/>
      <c r="F882" s="69"/>
      <c r="G882" s="9"/>
      <c r="H882" s="9"/>
      <c r="I882" s="60" t="str">
        <f t="shared" si="5"/>
        <v/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60" t="str">
        <f t="shared" si="1"/>
        <v/>
      </c>
      <c r="B883" s="9"/>
      <c r="C883" s="9"/>
      <c r="D883" s="133"/>
      <c r="E883" s="133"/>
      <c r="F883" s="69"/>
      <c r="G883" s="9"/>
      <c r="H883" s="9"/>
      <c r="I883" s="60" t="str">
        <f t="shared" si="5"/>
        <v/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60" t="str">
        <f t="shared" si="1"/>
        <v/>
      </c>
      <c r="B884" s="9"/>
      <c r="C884" s="9"/>
      <c r="D884" s="133"/>
      <c r="E884" s="133"/>
      <c r="F884" s="69"/>
      <c r="G884" s="9"/>
      <c r="H884" s="9"/>
      <c r="I884" s="60" t="str">
        <f t="shared" si="5"/>
        <v/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60" t="str">
        <f t="shared" si="1"/>
        <v/>
      </c>
      <c r="B885" s="9"/>
      <c r="C885" s="9"/>
      <c r="D885" s="133"/>
      <c r="E885" s="133"/>
      <c r="F885" s="69"/>
      <c r="G885" s="9"/>
      <c r="H885" s="9"/>
      <c r="I885" s="60" t="str">
        <f t="shared" si="5"/>
        <v/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60" t="str">
        <f t="shared" si="1"/>
        <v/>
      </c>
      <c r="B886" s="9"/>
      <c r="C886" s="9"/>
      <c r="D886" s="133"/>
      <c r="E886" s="133"/>
      <c r="F886" s="69"/>
      <c r="G886" s="9"/>
      <c r="H886" s="9"/>
      <c r="I886" s="60" t="str">
        <f t="shared" si="5"/>
        <v/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60" t="str">
        <f t="shared" si="1"/>
        <v/>
      </c>
      <c r="B887" s="9"/>
      <c r="C887" s="9"/>
      <c r="D887" s="133"/>
      <c r="E887" s="133"/>
      <c r="F887" s="69"/>
      <c r="G887" s="9"/>
      <c r="H887" s="9"/>
      <c r="I887" s="60" t="str">
        <f t="shared" si="5"/>
        <v/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60" t="str">
        <f t="shared" si="1"/>
        <v/>
      </c>
      <c r="B888" s="9"/>
      <c r="C888" s="9"/>
      <c r="D888" s="133"/>
      <c r="E888" s="133"/>
      <c r="F888" s="69"/>
      <c r="G888" s="9"/>
      <c r="H888" s="9"/>
      <c r="I888" s="60" t="str">
        <f t="shared" si="5"/>
        <v/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60" t="str">
        <f t="shared" si="1"/>
        <v/>
      </c>
      <c r="B889" s="9"/>
      <c r="C889" s="9"/>
      <c r="D889" s="133"/>
      <c r="E889" s="133"/>
      <c r="F889" s="69"/>
      <c r="G889" s="9"/>
      <c r="H889" s="9"/>
      <c r="I889" s="60" t="str">
        <f t="shared" si="5"/>
        <v/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60" t="str">
        <f t="shared" si="1"/>
        <v/>
      </c>
      <c r="B890" s="9"/>
      <c r="C890" s="9"/>
      <c r="D890" s="133"/>
      <c r="E890" s="133"/>
      <c r="F890" s="69"/>
      <c r="G890" s="9"/>
      <c r="H890" s="9"/>
      <c r="I890" s="60" t="str">
        <f t="shared" si="5"/>
        <v/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60" t="str">
        <f t="shared" si="1"/>
        <v/>
      </c>
      <c r="B891" s="9"/>
      <c r="C891" s="9"/>
      <c r="D891" s="133"/>
      <c r="E891" s="133"/>
      <c r="F891" s="69"/>
      <c r="G891" s="9"/>
      <c r="H891" s="9"/>
      <c r="I891" s="60" t="str">
        <f t="shared" si="5"/>
        <v/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60" t="str">
        <f t="shared" si="1"/>
        <v/>
      </c>
      <c r="B892" s="9"/>
      <c r="C892" s="9"/>
      <c r="D892" s="133"/>
      <c r="E892" s="133"/>
      <c r="F892" s="69"/>
      <c r="G892" s="9"/>
      <c r="H892" s="9"/>
      <c r="I892" s="60" t="str">
        <f t="shared" si="5"/>
        <v/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60" t="str">
        <f t="shared" si="1"/>
        <v/>
      </c>
      <c r="B893" s="9"/>
      <c r="C893" s="9"/>
      <c r="D893" s="133"/>
      <c r="E893" s="133"/>
      <c r="F893" s="69"/>
      <c r="G893" s="9"/>
      <c r="H893" s="9"/>
      <c r="I893" s="60" t="str">
        <f t="shared" si="5"/>
        <v/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60" t="str">
        <f t="shared" si="1"/>
        <v/>
      </c>
      <c r="B894" s="9"/>
      <c r="C894" s="9"/>
      <c r="D894" s="133"/>
      <c r="E894" s="133"/>
      <c r="F894" s="69"/>
      <c r="G894" s="9"/>
      <c r="H894" s="9"/>
      <c r="I894" s="60" t="str">
        <f t="shared" si="5"/>
        <v/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60" t="str">
        <f t="shared" si="1"/>
        <v/>
      </c>
      <c r="B895" s="9"/>
      <c r="C895" s="9"/>
      <c r="D895" s="133"/>
      <c r="E895" s="133"/>
      <c r="F895" s="69"/>
      <c r="G895" s="9"/>
      <c r="H895" s="9"/>
      <c r="I895" s="60" t="str">
        <f t="shared" si="5"/>
        <v/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60" t="str">
        <f t="shared" si="1"/>
        <v/>
      </c>
      <c r="B896" s="9"/>
      <c r="C896" s="9"/>
      <c r="D896" s="133"/>
      <c r="E896" s="133"/>
      <c r="F896" s="69"/>
      <c r="G896" s="9"/>
      <c r="H896" s="9"/>
      <c r="I896" s="60" t="str">
        <f t="shared" si="5"/>
        <v/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60" t="str">
        <f t="shared" si="1"/>
        <v/>
      </c>
      <c r="B897" s="9"/>
      <c r="C897" s="9"/>
      <c r="D897" s="133"/>
      <c r="E897" s="133"/>
      <c r="F897" s="69"/>
      <c r="G897" s="9"/>
      <c r="H897" s="9"/>
      <c r="I897" s="60" t="str">
        <f t="shared" si="5"/>
        <v/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60" t="str">
        <f t="shared" si="1"/>
        <v/>
      </c>
      <c r="B898" s="9"/>
      <c r="C898" s="9"/>
      <c r="D898" s="133"/>
      <c r="E898" s="133"/>
      <c r="F898" s="69"/>
      <c r="G898" s="9"/>
      <c r="H898" s="9"/>
      <c r="I898" s="60" t="str">
        <f t="shared" si="5"/>
        <v/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60" t="str">
        <f t="shared" si="1"/>
        <v/>
      </c>
      <c r="B899" s="9"/>
      <c r="C899" s="9"/>
      <c r="D899" s="133"/>
      <c r="E899" s="133"/>
      <c r="F899" s="69"/>
      <c r="G899" s="9"/>
      <c r="H899" s="9"/>
      <c r="I899" s="60" t="str">
        <f t="shared" si="5"/>
        <v/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60" t="str">
        <f t="shared" si="1"/>
        <v/>
      </c>
      <c r="B900" s="9"/>
      <c r="C900" s="9"/>
      <c r="D900" s="133"/>
      <c r="E900" s="133"/>
      <c r="F900" s="69"/>
      <c r="G900" s="9"/>
      <c r="H900" s="9"/>
      <c r="I900" s="60" t="str">
        <f t="shared" si="5"/>
        <v/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60" t="str">
        <f t="shared" si="1"/>
        <v/>
      </c>
      <c r="B901" s="9"/>
      <c r="C901" s="9"/>
      <c r="D901" s="133"/>
      <c r="E901" s="133"/>
      <c r="F901" s="69"/>
      <c r="G901" s="9"/>
      <c r="H901" s="9"/>
      <c r="I901" s="60" t="str">
        <f t="shared" si="5"/>
        <v/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60" t="str">
        <f t="shared" si="1"/>
        <v/>
      </c>
      <c r="B902" s="9"/>
      <c r="C902" s="9"/>
      <c r="D902" s="133"/>
      <c r="E902" s="133"/>
      <c r="F902" s="69"/>
      <c r="G902" s="9"/>
      <c r="H902" s="9"/>
      <c r="I902" s="60" t="str">
        <f t="shared" si="5"/>
        <v/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60" t="str">
        <f t="shared" si="1"/>
        <v/>
      </c>
      <c r="B903" s="9"/>
      <c r="C903" s="9"/>
      <c r="D903" s="133"/>
      <c r="E903" s="133"/>
      <c r="F903" s="69"/>
      <c r="G903" s="9"/>
      <c r="H903" s="9"/>
      <c r="I903" s="60" t="str">
        <f t="shared" si="5"/>
        <v/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60" t="str">
        <f t="shared" si="1"/>
        <v/>
      </c>
      <c r="B904" s="9"/>
      <c r="C904" s="9"/>
      <c r="D904" s="133"/>
      <c r="E904" s="133"/>
      <c r="F904" s="69"/>
      <c r="G904" s="9"/>
      <c r="H904" s="9"/>
      <c r="I904" s="60" t="str">
        <f t="shared" si="5"/>
        <v/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60" t="str">
        <f t="shared" si="1"/>
        <v/>
      </c>
      <c r="B905" s="9"/>
      <c r="C905" s="9"/>
      <c r="D905" s="133"/>
      <c r="E905" s="133"/>
      <c r="F905" s="69"/>
      <c r="G905" s="9"/>
      <c r="H905" s="9"/>
      <c r="I905" s="60" t="str">
        <f t="shared" si="5"/>
        <v/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60" t="str">
        <f t="shared" si="1"/>
        <v/>
      </c>
      <c r="B906" s="9"/>
      <c r="C906" s="9"/>
      <c r="D906" s="133"/>
      <c r="E906" s="133"/>
      <c r="F906" s="69"/>
      <c r="G906" s="9"/>
      <c r="H906" s="9"/>
      <c r="I906" s="60" t="str">
        <f t="shared" si="5"/>
        <v/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60" t="str">
        <f t="shared" si="1"/>
        <v/>
      </c>
      <c r="B907" s="9"/>
      <c r="C907" s="9"/>
      <c r="D907" s="133"/>
      <c r="E907" s="133"/>
      <c r="F907" s="69"/>
      <c r="G907" s="9"/>
      <c r="H907" s="9"/>
      <c r="I907" s="60" t="str">
        <f t="shared" si="5"/>
        <v/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60" t="str">
        <f t="shared" si="1"/>
        <v/>
      </c>
      <c r="B908" s="9"/>
      <c r="C908" s="9"/>
      <c r="D908" s="133"/>
      <c r="E908" s="133"/>
      <c r="F908" s="69"/>
      <c r="G908" s="9"/>
      <c r="H908" s="9"/>
      <c r="I908" s="60" t="str">
        <f t="shared" si="5"/>
        <v/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60" t="str">
        <f t="shared" si="1"/>
        <v/>
      </c>
      <c r="B909" s="9"/>
      <c r="C909" s="9"/>
      <c r="D909" s="133"/>
      <c r="E909" s="133"/>
      <c r="F909" s="69"/>
      <c r="G909" s="9"/>
      <c r="H909" s="9"/>
      <c r="I909" s="60" t="str">
        <f t="shared" si="5"/>
        <v/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60" t="str">
        <f t="shared" si="1"/>
        <v/>
      </c>
      <c r="B910" s="9"/>
      <c r="C910" s="9"/>
      <c r="D910" s="133"/>
      <c r="E910" s="133"/>
      <c r="F910" s="69"/>
      <c r="G910" s="9"/>
      <c r="H910" s="9"/>
      <c r="I910" s="60" t="str">
        <f t="shared" si="5"/>
        <v/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60" t="str">
        <f t="shared" si="1"/>
        <v/>
      </c>
      <c r="B911" s="9"/>
      <c r="C911" s="9"/>
      <c r="D911" s="133"/>
      <c r="E911" s="133"/>
      <c r="F911" s="69"/>
      <c r="G911" s="9"/>
      <c r="H911" s="9"/>
      <c r="I911" s="60" t="str">
        <f t="shared" si="5"/>
        <v/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60" t="str">
        <f t="shared" si="1"/>
        <v/>
      </c>
      <c r="B912" s="9"/>
      <c r="C912" s="9"/>
      <c r="D912" s="133"/>
      <c r="E912" s="133"/>
      <c r="F912" s="69"/>
      <c r="G912" s="9"/>
      <c r="H912" s="9"/>
      <c r="I912" s="60" t="str">
        <f t="shared" si="5"/>
        <v/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60" t="str">
        <f t="shared" si="1"/>
        <v/>
      </c>
      <c r="B913" s="9"/>
      <c r="C913" s="9"/>
      <c r="D913" s="133"/>
      <c r="E913" s="133"/>
      <c r="F913" s="69"/>
      <c r="G913" s="9"/>
      <c r="H913" s="9"/>
      <c r="I913" s="60" t="str">
        <f t="shared" si="5"/>
        <v/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60" t="str">
        <f t="shared" si="1"/>
        <v/>
      </c>
      <c r="B914" s="9"/>
      <c r="C914" s="9"/>
      <c r="D914" s="133"/>
      <c r="E914" s="133"/>
      <c r="F914" s="69"/>
      <c r="G914" s="9"/>
      <c r="H914" s="9"/>
      <c r="I914" s="60" t="str">
        <f t="shared" si="5"/>
        <v/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60" t="str">
        <f t="shared" si="1"/>
        <v/>
      </c>
      <c r="B915" s="9"/>
      <c r="C915" s="9"/>
      <c r="D915" s="133"/>
      <c r="E915" s="133"/>
      <c r="F915" s="69"/>
      <c r="G915" s="9"/>
      <c r="H915" s="9"/>
      <c r="I915" s="60" t="str">
        <f t="shared" si="5"/>
        <v/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60" t="str">
        <f t="shared" si="1"/>
        <v/>
      </c>
      <c r="B916" s="9"/>
      <c r="C916" s="9"/>
      <c r="D916" s="133"/>
      <c r="E916" s="133"/>
      <c r="F916" s="69"/>
      <c r="G916" s="9"/>
      <c r="H916" s="9"/>
      <c r="I916" s="60" t="str">
        <f t="shared" si="5"/>
        <v/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60" t="str">
        <f t="shared" si="1"/>
        <v/>
      </c>
      <c r="B917" s="9"/>
      <c r="C917" s="9"/>
      <c r="D917" s="133"/>
      <c r="E917" s="133"/>
      <c r="F917" s="69"/>
      <c r="G917" s="9"/>
      <c r="H917" s="9"/>
      <c r="I917" s="60" t="str">
        <f t="shared" si="5"/>
        <v/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60" t="str">
        <f t="shared" si="1"/>
        <v/>
      </c>
      <c r="B918" s="9"/>
      <c r="C918" s="9"/>
      <c r="D918" s="133"/>
      <c r="E918" s="133"/>
      <c r="F918" s="69"/>
      <c r="G918" s="9"/>
      <c r="H918" s="9"/>
      <c r="I918" s="60" t="str">
        <f t="shared" si="5"/>
        <v/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60" t="str">
        <f t="shared" si="1"/>
        <v/>
      </c>
      <c r="B919" s="9"/>
      <c r="C919" s="9"/>
      <c r="D919" s="133"/>
      <c r="E919" s="133"/>
      <c r="F919" s="69"/>
      <c r="G919" s="9"/>
      <c r="H919" s="9"/>
      <c r="I919" s="60" t="str">
        <f t="shared" si="5"/>
        <v/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60" t="str">
        <f t="shared" si="1"/>
        <v/>
      </c>
      <c r="B920" s="9"/>
      <c r="C920" s="9"/>
      <c r="D920" s="133"/>
      <c r="E920" s="133"/>
      <c r="F920" s="69"/>
      <c r="G920" s="9"/>
      <c r="H920" s="9"/>
      <c r="I920" s="60" t="str">
        <f t="shared" si="5"/>
        <v/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60" t="str">
        <f t="shared" si="1"/>
        <v/>
      </c>
      <c r="B921" s="9"/>
      <c r="C921" s="9"/>
      <c r="D921" s="133"/>
      <c r="E921" s="133"/>
      <c r="F921" s="69"/>
      <c r="G921" s="9"/>
      <c r="H921" s="9"/>
      <c r="I921" s="60" t="str">
        <f t="shared" si="5"/>
        <v/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60" t="str">
        <f t="shared" si="1"/>
        <v/>
      </c>
      <c r="B922" s="9"/>
      <c r="C922" s="9"/>
      <c r="D922" s="133"/>
      <c r="E922" s="133"/>
      <c r="F922" s="69"/>
      <c r="G922" s="9"/>
      <c r="H922" s="9"/>
      <c r="I922" s="60" t="str">
        <f t="shared" si="5"/>
        <v/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60" t="str">
        <f t="shared" si="1"/>
        <v/>
      </c>
      <c r="B923" s="9"/>
      <c r="C923" s="9"/>
      <c r="D923" s="133"/>
      <c r="E923" s="133"/>
      <c r="F923" s="69"/>
      <c r="G923" s="9"/>
      <c r="H923" s="9"/>
      <c r="I923" s="60" t="str">
        <f t="shared" si="5"/>
        <v/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60" t="str">
        <f t="shared" si="1"/>
        <v/>
      </c>
      <c r="B924" s="9"/>
      <c r="C924" s="9"/>
      <c r="D924" s="133"/>
      <c r="E924" s="133"/>
      <c r="F924" s="69"/>
      <c r="G924" s="9"/>
      <c r="H924" s="9"/>
      <c r="I924" s="60" t="str">
        <f t="shared" si="5"/>
        <v/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60" t="str">
        <f t="shared" si="1"/>
        <v/>
      </c>
      <c r="B925" s="9"/>
      <c r="C925" s="9"/>
      <c r="D925" s="133"/>
      <c r="E925" s="133"/>
      <c r="F925" s="69"/>
      <c r="G925" s="9"/>
      <c r="H925" s="9"/>
      <c r="I925" s="60" t="str">
        <f t="shared" si="5"/>
        <v/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60" t="str">
        <f t="shared" si="1"/>
        <v/>
      </c>
      <c r="B926" s="9"/>
      <c r="C926" s="9"/>
      <c r="D926" s="133"/>
      <c r="E926" s="133"/>
      <c r="F926" s="69"/>
      <c r="G926" s="9"/>
      <c r="H926" s="9"/>
      <c r="I926" s="60" t="str">
        <f t="shared" si="5"/>
        <v/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60" t="str">
        <f t="shared" si="1"/>
        <v/>
      </c>
      <c r="B927" s="9"/>
      <c r="C927" s="9"/>
      <c r="D927" s="133"/>
      <c r="E927" s="133"/>
      <c r="F927" s="69"/>
      <c r="G927" s="9"/>
      <c r="H927" s="9"/>
      <c r="I927" s="60" t="str">
        <f t="shared" si="5"/>
        <v/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60" t="str">
        <f t="shared" si="1"/>
        <v/>
      </c>
      <c r="B928" s="9"/>
      <c r="C928" s="9"/>
      <c r="D928" s="133"/>
      <c r="E928" s="133"/>
      <c r="F928" s="69"/>
      <c r="G928" s="9"/>
      <c r="H928" s="9"/>
      <c r="I928" s="60" t="str">
        <f t="shared" si="5"/>
        <v/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60" t="str">
        <f t="shared" si="1"/>
        <v/>
      </c>
      <c r="B929" s="9"/>
      <c r="C929" s="9"/>
      <c r="D929" s="133"/>
      <c r="E929" s="133"/>
      <c r="F929" s="69"/>
      <c r="G929" s="9"/>
      <c r="H929" s="9"/>
      <c r="I929" s="60" t="str">
        <f t="shared" si="5"/>
        <v/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60" t="str">
        <f t="shared" si="1"/>
        <v/>
      </c>
      <c r="B930" s="9"/>
      <c r="C930" s="9"/>
      <c r="D930" s="133"/>
      <c r="E930" s="133"/>
      <c r="F930" s="69"/>
      <c r="G930" s="9"/>
      <c r="H930" s="9"/>
      <c r="I930" s="60" t="str">
        <f t="shared" si="5"/>
        <v/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60" t="str">
        <f t="shared" si="1"/>
        <v/>
      </c>
      <c r="B931" s="9"/>
      <c r="C931" s="9"/>
      <c r="D931" s="133"/>
      <c r="E931" s="133"/>
      <c r="F931" s="69"/>
      <c r="G931" s="9"/>
      <c r="H931" s="9"/>
      <c r="I931" s="60" t="str">
        <f t="shared" si="5"/>
        <v/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60" t="str">
        <f t="shared" si="1"/>
        <v/>
      </c>
      <c r="B932" s="9"/>
      <c r="C932" s="9"/>
      <c r="D932" s="133"/>
      <c r="E932" s="133"/>
      <c r="F932" s="69"/>
      <c r="G932" s="9"/>
      <c r="H932" s="9"/>
      <c r="I932" s="60" t="str">
        <f t="shared" si="5"/>
        <v/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60" t="str">
        <f t="shared" si="1"/>
        <v/>
      </c>
      <c r="B933" s="9"/>
      <c r="C933" s="9"/>
      <c r="D933" s="133"/>
      <c r="E933" s="133"/>
      <c r="F933" s="69"/>
      <c r="G933" s="9"/>
      <c r="H933" s="9"/>
      <c r="I933" s="60" t="str">
        <f t="shared" si="5"/>
        <v/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60" t="str">
        <f t="shared" si="1"/>
        <v/>
      </c>
      <c r="B934" s="9"/>
      <c r="C934" s="9"/>
      <c r="D934" s="133"/>
      <c r="E934" s="133"/>
      <c r="F934" s="69"/>
      <c r="G934" s="9"/>
      <c r="H934" s="9"/>
      <c r="I934" s="60" t="str">
        <f t="shared" si="5"/>
        <v/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60" t="str">
        <f t="shared" si="1"/>
        <v/>
      </c>
      <c r="B935" s="9"/>
      <c r="C935" s="9"/>
      <c r="D935" s="133"/>
      <c r="E935" s="133"/>
      <c r="F935" s="69"/>
      <c r="G935" s="9"/>
      <c r="H935" s="9"/>
      <c r="I935" s="60" t="str">
        <f t="shared" si="5"/>
        <v/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60" t="str">
        <f t="shared" si="1"/>
        <v/>
      </c>
      <c r="B936" s="9"/>
      <c r="C936" s="9"/>
      <c r="D936" s="133"/>
      <c r="E936" s="133"/>
      <c r="F936" s="69"/>
      <c r="G936" s="9"/>
      <c r="H936" s="9"/>
      <c r="I936" s="60" t="str">
        <f t="shared" si="5"/>
        <v/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60" t="str">
        <f t="shared" si="1"/>
        <v/>
      </c>
      <c r="B937" s="9"/>
      <c r="C937" s="9"/>
      <c r="D937" s="133"/>
      <c r="E937" s="133"/>
      <c r="F937" s="69"/>
      <c r="G937" s="9"/>
      <c r="H937" s="9"/>
      <c r="I937" s="60" t="str">
        <f t="shared" si="5"/>
        <v/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60" t="str">
        <f t="shared" si="1"/>
        <v/>
      </c>
      <c r="B938" s="9"/>
      <c r="C938" s="9"/>
      <c r="D938" s="133"/>
      <c r="E938" s="133"/>
      <c r="F938" s="69"/>
      <c r="G938" s="9"/>
      <c r="H938" s="9"/>
      <c r="I938" s="60" t="str">
        <f t="shared" si="5"/>
        <v/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60" t="str">
        <f t="shared" si="1"/>
        <v/>
      </c>
      <c r="B939" s="9"/>
      <c r="C939" s="9"/>
      <c r="D939" s="133"/>
      <c r="E939" s="133"/>
      <c r="F939" s="69"/>
      <c r="G939" s="9"/>
      <c r="H939" s="9"/>
      <c r="I939" s="60" t="str">
        <f t="shared" si="5"/>
        <v/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60" t="str">
        <f t="shared" si="1"/>
        <v/>
      </c>
      <c r="B940" s="9"/>
      <c r="C940" s="9"/>
      <c r="D940" s="133"/>
      <c r="E940" s="133"/>
      <c r="F940" s="69"/>
      <c r="G940" s="9"/>
      <c r="H940" s="9"/>
      <c r="I940" s="60" t="str">
        <f t="shared" si="5"/>
        <v/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60" t="str">
        <f t="shared" si="1"/>
        <v/>
      </c>
      <c r="B941" s="9"/>
      <c r="C941" s="9"/>
      <c r="D941" s="133"/>
      <c r="E941" s="133"/>
      <c r="F941" s="69"/>
      <c r="G941" s="9"/>
      <c r="H941" s="9"/>
      <c r="I941" s="60" t="str">
        <f t="shared" si="5"/>
        <v/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60" t="str">
        <f t="shared" si="1"/>
        <v/>
      </c>
      <c r="B942" s="9"/>
      <c r="C942" s="9"/>
      <c r="D942" s="133"/>
      <c r="E942" s="133"/>
      <c r="F942" s="69"/>
      <c r="G942" s="9"/>
      <c r="H942" s="9"/>
      <c r="I942" s="60" t="str">
        <f t="shared" si="5"/>
        <v/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60" t="str">
        <f t="shared" si="1"/>
        <v/>
      </c>
      <c r="B943" s="9"/>
      <c r="C943" s="9"/>
      <c r="D943" s="133"/>
      <c r="E943" s="133"/>
      <c r="F943" s="69"/>
      <c r="G943" s="9"/>
      <c r="H943" s="9"/>
      <c r="I943" s="60" t="str">
        <f t="shared" si="5"/>
        <v/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60" t="str">
        <f t="shared" si="1"/>
        <v/>
      </c>
      <c r="B944" s="9"/>
      <c r="C944" s="9"/>
      <c r="D944" s="133"/>
      <c r="E944" s="133"/>
      <c r="F944" s="69"/>
      <c r="G944" s="9"/>
      <c r="H944" s="9"/>
      <c r="I944" s="60" t="str">
        <f t="shared" si="5"/>
        <v/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60" t="str">
        <f t="shared" si="1"/>
        <v/>
      </c>
      <c r="B945" s="9"/>
      <c r="C945" s="9"/>
      <c r="D945" s="133"/>
      <c r="E945" s="133"/>
      <c r="F945" s="69"/>
      <c r="G945" s="9"/>
      <c r="H945" s="9"/>
      <c r="I945" s="60" t="str">
        <f t="shared" si="5"/>
        <v/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60" t="str">
        <f t="shared" si="1"/>
        <v/>
      </c>
      <c r="B946" s="9"/>
      <c r="C946" s="9"/>
      <c r="D946" s="133"/>
      <c r="E946" s="133"/>
      <c r="F946" s="69"/>
      <c r="G946" s="9"/>
      <c r="H946" s="9"/>
      <c r="I946" s="60" t="str">
        <f t="shared" si="5"/>
        <v/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60" t="str">
        <f t="shared" si="1"/>
        <v/>
      </c>
      <c r="B947" s="9"/>
      <c r="C947" s="9"/>
      <c r="D947" s="133"/>
      <c r="E947" s="133"/>
      <c r="F947" s="69"/>
      <c r="G947" s="9"/>
      <c r="H947" s="9"/>
      <c r="I947" s="60" t="str">
        <f t="shared" si="5"/>
        <v/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60" t="str">
        <f t="shared" si="1"/>
        <v/>
      </c>
      <c r="B948" s="9"/>
      <c r="C948" s="9"/>
      <c r="D948" s="133"/>
      <c r="E948" s="133"/>
      <c r="F948" s="69"/>
      <c r="G948" s="9"/>
      <c r="H948" s="9"/>
      <c r="I948" s="60" t="str">
        <f t="shared" si="5"/>
        <v/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60" t="str">
        <f t="shared" si="1"/>
        <v/>
      </c>
      <c r="B949" s="9"/>
      <c r="C949" s="9"/>
      <c r="D949" s="133"/>
      <c r="E949" s="133"/>
      <c r="F949" s="69"/>
      <c r="G949" s="9"/>
      <c r="H949" s="9"/>
      <c r="I949" s="60" t="str">
        <f t="shared" si="5"/>
        <v/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60" t="str">
        <f t="shared" si="1"/>
        <v/>
      </c>
      <c r="B950" s="9"/>
      <c r="C950" s="9"/>
      <c r="D950" s="133"/>
      <c r="E950" s="133"/>
      <c r="F950" s="69"/>
      <c r="G950" s="9"/>
      <c r="H950" s="9"/>
      <c r="I950" s="60" t="str">
        <f t="shared" si="5"/>
        <v/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60" t="str">
        <f t="shared" si="1"/>
        <v/>
      </c>
      <c r="B951" s="9"/>
      <c r="C951" s="9"/>
      <c r="D951" s="133"/>
      <c r="E951" s="133"/>
      <c r="F951" s="69"/>
      <c r="G951" s="9"/>
      <c r="H951" s="9"/>
      <c r="I951" s="60" t="str">
        <f t="shared" si="5"/>
        <v/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60" t="str">
        <f t="shared" si="1"/>
        <v/>
      </c>
      <c r="B952" s="9"/>
      <c r="C952" s="9"/>
      <c r="D952" s="133"/>
      <c r="E952" s="133"/>
      <c r="F952" s="69"/>
      <c r="G952" s="9"/>
      <c r="H952" s="9"/>
      <c r="I952" s="60" t="str">
        <f t="shared" si="5"/>
        <v/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60" t="str">
        <f t="shared" si="1"/>
        <v/>
      </c>
      <c r="B953" s="9"/>
      <c r="C953" s="9"/>
      <c r="D953" s="133"/>
      <c r="E953" s="133"/>
      <c r="F953" s="69"/>
      <c r="G953" s="9"/>
      <c r="H953" s="9"/>
      <c r="I953" s="60" t="str">
        <f t="shared" si="5"/>
        <v/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60" t="str">
        <f t="shared" si="1"/>
        <v/>
      </c>
      <c r="B954" s="9"/>
      <c r="C954" s="9"/>
      <c r="D954" s="133"/>
      <c r="E954" s="133"/>
      <c r="F954" s="69"/>
      <c r="G954" s="9"/>
      <c r="H954" s="9"/>
      <c r="I954" s="60" t="str">
        <f t="shared" si="5"/>
        <v/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60" t="str">
        <f t="shared" si="1"/>
        <v/>
      </c>
      <c r="B955" s="9"/>
      <c r="C955" s="9"/>
      <c r="D955" s="133"/>
      <c r="E955" s="133"/>
      <c r="F955" s="69"/>
      <c r="G955" s="9"/>
      <c r="H955" s="9"/>
      <c r="I955" s="60" t="str">
        <f t="shared" si="5"/>
        <v/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60" t="str">
        <f t="shared" si="1"/>
        <v/>
      </c>
      <c r="B956" s="9"/>
      <c r="C956" s="9"/>
      <c r="D956" s="133"/>
      <c r="E956" s="133"/>
      <c r="F956" s="69"/>
      <c r="G956" s="9"/>
      <c r="H956" s="9"/>
      <c r="I956" s="60" t="str">
        <f t="shared" si="5"/>
        <v/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60" t="str">
        <f t="shared" si="1"/>
        <v/>
      </c>
      <c r="B957" s="9"/>
      <c r="C957" s="9"/>
      <c r="D957" s="133"/>
      <c r="E957" s="133"/>
      <c r="F957" s="69"/>
      <c r="G957" s="9"/>
      <c r="H957" s="9"/>
      <c r="I957" s="60" t="str">
        <f t="shared" si="5"/>
        <v/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60" t="str">
        <f t="shared" si="1"/>
        <v/>
      </c>
      <c r="B958" s="9"/>
      <c r="C958" s="9"/>
      <c r="D958" s="133"/>
      <c r="E958" s="133"/>
      <c r="F958" s="69"/>
      <c r="G958" s="9"/>
      <c r="H958" s="9"/>
      <c r="I958" s="60" t="str">
        <f t="shared" si="5"/>
        <v/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60" t="str">
        <f t="shared" si="1"/>
        <v/>
      </c>
      <c r="B959" s="9"/>
      <c r="C959" s="9"/>
      <c r="D959" s="133"/>
      <c r="E959" s="133"/>
      <c r="F959" s="69"/>
      <c r="G959" s="9"/>
      <c r="H959" s="9"/>
      <c r="I959" s="60" t="str">
        <f t="shared" si="5"/>
        <v/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60" t="str">
        <f t="shared" si="1"/>
        <v/>
      </c>
      <c r="B960" s="9"/>
      <c r="C960" s="9"/>
      <c r="D960" s="133"/>
      <c r="E960" s="133"/>
      <c r="F960" s="69"/>
      <c r="G960" s="9"/>
      <c r="H960" s="9"/>
      <c r="I960" s="60" t="str">
        <f t="shared" si="5"/>
        <v/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60" t="str">
        <f t="shared" si="1"/>
        <v/>
      </c>
      <c r="B961" s="9"/>
      <c r="C961" s="9"/>
      <c r="D961" s="133"/>
      <c r="E961" s="133"/>
      <c r="F961" s="69"/>
      <c r="G961" s="9"/>
      <c r="H961" s="9"/>
      <c r="I961" s="60" t="str">
        <f t="shared" si="5"/>
        <v/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60" t="str">
        <f t="shared" si="1"/>
        <v/>
      </c>
      <c r="B962" s="9"/>
      <c r="C962" s="9"/>
      <c r="D962" s="133"/>
      <c r="E962" s="133"/>
      <c r="F962" s="69"/>
      <c r="G962" s="9"/>
      <c r="H962" s="9"/>
      <c r="I962" s="60" t="str">
        <f t="shared" si="5"/>
        <v/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60" t="str">
        <f t="shared" si="1"/>
        <v/>
      </c>
      <c r="B963" s="9"/>
      <c r="C963" s="9"/>
      <c r="D963" s="133"/>
      <c r="E963" s="133"/>
      <c r="F963" s="69"/>
      <c r="G963" s="9"/>
      <c r="H963" s="9"/>
      <c r="I963" s="60" t="str">
        <f t="shared" si="5"/>
        <v/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60" t="str">
        <f t="shared" si="1"/>
        <v/>
      </c>
      <c r="B964" s="9"/>
      <c r="C964" s="9"/>
      <c r="D964" s="133"/>
      <c r="E964" s="133"/>
      <c r="F964" s="69"/>
      <c r="G964" s="9"/>
      <c r="H964" s="9"/>
      <c r="I964" s="60" t="str">
        <f t="shared" si="5"/>
        <v/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60" t="str">
        <f t="shared" si="1"/>
        <v/>
      </c>
      <c r="B965" s="9"/>
      <c r="C965" s="9"/>
      <c r="D965" s="133"/>
      <c r="E965" s="133"/>
      <c r="F965" s="69"/>
      <c r="G965" s="9"/>
      <c r="H965" s="9"/>
      <c r="I965" s="60" t="str">
        <f t="shared" si="5"/>
        <v/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60" t="str">
        <f t="shared" si="1"/>
        <v/>
      </c>
      <c r="B966" s="9"/>
      <c r="C966" s="9"/>
      <c r="D966" s="133"/>
      <c r="E966" s="133"/>
      <c r="F966" s="69"/>
      <c r="G966" s="9"/>
      <c r="H966" s="9"/>
      <c r="I966" s="60" t="str">
        <f t="shared" si="5"/>
        <v/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60" t="str">
        <f t="shared" si="1"/>
        <v/>
      </c>
      <c r="B967" s="9"/>
      <c r="C967" s="9"/>
      <c r="D967" s="133"/>
      <c r="E967" s="133"/>
      <c r="F967" s="69"/>
      <c r="G967" s="9"/>
      <c r="H967" s="9"/>
      <c r="I967" s="60" t="str">
        <f t="shared" si="5"/>
        <v/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60" t="str">
        <f t="shared" si="1"/>
        <v/>
      </c>
      <c r="B968" s="9"/>
      <c r="C968" s="9"/>
      <c r="D968" s="133"/>
      <c r="E968" s="133"/>
      <c r="F968" s="69"/>
      <c r="G968" s="9"/>
      <c r="H968" s="9"/>
      <c r="I968" s="60" t="str">
        <f t="shared" si="5"/>
        <v/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60" t="str">
        <f t="shared" si="1"/>
        <v/>
      </c>
      <c r="B969" s="9"/>
      <c r="C969" s="9"/>
      <c r="D969" s="133"/>
      <c r="E969" s="133"/>
      <c r="F969" s="69"/>
      <c r="G969" s="9"/>
      <c r="H969" s="9"/>
      <c r="I969" s="60" t="str">
        <f t="shared" si="5"/>
        <v/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60" t="str">
        <f t="shared" si="1"/>
        <v/>
      </c>
      <c r="B970" s="9"/>
      <c r="C970" s="9"/>
      <c r="D970" s="133"/>
      <c r="E970" s="133"/>
      <c r="F970" s="69"/>
      <c r="G970" s="9"/>
      <c r="H970" s="9"/>
      <c r="I970" s="60" t="str">
        <f t="shared" si="5"/>
        <v/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60" t="str">
        <f t="shared" si="1"/>
        <v/>
      </c>
      <c r="B971" s="9"/>
      <c r="C971" s="9"/>
      <c r="D971" s="133"/>
      <c r="E971" s="133"/>
      <c r="F971" s="69"/>
      <c r="G971" s="9"/>
      <c r="H971" s="9"/>
      <c r="I971" s="60" t="str">
        <f t="shared" si="5"/>
        <v/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60" t="str">
        <f t="shared" si="1"/>
        <v/>
      </c>
      <c r="B972" s="9"/>
      <c r="C972" s="9"/>
      <c r="D972" s="133"/>
      <c r="E972" s="133"/>
      <c r="F972" s="69"/>
      <c r="G972" s="9"/>
      <c r="H972" s="9"/>
      <c r="I972" s="60" t="str">
        <f t="shared" si="5"/>
        <v/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60" t="str">
        <f t="shared" si="1"/>
        <v/>
      </c>
      <c r="B973" s="9"/>
      <c r="C973" s="9"/>
      <c r="D973" s="133"/>
      <c r="E973" s="133"/>
      <c r="F973" s="69"/>
      <c r="G973" s="9"/>
      <c r="H973" s="9"/>
      <c r="I973" s="60" t="str">
        <f t="shared" si="5"/>
        <v/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60" t="str">
        <f t="shared" si="1"/>
        <v/>
      </c>
      <c r="B974" s="9"/>
      <c r="C974" s="9"/>
      <c r="D974" s="133"/>
      <c r="E974" s="133"/>
      <c r="F974" s="69"/>
      <c r="G974" s="9"/>
      <c r="H974" s="9"/>
      <c r="I974" s="60" t="str">
        <f t="shared" si="5"/>
        <v/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60" t="str">
        <f t="shared" si="1"/>
        <v/>
      </c>
      <c r="B975" s="9"/>
      <c r="C975" s="9"/>
      <c r="D975" s="133"/>
      <c r="E975" s="133"/>
      <c r="F975" s="69"/>
      <c r="G975" s="9"/>
      <c r="H975" s="9"/>
      <c r="I975" s="60" t="str">
        <f t="shared" si="5"/>
        <v/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60" t="str">
        <f t="shared" si="1"/>
        <v/>
      </c>
      <c r="B976" s="9"/>
      <c r="C976" s="9"/>
      <c r="D976" s="133"/>
      <c r="E976" s="133"/>
      <c r="F976" s="69"/>
      <c r="G976" s="9"/>
      <c r="H976" s="9"/>
      <c r="I976" s="60" t="str">
        <f t="shared" si="5"/>
        <v/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60" t="str">
        <f t="shared" si="1"/>
        <v/>
      </c>
      <c r="B977" s="9"/>
      <c r="C977" s="9"/>
      <c r="D977" s="133"/>
      <c r="E977" s="133"/>
      <c r="F977" s="69"/>
      <c r="G977" s="9"/>
      <c r="H977" s="9"/>
      <c r="I977" s="60" t="str">
        <f t="shared" si="5"/>
        <v/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60" t="str">
        <f t="shared" si="1"/>
        <v/>
      </c>
      <c r="B978" s="9"/>
      <c r="C978" s="9"/>
      <c r="D978" s="133"/>
      <c r="E978" s="133"/>
      <c r="F978" s="69"/>
      <c r="G978" s="9"/>
      <c r="H978" s="9"/>
      <c r="I978" s="60" t="str">
        <f t="shared" si="5"/>
        <v/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60" t="str">
        <f t="shared" si="1"/>
        <v/>
      </c>
      <c r="B979" s="9"/>
      <c r="C979" s="9"/>
      <c r="D979" s="133"/>
      <c r="E979" s="133"/>
      <c r="F979" s="69"/>
      <c r="G979" s="9"/>
      <c r="H979" s="9"/>
      <c r="I979" s="60" t="str">
        <f t="shared" si="5"/>
        <v/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60" t="str">
        <f t="shared" si="1"/>
        <v/>
      </c>
      <c r="B980" s="9"/>
      <c r="C980" s="9"/>
      <c r="D980" s="133"/>
      <c r="E980" s="133"/>
      <c r="F980" s="69"/>
      <c r="G980" s="9"/>
      <c r="H980" s="9"/>
      <c r="I980" s="60" t="str">
        <f t="shared" si="5"/>
        <v/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60" t="str">
        <f t="shared" si="1"/>
        <v/>
      </c>
      <c r="B981" s="9"/>
      <c r="C981" s="9"/>
      <c r="D981" s="133"/>
      <c r="E981" s="133"/>
      <c r="F981" s="69"/>
      <c r="G981" s="9"/>
      <c r="H981" s="9"/>
      <c r="I981" s="60" t="str">
        <f t="shared" si="5"/>
        <v/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60" t="str">
        <f t="shared" si="1"/>
        <v/>
      </c>
      <c r="B982" s="9"/>
      <c r="C982" s="9"/>
      <c r="D982" s="133"/>
      <c r="E982" s="133"/>
      <c r="F982" s="69"/>
      <c r="G982" s="9"/>
      <c r="H982" s="9"/>
      <c r="I982" s="60" t="str">
        <f t="shared" si="5"/>
        <v/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60" t="str">
        <f t="shared" si="1"/>
        <v/>
      </c>
      <c r="B983" s="9"/>
      <c r="C983" s="9"/>
      <c r="D983" s="133"/>
      <c r="E983" s="133"/>
      <c r="F983" s="69"/>
      <c r="G983" s="9"/>
      <c r="H983" s="9"/>
      <c r="I983" s="60" t="str">
        <f t="shared" si="5"/>
        <v/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60" t="str">
        <f t="shared" si="1"/>
        <v/>
      </c>
      <c r="B984" s="9"/>
      <c r="C984" s="9"/>
      <c r="D984" s="133"/>
      <c r="E984" s="133"/>
      <c r="F984" s="69"/>
      <c r="G984" s="9"/>
      <c r="H984" s="9"/>
      <c r="I984" s="60" t="str">
        <f t="shared" si="5"/>
        <v/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60" t="str">
        <f t="shared" si="1"/>
        <v/>
      </c>
      <c r="B985" s="9"/>
      <c r="C985" s="9"/>
      <c r="D985" s="133"/>
      <c r="E985" s="133"/>
      <c r="F985" s="69"/>
      <c r="G985" s="9"/>
      <c r="H985" s="9"/>
      <c r="I985" s="60" t="str">
        <f t="shared" si="5"/>
        <v/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60" t="str">
        <f t="shared" si="1"/>
        <v/>
      </c>
      <c r="B986" s="9"/>
      <c r="C986" s="9"/>
      <c r="D986" s="133"/>
      <c r="E986" s="133"/>
      <c r="F986" s="69"/>
      <c r="G986" s="9"/>
      <c r="H986" s="9"/>
      <c r="I986" s="60" t="str">
        <f t="shared" si="5"/>
        <v/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60" t="str">
        <f t="shared" si="1"/>
        <v/>
      </c>
      <c r="B987" s="9"/>
      <c r="C987" s="9"/>
      <c r="D987" s="133"/>
      <c r="E987" s="133"/>
      <c r="F987" s="69"/>
      <c r="G987" s="9"/>
      <c r="H987" s="9"/>
      <c r="I987" s="60" t="str">
        <f t="shared" si="5"/>
        <v/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60" t="str">
        <f t="shared" si="1"/>
        <v/>
      </c>
      <c r="B988" s="9"/>
      <c r="C988" s="9"/>
      <c r="D988" s="133"/>
      <c r="E988" s="133"/>
      <c r="F988" s="69"/>
      <c r="G988" s="9"/>
      <c r="H988" s="9"/>
      <c r="I988" s="60" t="str">
        <f t="shared" si="5"/>
        <v/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60" t="str">
        <f t="shared" si="1"/>
        <v/>
      </c>
      <c r="B989" s="9"/>
      <c r="C989" s="9"/>
      <c r="D989" s="133"/>
      <c r="E989" s="133"/>
      <c r="F989" s="69"/>
      <c r="G989" s="9"/>
      <c r="H989" s="9"/>
      <c r="I989" s="60" t="str">
        <f t="shared" si="5"/>
        <v/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60" t="str">
        <f t="shared" si="1"/>
        <v/>
      </c>
      <c r="B990" s="9"/>
      <c r="C990" s="9"/>
      <c r="D990" s="133"/>
      <c r="E990" s="133"/>
      <c r="F990" s="69"/>
      <c r="G990" s="9"/>
      <c r="H990" s="9"/>
      <c r="I990" s="60" t="str">
        <f t="shared" si="5"/>
        <v/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60" t="str">
        <f t="shared" si="1"/>
        <v/>
      </c>
      <c r="B991" s="9"/>
      <c r="C991" s="9"/>
      <c r="D991" s="133"/>
      <c r="E991" s="133"/>
      <c r="F991" s="69"/>
      <c r="G991" s="9"/>
      <c r="H991" s="9"/>
      <c r="I991" s="60" t="str">
        <f t="shared" si="5"/>
        <v/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60" t="str">
        <f t="shared" si="1"/>
        <v/>
      </c>
      <c r="B992" s="9"/>
      <c r="C992" s="9"/>
      <c r="D992" s="133"/>
      <c r="E992" s="133"/>
      <c r="F992" s="69"/>
      <c r="G992" s="9"/>
      <c r="H992" s="9"/>
      <c r="I992" s="60" t="str">
        <f t="shared" si="5"/>
        <v/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60" t="str">
        <f t="shared" si="1"/>
        <v/>
      </c>
      <c r="B993" s="9"/>
      <c r="C993" s="9"/>
      <c r="D993" s="133"/>
      <c r="E993" s="133"/>
      <c r="F993" s="69"/>
      <c r="G993" s="9"/>
      <c r="H993" s="9"/>
      <c r="I993" s="60" t="str">
        <f t="shared" si="5"/>
        <v/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60" t="str">
        <f t="shared" si="1"/>
        <v/>
      </c>
      <c r="B994" s="9"/>
      <c r="C994" s="9"/>
      <c r="D994" s="133"/>
      <c r="E994" s="133"/>
      <c r="F994" s="69"/>
      <c r="G994" s="9"/>
      <c r="H994" s="9"/>
      <c r="I994" s="60" t="str">
        <f t="shared" si="5"/>
        <v/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60" t="str">
        <f t="shared" si="1"/>
        <v/>
      </c>
      <c r="B995" s="9"/>
      <c r="C995" s="9"/>
      <c r="D995" s="133"/>
      <c r="E995" s="133"/>
      <c r="F995" s="69"/>
      <c r="G995" s="9"/>
      <c r="H995" s="9"/>
      <c r="I995" s="60" t="str">
        <f t="shared" si="5"/>
        <v/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60" t="str">
        <f t="shared" si="1"/>
        <v/>
      </c>
      <c r="B996" s="9"/>
      <c r="C996" s="9"/>
      <c r="D996" s="133"/>
      <c r="E996" s="133"/>
      <c r="F996" s="69"/>
      <c r="G996" s="9"/>
      <c r="H996" s="9"/>
      <c r="I996" s="60" t="str">
        <f t="shared" si="5"/>
        <v/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60" t="str">
        <f t="shared" si="1"/>
        <v/>
      </c>
      <c r="B997" s="9"/>
      <c r="C997" s="9"/>
      <c r="D997" s="133"/>
      <c r="E997" s="133"/>
      <c r="F997" s="69"/>
      <c r="G997" s="9"/>
      <c r="H997" s="9"/>
      <c r="I997" s="60" t="str">
        <f t="shared" si="5"/>
        <v/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60" t="str">
        <f t="shared" si="1"/>
        <v/>
      </c>
      <c r="B998" s="9"/>
      <c r="C998" s="9"/>
      <c r="D998" s="133"/>
      <c r="E998" s="133"/>
      <c r="F998" s="69"/>
      <c r="G998" s="9"/>
      <c r="H998" s="9"/>
      <c r="I998" s="60" t="str">
        <f t="shared" si="5"/>
        <v/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60" t="str">
        <f t="shared" si="1"/>
        <v/>
      </c>
      <c r="B999" s="9"/>
      <c r="C999" s="9"/>
      <c r="D999" s="133"/>
      <c r="E999" s="133"/>
      <c r="F999" s="69"/>
      <c r="G999" s="9"/>
      <c r="H999" s="9"/>
      <c r="I999" s="60" t="str">
        <f t="shared" si="5"/>
        <v/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60" t="str">
        <f t="shared" si="1"/>
        <v/>
      </c>
      <c r="B1000" s="9"/>
      <c r="C1000" s="9"/>
      <c r="D1000" s="133"/>
      <c r="E1000" s="133"/>
      <c r="F1000" s="69"/>
      <c r="G1000" s="9"/>
      <c r="H1000" s="9"/>
      <c r="I1000" s="60" t="str">
        <f t="shared" si="5"/>
        <v/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60" t="str">
        <f t="shared" si="1"/>
        <v/>
      </c>
      <c r="B1001" s="9"/>
      <c r="C1001" s="9"/>
      <c r="D1001" s="133"/>
      <c r="E1001" s="133"/>
      <c r="F1001" s="69"/>
      <c r="G1001" s="9"/>
      <c r="H1001" s="9"/>
      <c r="I1001" s="60" t="str">
        <f t="shared" si="5"/>
        <v/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60" t="str">
        <f t="shared" si="1"/>
        <v/>
      </c>
      <c r="B1002" s="9"/>
      <c r="C1002" s="9"/>
      <c r="D1002" s="133"/>
      <c r="E1002" s="133"/>
      <c r="F1002" s="69"/>
      <c r="G1002" s="9"/>
      <c r="H1002" s="9"/>
      <c r="I1002" s="60" t="str">
        <f t="shared" si="5"/>
        <v/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60" t="str">
        <f t="shared" si="1"/>
        <v/>
      </c>
      <c r="B1003" s="9"/>
      <c r="C1003" s="9"/>
      <c r="D1003" s="133"/>
      <c r="E1003" s="133"/>
      <c r="F1003" s="69"/>
      <c r="G1003" s="9"/>
      <c r="H1003" s="9"/>
      <c r="I1003" s="60" t="str">
        <f t="shared" si="5"/>
        <v/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60" t="str">
        <f t="shared" si="1"/>
        <v/>
      </c>
      <c r="B1004" s="9"/>
      <c r="C1004" s="9"/>
      <c r="D1004" s="133"/>
      <c r="E1004" s="133"/>
      <c r="F1004" s="69"/>
      <c r="G1004" s="9"/>
      <c r="H1004" s="9"/>
      <c r="I1004" s="60" t="str">
        <f t="shared" si="5"/>
        <v/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60" t="str">
        <f t="shared" si="1"/>
        <v/>
      </c>
      <c r="B1005" s="9"/>
      <c r="C1005" s="9"/>
      <c r="D1005" s="133"/>
      <c r="E1005" s="133"/>
      <c r="F1005" s="69"/>
      <c r="G1005" s="9"/>
      <c r="H1005" s="9"/>
      <c r="I1005" s="60" t="str">
        <f t="shared" si="5"/>
        <v/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60" t="str">
        <f t="shared" si="1"/>
        <v/>
      </c>
      <c r="B1006" s="9"/>
      <c r="C1006" s="9"/>
      <c r="D1006" s="133"/>
      <c r="E1006" s="133"/>
      <c r="F1006" s="69"/>
      <c r="G1006" s="9"/>
      <c r="H1006" s="9"/>
      <c r="I1006" s="60" t="str">
        <f t="shared" si="5"/>
        <v/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60" t="str">
        <f t="shared" si="1"/>
        <v/>
      </c>
      <c r="B1007" s="9"/>
      <c r="C1007" s="9"/>
      <c r="D1007" s="133"/>
      <c r="E1007" s="133"/>
      <c r="F1007" s="69"/>
      <c r="G1007" s="9"/>
      <c r="H1007" s="9"/>
      <c r="I1007" s="60" t="str">
        <f t="shared" si="5"/>
        <v/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60" t="str">
        <f t="shared" si="1"/>
        <v/>
      </c>
      <c r="B1008" s="9"/>
      <c r="C1008" s="9"/>
      <c r="D1008" s="133"/>
      <c r="E1008" s="133"/>
      <c r="F1008" s="69"/>
      <c r="G1008" s="9"/>
      <c r="H1008" s="9"/>
      <c r="I1008" s="60" t="str">
        <f t="shared" si="5"/>
        <v/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60" t="str">
        <f t="shared" si="1"/>
        <v/>
      </c>
      <c r="B1009" s="9"/>
      <c r="C1009" s="9"/>
      <c r="D1009" s="133"/>
      <c r="E1009" s="133"/>
      <c r="F1009" s="69"/>
      <c r="G1009" s="9"/>
      <c r="H1009" s="9"/>
      <c r="I1009" s="60" t="str">
        <f t="shared" si="5"/>
        <v/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60" t="str">
        <f t="shared" si="1"/>
        <v/>
      </c>
      <c r="B1010" s="9"/>
      <c r="C1010" s="9"/>
      <c r="D1010" s="133"/>
      <c r="E1010" s="133"/>
      <c r="F1010" s="69"/>
      <c r="G1010" s="9"/>
      <c r="H1010" s="9"/>
      <c r="I1010" s="60" t="str">
        <f t="shared" si="5"/>
        <v/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60" t="str">
        <f t="shared" si="1"/>
        <v/>
      </c>
      <c r="B1011" s="9"/>
      <c r="C1011" s="9"/>
      <c r="D1011" s="133"/>
      <c r="E1011" s="133"/>
      <c r="F1011" s="69"/>
      <c r="G1011" s="9"/>
      <c r="H1011" s="9"/>
      <c r="I1011" s="60" t="str">
        <f t="shared" si="5"/>
        <v/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60" t="str">
        <f t="shared" si="1"/>
        <v/>
      </c>
      <c r="B1012" s="9"/>
      <c r="C1012" s="9"/>
      <c r="D1012" s="133"/>
      <c r="E1012" s="133"/>
      <c r="F1012" s="69"/>
      <c r="G1012" s="9"/>
      <c r="H1012" s="9"/>
      <c r="I1012" s="60" t="str">
        <f t="shared" si="5"/>
        <v/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60" t="str">
        <f t="shared" si="1"/>
        <v/>
      </c>
      <c r="B1013" s="9"/>
      <c r="C1013" s="9"/>
      <c r="D1013" s="133"/>
      <c r="E1013" s="133"/>
      <c r="F1013" s="69"/>
      <c r="G1013" s="9"/>
      <c r="H1013" s="9"/>
      <c r="I1013" s="60" t="str">
        <f t="shared" si="5"/>
        <v/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60" t="str">
        <f t="shared" si="1"/>
        <v/>
      </c>
      <c r="B1014" s="9"/>
      <c r="C1014" s="9"/>
      <c r="D1014" s="133"/>
      <c r="E1014" s="133"/>
      <c r="F1014" s="69"/>
      <c r="G1014" s="9"/>
      <c r="H1014" s="9"/>
      <c r="I1014" s="60" t="str">
        <f t="shared" si="5"/>
        <v/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60" t="str">
        <f t="shared" si="1"/>
        <v/>
      </c>
      <c r="B1015" s="9"/>
      <c r="C1015" s="9"/>
      <c r="D1015" s="133"/>
      <c r="E1015" s="133"/>
      <c r="F1015" s="69"/>
      <c r="G1015" s="9"/>
      <c r="H1015" s="9"/>
      <c r="I1015" s="60" t="str">
        <f t="shared" si="5"/>
        <v/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60" t="str">
        <f t="shared" si="1"/>
        <v/>
      </c>
      <c r="B1016" s="9"/>
      <c r="C1016" s="9"/>
      <c r="D1016" s="133"/>
      <c r="E1016" s="133"/>
      <c r="F1016" s="69"/>
      <c r="G1016" s="9"/>
      <c r="H1016" s="9"/>
      <c r="I1016" s="60" t="str">
        <f t="shared" si="5"/>
        <v/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60" t="str">
        <f t="shared" si="1"/>
        <v/>
      </c>
      <c r="B1017" s="9"/>
      <c r="C1017" s="9"/>
      <c r="D1017" s="133"/>
      <c r="E1017" s="133"/>
      <c r="F1017" s="69"/>
      <c r="G1017" s="9"/>
      <c r="H1017" s="9"/>
      <c r="I1017" s="60" t="str">
        <f t="shared" si="5"/>
        <v/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60" t="str">
        <f t="shared" si="1"/>
        <v/>
      </c>
      <c r="B1018" s="9"/>
      <c r="C1018" s="9"/>
      <c r="D1018" s="133"/>
      <c r="E1018" s="133"/>
      <c r="F1018" s="69"/>
      <c r="G1018" s="9"/>
      <c r="H1018" s="9"/>
      <c r="I1018" s="60" t="str">
        <f t="shared" si="5"/>
        <v/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60" t="str">
        <f t="shared" si="1"/>
        <v/>
      </c>
      <c r="B1019" s="9"/>
      <c r="C1019" s="9"/>
      <c r="D1019" s="133"/>
      <c r="E1019" s="133"/>
      <c r="F1019" s="69"/>
      <c r="G1019" s="9"/>
      <c r="H1019" s="9"/>
      <c r="I1019" s="60" t="str">
        <f t="shared" si="5"/>
        <v/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60" t="str">
        <f t="shared" si="1"/>
        <v/>
      </c>
      <c r="B1020" s="9"/>
      <c r="C1020" s="9"/>
      <c r="D1020" s="133"/>
      <c r="E1020" s="133"/>
      <c r="F1020" s="69"/>
      <c r="G1020" s="9"/>
      <c r="H1020" s="9"/>
      <c r="I1020" s="60" t="str">
        <f t="shared" si="5"/>
        <v/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60" t="str">
        <f t="shared" si="1"/>
        <v/>
      </c>
      <c r="B1021" s="9"/>
      <c r="C1021" s="9"/>
      <c r="D1021" s="133"/>
      <c r="E1021" s="133"/>
      <c r="F1021" s="69"/>
      <c r="G1021" s="9"/>
      <c r="H1021" s="9"/>
      <c r="I1021" s="60" t="str">
        <f t="shared" si="5"/>
        <v/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60" t="str">
        <f t="shared" si="1"/>
        <v/>
      </c>
      <c r="B1022" s="9"/>
      <c r="C1022" s="9"/>
      <c r="D1022" s="133"/>
      <c r="E1022" s="133"/>
      <c r="F1022" s="69"/>
      <c r="G1022" s="9"/>
      <c r="H1022" s="9"/>
      <c r="I1022" s="60" t="str">
        <f t="shared" si="5"/>
        <v/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60" t="str">
        <f t="shared" si="1"/>
        <v/>
      </c>
      <c r="B1023" s="9"/>
      <c r="C1023" s="9"/>
      <c r="D1023" s="133"/>
      <c r="E1023" s="133"/>
      <c r="F1023" s="69"/>
      <c r="G1023" s="9"/>
      <c r="H1023" s="9"/>
      <c r="I1023" s="60" t="str">
        <f t="shared" si="5"/>
        <v/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60" t="str">
        <f t="shared" si="1"/>
        <v/>
      </c>
      <c r="B1024" s="9"/>
      <c r="C1024" s="9"/>
      <c r="D1024" s="133"/>
      <c r="E1024" s="133"/>
      <c r="F1024" s="69"/>
      <c r="G1024" s="9"/>
      <c r="H1024" s="9"/>
      <c r="I1024" s="60" t="str">
        <f t="shared" si="5"/>
        <v/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60" t="str">
        <f t="shared" si="1"/>
        <v/>
      </c>
      <c r="B1025" s="9"/>
      <c r="C1025" s="9"/>
      <c r="D1025" s="133"/>
      <c r="E1025" s="133"/>
      <c r="F1025" s="69"/>
      <c r="G1025" s="9"/>
      <c r="H1025" s="9"/>
      <c r="I1025" s="60" t="str">
        <f t="shared" si="5"/>
        <v/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60" t="str">
        <f t="shared" si="1"/>
        <v/>
      </c>
      <c r="B1026" s="9"/>
      <c r="C1026" s="9"/>
      <c r="D1026" s="133"/>
      <c r="E1026" s="133"/>
      <c r="F1026" s="69"/>
      <c r="G1026" s="9"/>
      <c r="H1026" s="9"/>
      <c r="I1026" s="60" t="str">
        <f t="shared" si="5"/>
        <v/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60" t="str">
        <f t="shared" si="1"/>
        <v/>
      </c>
      <c r="B1027" s="9"/>
      <c r="C1027" s="9"/>
      <c r="D1027" s="133"/>
      <c r="E1027" s="133"/>
      <c r="F1027" s="69"/>
      <c r="G1027" s="9"/>
      <c r="H1027" s="9"/>
      <c r="I1027" s="60" t="str">
        <f t="shared" si="5"/>
        <v/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60" t="str">
        <f t="shared" si="1"/>
        <v/>
      </c>
      <c r="B1028" s="9"/>
      <c r="C1028" s="9"/>
      <c r="D1028" s="133"/>
      <c r="E1028" s="133"/>
      <c r="F1028" s="69"/>
      <c r="G1028" s="9"/>
      <c r="H1028" s="9"/>
      <c r="I1028" s="60" t="str">
        <f t="shared" si="5"/>
        <v/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60" t="str">
        <f t="shared" si="1"/>
        <v/>
      </c>
      <c r="B1029" s="9"/>
      <c r="C1029" s="9"/>
      <c r="D1029" s="133"/>
      <c r="E1029" s="133"/>
      <c r="F1029" s="69"/>
      <c r="G1029" s="9"/>
      <c r="H1029" s="9"/>
      <c r="I1029" s="60" t="str">
        <f t="shared" si="5"/>
        <v/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60" t="str">
        <f t="shared" si="1"/>
        <v/>
      </c>
      <c r="B1030" s="9"/>
      <c r="C1030" s="9"/>
      <c r="D1030" s="133"/>
      <c r="E1030" s="133"/>
      <c r="F1030" s="69"/>
      <c r="G1030" s="9"/>
      <c r="H1030" s="9"/>
      <c r="I1030" s="60" t="str">
        <f t="shared" si="5"/>
        <v/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60" t="str">
        <f t="shared" si="1"/>
        <v/>
      </c>
      <c r="B1031" s="9"/>
      <c r="C1031" s="9"/>
      <c r="D1031" s="133"/>
      <c r="E1031" s="133"/>
      <c r="F1031" s="69"/>
      <c r="G1031" s="9"/>
      <c r="H1031" s="9"/>
      <c r="I1031" s="60" t="str">
        <f t="shared" si="5"/>
        <v/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60" t="str">
        <f t="shared" si="1"/>
        <v/>
      </c>
      <c r="B1032" s="9"/>
      <c r="C1032" s="9"/>
      <c r="D1032" s="133"/>
      <c r="E1032" s="133"/>
      <c r="F1032" s="69"/>
      <c r="G1032" s="9"/>
      <c r="H1032" s="9"/>
      <c r="I1032" s="60" t="str">
        <f t="shared" si="5"/>
        <v/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60" t="str">
        <f t="shared" si="1"/>
        <v/>
      </c>
      <c r="B1033" s="9"/>
      <c r="C1033" s="9"/>
      <c r="D1033" s="133"/>
      <c r="E1033" s="133"/>
      <c r="F1033" s="69"/>
      <c r="G1033" s="9"/>
      <c r="H1033" s="9"/>
      <c r="I1033" s="60" t="str">
        <f t="shared" si="5"/>
        <v/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60" t="str">
        <f t="shared" si="1"/>
        <v/>
      </c>
      <c r="B1034" s="9"/>
      <c r="C1034" s="9"/>
      <c r="D1034" s="133"/>
      <c r="E1034" s="133"/>
      <c r="F1034" s="69"/>
      <c r="G1034" s="9"/>
      <c r="H1034" s="9"/>
      <c r="I1034" s="60" t="str">
        <f t="shared" si="5"/>
        <v/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60" t="str">
        <f t="shared" si="1"/>
        <v/>
      </c>
      <c r="B1035" s="9"/>
      <c r="C1035" s="9"/>
      <c r="D1035" s="133"/>
      <c r="E1035" s="133"/>
      <c r="F1035" s="69"/>
      <c r="G1035" s="9"/>
      <c r="H1035" s="9"/>
      <c r="I1035" s="60" t="str">
        <f t="shared" si="5"/>
        <v/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60" t="str">
        <f t="shared" si="1"/>
        <v/>
      </c>
      <c r="B1036" s="9"/>
      <c r="C1036" s="9"/>
      <c r="D1036" s="133"/>
      <c r="E1036" s="133"/>
      <c r="F1036" s="69"/>
      <c r="G1036" s="9"/>
      <c r="H1036" s="9"/>
      <c r="I1036" s="60" t="str">
        <f t="shared" si="5"/>
        <v/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60" t="str">
        <f t="shared" si="1"/>
        <v/>
      </c>
      <c r="B1037" s="9"/>
      <c r="C1037" s="9"/>
      <c r="D1037" s="133"/>
      <c r="E1037" s="133"/>
      <c r="F1037" s="69"/>
      <c r="G1037" s="9"/>
      <c r="H1037" s="9"/>
      <c r="I1037" s="60" t="str">
        <f t="shared" si="5"/>
        <v/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60" t="str">
        <f t="shared" si="1"/>
        <v/>
      </c>
      <c r="B1038" s="9"/>
      <c r="C1038" s="9"/>
      <c r="D1038" s="133"/>
      <c r="E1038" s="133"/>
      <c r="F1038" s="69"/>
      <c r="G1038" s="9"/>
      <c r="H1038" s="9"/>
      <c r="I1038" s="60" t="str">
        <f t="shared" si="5"/>
        <v/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60" t="str">
        <f t="shared" si="1"/>
        <v/>
      </c>
      <c r="B1039" s="9"/>
      <c r="C1039" s="9"/>
      <c r="D1039" s="133"/>
      <c r="E1039" s="133"/>
      <c r="F1039" s="69"/>
      <c r="G1039" s="9"/>
      <c r="H1039" s="9"/>
      <c r="I1039" s="60" t="str">
        <f t="shared" si="5"/>
        <v/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60" t="str">
        <f t="shared" si="1"/>
        <v/>
      </c>
      <c r="B1040" s="9"/>
      <c r="C1040" s="9"/>
      <c r="D1040" s="133"/>
      <c r="E1040" s="133"/>
      <c r="F1040" s="69"/>
      <c r="G1040" s="9"/>
      <c r="H1040" s="9"/>
      <c r="I1040" s="60" t="str">
        <f t="shared" si="5"/>
        <v/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60" t="str">
        <f t="shared" si="1"/>
        <v/>
      </c>
      <c r="B1041" s="9"/>
      <c r="C1041" s="9"/>
      <c r="D1041" s="133"/>
      <c r="E1041" s="133"/>
      <c r="F1041" s="69"/>
      <c r="G1041" s="9"/>
      <c r="H1041" s="9"/>
      <c r="I1041" s="60" t="str">
        <f t="shared" si="5"/>
        <v/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60" t="str">
        <f t="shared" si="1"/>
        <v/>
      </c>
      <c r="B1042" s="9"/>
      <c r="C1042" s="9"/>
      <c r="D1042" s="133"/>
      <c r="E1042" s="133"/>
      <c r="F1042" s="69"/>
      <c r="G1042" s="9"/>
      <c r="H1042" s="9"/>
      <c r="I1042" s="60" t="str">
        <f t="shared" si="5"/>
        <v/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60" t="str">
        <f t="shared" si="1"/>
        <v/>
      </c>
      <c r="B1043" s="9"/>
      <c r="C1043" s="9"/>
      <c r="D1043" s="133"/>
      <c r="E1043" s="133"/>
      <c r="F1043" s="69"/>
      <c r="G1043" s="9"/>
      <c r="H1043" s="9"/>
      <c r="I1043" s="60" t="str">
        <f t="shared" si="5"/>
        <v/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60" t="str">
        <f t="shared" si="1"/>
        <v/>
      </c>
      <c r="B1044" s="9"/>
      <c r="C1044" s="9"/>
      <c r="D1044" s="133"/>
      <c r="E1044" s="133"/>
      <c r="F1044" s="69"/>
      <c r="G1044" s="9"/>
      <c r="H1044" s="9"/>
      <c r="I1044" s="60" t="str">
        <f t="shared" si="5"/>
        <v/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60" t="str">
        <f t="shared" si="1"/>
        <v/>
      </c>
      <c r="B1045" s="9"/>
      <c r="C1045" s="9"/>
      <c r="D1045" s="133"/>
      <c r="E1045" s="133"/>
      <c r="F1045" s="69"/>
      <c r="G1045" s="9"/>
      <c r="H1045" s="9"/>
      <c r="I1045" s="60" t="str">
        <f t="shared" si="5"/>
        <v/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60" t="str">
        <f t="shared" si="1"/>
        <v/>
      </c>
      <c r="B1046" s="9"/>
      <c r="C1046" s="9"/>
      <c r="D1046" s="133"/>
      <c r="E1046" s="133"/>
      <c r="F1046" s="69"/>
      <c r="G1046" s="9"/>
      <c r="H1046" s="9"/>
      <c r="I1046" s="60" t="str">
        <f t="shared" si="5"/>
        <v/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60" t="str">
        <f t="shared" si="1"/>
        <v/>
      </c>
      <c r="B1047" s="9"/>
      <c r="C1047" s="9"/>
      <c r="D1047" s="133"/>
      <c r="E1047" s="133"/>
      <c r="F1047" s="69"/>
      <c r="G1047" s="9"/>
      <c r="H1047" s="9"/>
      <c r="I1047" s="60" t="str">
        <f t="shared" si="5"/>
        <v/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60" t="str">
        <f t="shared" si="1"/>
        <v/>
      </c>
      <c r="B1048" s="9"/>
      <c r="C1048" s="9"/>
      <c r="D1048" s="133"/>
      <c r="E1048" s="133"/>
      <c r="F1048" s="69"/>
      <c r="G1048" s="9"/>
      <c r="H1048" s="9"/>
      <c r="I1048" s="60" t="str">
        <f t="shared" si="5"/>
        <v/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60" t="str">
        <f t="shared" si="1"/>
        <v/>
      </c>
      <c r="B1049" s="9"/>
      <c r="C1049" s="9"/>
      <c r="D1049" s="133"/>
      <c r="E1049" s="133"/>
      <c r="F1049" s="69"/>
      <c r="G1049" s="9"/>
      <c r="H1049" s="9"/>
      <c r="I1049" s="60" t="str">
        <f t="shared" si="5"/>
        <v/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60" t="str">
        <f t="shared" si="1"/>
        <v/>
      </c>
      <c r="B1050" s="9"/>
      <c r="C1050" s="9"/>
      <c r="D1050" s="133"/>
      <c r="E1050" s="133"/>
      <c r="F1050" s="69"/>
      <c r="G1050" s="9"/>
      <c r="H1050" s="9"/>
      <c r="I1050" s="60" t="str">
        <f t="shared" si="5"/>
        <v/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60" t="str">
        <f t="shared" si="1"/>
        <v/>
      </c>
      <c r="B1051" s="9"/>
      <c r="C1051" s="9"/>
      <c r="D1051" s="133"/>
      <c r="E1051" s="133"/>
      <c r="F1051" s="69"/>
      <c r="G1051" s="9"/>
      <c r="H1051" s="9"/>
      <c r="I1051" s="60" t="str">
        <f t="shared" si="5"/>
        <v/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60" t="str">
        <f t="shared" si="1"/>
        <v/>
      </c>
      <c r="B1052" s="9"/>
      <c r="C1052" s="9"/>
      <c r="D1052" s="133"/>
      <c r="E1052" s="133"/>
      <c r="F1052" s="69"/>
      <c r="G1052" s="9"/>
      <c r="H1052" s="9"/>
      <c r="I1052" s="60" t="str">
        <f t="shared" si="5"/>
        <v/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60" t="str">
        <f t="shared" si="1"/>
        <v/>
      </c>
      <c r="B1053" s="9"/>
      <c r="C1053" s="9"/>
      <c r="D1053" s="133"/>
      <c r="E1053" s="133"/>
      <c r="F1053" s="69"/>
      <c r="G1053" s="9"/>
      <c r="H1053" s="9"/>
      <c r="I1053" s="60" t="str">
        <f t="shared" si="5"/>
        <v/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60" t="str">
        <f t="shared" si="1"/>
        <v/>
      </c>
      <c r="B1054" s="9"/>
      <c r="C1054" s="9"/>
      <c r="D1054" s="133"/>
      <c r="E1054" s="133"/>
      <c r="F1054" s="69"/>
      <c r="G1054" s="9"/>
      <c r="H1054" s="9"/>
      <c r="I1054" s="60" t="str">
        <f t="shared" si="5"/>
        <v/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60" t="str">
        <f t="shared" si="1"/>
        <v/>
      </c>
      <c r="B1055" s="9"/>
      <c r="C1055" s="9"/>
      <c r="D1055" s="133"/>
      <c r="E1055" s="133"/>
      <c r="F1055" s="69"/>
      <c r="G1055" s="9"/>
      <c r="H1055" s="9"/>
      <c r="I1055" s="60" t="str">
        <f t="shared" si="5"/>
        <v/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60" t="str">
        <f t="shared" si="1"/>
        <v/>
      </c>
      <c r="B1056" s="9"/>
      <c r="C1056" s="9"/>
      <c r="D1056" s="133"/>
      <c r="E1056" s="133"/>
      <c r="F1056" s="69"/>
      <c r="G1056" s="9"/>
      <c r="H1056" s="9"/>
      <c r="I1056" s="60" t="str">
        <f t="shared" si="5"/>
        <v/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60" t="str">
        <f t="shared" si="1"/>
        <v/>
      </c>
      <c r="B1057" s="9"/>
      <c r="C1057" s="9"/>
      <c r="D1057" s="133"/>
      <c r="E1057" s="133"/>
      <c r="F1057" s="69"/>
      <c r="G1057" s="9"/>
      <c r="H1057" s="9"/>
      <c r="I1057" s="60" t="str">
        <f t="shared" si="5"/>
        <v/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60" t="str">
        <f t="shared" si="1"/>
        <v/>
      </c>
      <c r="B1058" s="9"/>
      <c r="C1058" s="9"/>
      <c r="D1058" s="133"/>
      <c r="E1058" s="133"/>
      <c r="F1058" s="69"/>
      <c r="G1058" s="9"/>
      <c r="H1058" s="9"/>
      <c r="I1058" s="60" t="str">
        <f t="shared" si="5"/>
        <v/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60" t="str">
        <f t="shared" si="1"/>
        <v/>
      </c>
      <c r="B1059" s="9"/>
      <c r="C1059" s="9"/>
      <c r="D1059" s="133"/>
      <c r="E1059" s="133"/>
      <c r="F1059" s="69"/>
      <c r="G1059" s="9"/>
      <c r="H1059" s="9"/>
      <c r="I1059" s="60" t="str">
        <f t="shared" si="5"/>
        <v/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60" t="str">
        <f t="shared" si="1"/>
        <v/>
      </c>
      <c r="B1060" s="9"/>
      <c r="C1060" s="9"/>
      <c r="D1060" s="133"/>
      <c r="E1060" s="133"/>
      <c r="F1060" s="69"/>
      <c r="G1060" s="9"/>
      <c r="H1060" s="9"/>
      <c r="I1060" s="60" t="str">
        <f t="shared" si="5"/>
        <v/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60" t="str">
        <f t="shared" si="1"/>
        <v/>
      </c>
      <c r="B1061" s="9"/>
      <c r="C1061" s="9"/>
      <c r="D1061" s="133"/>
      <c r="E1061" s="133"/>
      <c r="F1061" s="69"/>
      <c r="G1061" s="9"/>
      <c r="H1061" s="9"/>
      <c r="I1061" s="60" t="str">
        <f t="shared" si="5"/>
        <v/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60" t="str">
        <f t="shared" si="1"/>
        <v/>
      </c>
      <c r="B1062" s="9"/>
      <c r="C1062" s="9"/>
      <c r="D1062" s="133"/>
      <c r="E1062" s="133"/>
      <c r="F1062" s="69"/>
      <c r="G1062" s="9"/>
      <c r="H1062" s="9"/>
      <c r="I1062" s="60" t="str">
        <f t="shared" si="5"/>
        <v/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60" t="str">
        <f t="shared" si="1"/>
        <v/>
      </c>
      <c r="B1063" s="9"/>
      <c r="C1063" s="9"/>
      <c r="D1063" s="133"/>
      <c r="E1063" s="133"/>
      <c r="F1063" s="69"/>
      <c r="G1063" s="9"/>
      <c r="H1063" s="9"/>
      <c r="I1063" s="60" t="str">
        <f t="shared" si="5"/>
        <v/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60" t="str">
        <f t="shared" si="1"/>
        <v/>
      </c>
      <c r="B1064" s="9"/>
      <c r="C1064" s="9"/>
      <c r="D1064" s="133"/>
      <c r="E1064" s="133"/>
      <c r="F1064" s="69"/>
      <c r="G1064" s="9"/>
      <c r="H1064" s="9"/>
      <c r="I1064" s="60" t="str">
        <f t="shared" si="5"/>
        <v/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60" t="str">
        <f t="shared" si="1"/>
        <v/>
      </c>
      <c r="B1065" s="9"/>
      <c r="C1065" s="9"/>
      <c r="D1065" s="133"/>
      <c r="E1065" s="133"/>
      <c r="F1065" s="69"/>
      <c r="G1065" s="9"/>
      <c r="H1065" s="9"/>
      <c r="I1065" s="60" t="str">
        <f t="shared" si="5"/>
        <v/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60" t="str">
        <f t="shared" si="1"/>
        <v/>
      </c>
      <c r="B1066" s="9"/>
      <c r="C1066" s="9"/>
      <c r="D1066" s="133"/>
      <c r="E1066" s="133"/>
      <c r="F1066" s="69"/>
      <c r="G1066" s="9"/>
      <c r="H1066" s="9"/>
      <c r="I1066" s="60" t="str">
        <f t="shared" si="5"/>
        <v/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60" t="str">
        <f t="shared" si="1"/>
        <v/>
      </c>
      <c r="B1067" s="9"/>
      <c r="C1067" s="9"/>
      <c r="D1067" s="133"/>
      <c r="E1067" s="133"/>
      <c r="F1067" s="69"/>
      <c r="G1067" s="9"/>
      <c r="H1067" s="9"/>
      <c r="I1067" s="60" t="str">
        <f t="shared" si="5"/>
        <v/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60" t="str">
        <f t="shared" si="1"/>
        <v/>
      </c>
      <c r="B1068" s="9"/>
      <c r="C1068" s="9"/>
      <c r="D1068" s="133"/>
      <c r="E1068" s="133"/>
      <c r="F1068" s="69"/>
      <c r="G1068" s="9"/>
      <c r="H1068" s="9"/>
      <c r="I1068" s="60" t="str">
        <f t="shared" si="5"/>
        <v/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60" t="str">
        <f t="shared" si="1"/>
        <v/>
      </c>
      <c r="B1069" s="9"/>
      <c r="C1069" s="9"/>
      <c r="D1069" s="133"/>
      <c r="E1069" s="133"/>
      <c r="F1069" s="69"/>
      <c r="G1069" s="9"/>
      <c r="H1069" s="9"/>
      <c r="I1069" s="60" t="str">
        <f t="shared" si="5"/>
        <v/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60" t="str">
        <f t="shared" si="1"/>
        <v/>
      </c>
      <c r="B1070" s="9"/>
      <c r="C1070" s="9"/>
      <c r="D1070" s="133"/>
      <c r="E1070" s="133"/>
      <c r="F1070" s="69"/>
      <c r="G1070" s="9"/>
      <c r="H1070" s="9"/>
      <c r="I1070" s="60" t="str">
        <f t="shared" si="5"/>
        <v/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60" t="str">
        <f t="shared" si="1"/>
        <v/>
      </c>
      <c r="B1071" s="9"/>
      <c r="C1071" s="9"/>
      <c r="D1071" s="133"/>
      <c r="E1071" s="133"/>
      <c r="F1071" s="69"/>
      <c r="G1071" s="9"/>
      <c r="H1071" s="9"/>
      <c r="I1071" s="60" t="str">
        <f t="shared" si="5"/>
        <v/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60" t="str">
        <f t="shared" si="1"/>
        <v/>
      </c>
      <c r="B1072" s="9"/>
      <c r="C1072" s="9"/>
      <c r="D1072" s="133"/>
      <c r="E1072" s="133"/>
      <c r="F1072" s="69"/>
      <c r="G1072" s="9"/>
      <c r="H1072" s="9"/>
      <c r="I1072" s="60" t="str">
        <f t="shared" si="5"/>
        <v/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60" t="str">
        <f t="shared" si="1"/>
        <v/>
      </c>
      <c r="B1073" s="9"/>
      <c r="C1073" s="9"/>
      <c r="D1073" s="133"/>
      <c r="E1073" s="133"/>
      <c r="F1073" s="69"/>
      <c r="G1073" s="9"/>
      <c r="H1073" s="9"/>
      <c r="I1073" s="60" t="str">
        <f t="shared" si="5"/>
        <v/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60" t="str">
        <f t="shared" si="1"/>
        <v/>
      </c>
      <c r="B1074" s="9"/>
      <c r="C1074" s="9"/>
      <c r="D1074" s="133"/>
      <c r="E1074" s="133"/>
      <c r="F1074" s="69"/>
      <c r="G1074" s="9"/>
      <c r="H1074" s="9"/>
      <c r="I1074" s="60" t="str">
        <f t="shared" si="5"/>
        <v/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60" t="str">
        <f t="shared" si="1"/>
        <v/>
      </c>
      <c r="B1075" s="9"/>
      <c r="C1075" s="9"/>
      <c r="D1075" s="133"/>
      <c r="E1075" s="133"/>
      <c r="F1075" s="69"/>
      <c r="G1075" s="9"/>
      <c r="H1075" s="9"/>
      <c r="I1075" s="60" t="str">
        <f t="shared" si="5"/>
        <v/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60" t="str">
        <f t="shared" si="1"/>
        <v/>
      </c>
      <c r="B1076" s="9"/>
      <c r="C1076" s="9"/>
      <c r="D1076" s="133"/>
      <c r="E1076" s="133"/>
      <c r="F1076" s="69"/>
      <c r="G1076" s="9"/>
      <c r="H1076" s="9"/>
      <c r="I1076" s="60" t="str">
        <f t="shared" si="5"/>
        <v/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60" t="str">
        <f t="shared" si="1"/>
        <v/>
      </c>
      <c r="B1077" s="9"/>
      <c r="C1077" s="9"/>
      <c r="D1077" s="133"/>
      <c r="E1077" s="133"/>
      <c r="F1077" s="69"/>
      <c r="G1077" s="9"/>
      <c r="H1077" s="9"/>
      <c r="I1077" s="60" t="str">
        <f t="shared" si="5"/>
        <v/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60" t="str">
        <f t="shared" si="1"/>
        <v/>
      </c>
      <c r="B1078" s="9"/>
      <c r="C1078" s="9"/>
      <c r="D1078" s="133"/>
      <c r="E1078" s="133"/>
      <c r="F1078" s="69"/>
      <c r="G1078" s="9"/>
      <c r="H1078" s="9"/>
      <c r="I1078" s="60" t="str">
        <f t="shared" si="5"/>
        <v/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60" t="str">
        <f t="shared" si="1"/>
        <v/>
      </c>
      <c r="B1079" s="9"/>
      <c r="C1079" s="9"/>
      <c r="D1079" s="133"/>
      <c r="E1079" s="133"/>
      <c r="F1079" s="69"/>
      <c r="G1079" s="9"/>
      <c r="H1079" s="9"/>
      <c r="I1079" s="60" t="str">
        <f t="shared" si="5"/>
        <v/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60" t="str">
        <f t="shared" si="1"/>
        <v/>
      </c>
      <c r="B1080" s="9"/>
      <c r="C1080" s="9"/>
      <c r="D1080" s="133"/>
      <c r="E1080" s="133"/>
      <c r="F1080" s="69"/>
      <c r="G1080" s="9"/>
      <c r="H1080" s="9"/>
      <c r="I1080" s="60" t="str">
        <f t="shared" si="5"/>
        <v/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60" t="str">
        <f t="shared" si="1"/>
        <v/>
      </c>
      <c r="B1081" s="9"/>
      <c r="C1081" s="9"/>
      <c r="D1081" s="133"/>
      <c r="E1081" s="133"/>
      <c r="F1081" s="69"/>
      <c r="G1081" s="9"/>
      <c r="H1081" s="9"/>
      <c r="I1081" s="60" t="str">
        <f t="shared" si="5"/>
        <v/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60" t="str">
        <f t="shared" si="1"/>
        <v/>
      </c>
      <c r="B1082" s="9"/>
      <c r="C1082" s="9"/>
      <c r="D1082" s="133"/>
      <c r="E1082" s="133"/>
      <c r="F1082" s="69"/>
      <c r="G1082" s="9"/>
      <c r="H1082" s="9"/>
      <c r="I1082" s="60" t="str">
        <f t="shared" si="5"/>
        <v/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60" t="str">
        <f t="shared" si="1"/>
        <v/>
      </c>
      <c r="B1083" s="9"/>
      <c r="C1083" s="9"/>
      <c r="D1083" s="133"/>
      <c r="E1083" s="133"/>
      <c r="F1083" s="69"/>
      <c r="G1083" s="9"/>
      <c r="H1083" s="9"/>
      <c r="I1083" s="60" t="str">
        <f t="shared" si="5"/>
        <v/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60" t="str">
        <f t="shared" si="1"/>
        <v/>
      </c>
      <c r="B1084" s="9"/>
      <c r="C1084" s="9"/>
      <c r="D1084" s="133"/>
      <c r="E1084" s="133"/>
      <c r="F1084" s="69"/>
      <c r="G1084" s="9"/>
      <c r="H1084" s="9"/>
      <c r="I1084" s="60" t="str">
        <f t="shared" si="5"/>
        <v/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60" t="str">
        <f t="shared" si="1"/>
        <v/>
      </c>
      <c r="B1085" s="9"/>
      <c r="C1085" s="9"/>
      <c r="D1085" s="133"/>
      <c r="E1085" s="133"/>
      <c r="F1085" s="69"/>
      <c r="G1085" s="9"/>
      <c r="H1085" s="9"/>
      <c r="I1085" s="60" t="str">
        <f t="shared" si="5"/>
        <v/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60" t="str">
        <f t="shared" si="1"/>
        <v/>
      </c>
      <c r="B1086" s="9"/>
      <c r="C1086" s="9"/>
      <c r="D1086" s="133"/>
      <c r="E1086" s="133"/>
      <c r="F1086" s="69"/>
      <c r="G1086" s="9"/>
      <c r="H1086" s="9"/>
      <c r="I1086" s="60" t="str">
        <f t="shared" si="5"/>
        <v/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60" t="str">
        <f t="shared" si="1"/>
        <v/>
      </c>
      <c r="B1087" s="9"/>
      <c r="C1087" s="9"/>
      <c r="D1087" s="133"/>
      <c r="E1087" s="133"/>
      <c r="F1087" s="69"/>
      <c r="G1087" s="9"/>
      <c r="H1087" s="9"/>
      <c r="I1087" s="60" t="str">
        <f t="shared" si="5"/>
        <v/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60" t="str">
        <f t="shared" si="1"/>
        <v/>
      </c>
      <c r="B1088" s="9"/>
      <c r="C1088" s="9"/>
      <c r="D1088" s="133"/>
      <c r="E1088" s="133"/>
      <c r="F1088" s="69"/>
      <c r="G1088" s="9"/>
      <c r="H1088" s="9"/>
      <c r="I1088" s="60" t="str">
        <f t="shared" si="5"/>
        <v/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60" t="str">
        <f t="shared" si="1"/>
        <v/>
      </c>
      <c r="B1089" s="9"/>
      <c r="C1089" s="9"/>
      <c r="D1089" s="133"/>
      <c r="E1089" s="133"/>
      <c r="F1089" s="69"/>
      <c r="G1089" s="9"/>
      <c r="H1089" s="9"/>
      <c r="I1089" s="60" t="str">
        <f t="shared" si="5"/>
        <v/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60" t="str">
        <f t="shared" si="1"/>
        <v/>
      </c>
      <c r="B1090" s="9"/>
      <c r="C1090" s="9"/>
      <c r="D1090" s="133"/>
      <c r="E1090" s="133"/>
      <c r="F1090" s="69"/>
      <c r="G1090" s="9"/>
      <c r="H1090" s="9"/>
      <c r="I1090" s="60" t="str">
        <f t="shared" si="5"/>
        <v/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60" t="str">
        <f t="shared" si="1"/>
        <v/>
      </c>
      <c r="B1091" s="9"/>
      <c r="C1091" s="9"/>
      <c r="D1091" s="133"/>
      <c r="E1091" s="133"/>
      <c r="F1091" s="69"/>
      <c r="G1091" s="9"/>
      <c r="H1091" s="9"/>
      <c r="I1091" s="60" t="str">
        <f t="shared" si="5"/>
        <v/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60" t="str">
        <f t="shared" si="1"/>
        <v/>
      </c>
      <c r="B1092" s="9"/>
      <c r="C1092" s="9"/>
      <c r="D1092" s="133"/>
      <c r="E1092" s="133"/>
      <c r="F1092" s="69"/>
      <c r="G1092" s="9"/>
      <c r="H1092" s="9"/>
      <c r="I1092" s="60" t="str">
        <f t="shared" si="5"/>
        <v/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60" t="str">
        <f t="shared" si="1"/>
        <v/>
      </c>
      <c r="B1093" s="9"/>
      <c r="C1093" s="9"/>
      <c r="D1093" s="133"/>
      <c r="E1093" s="133"/>
      <c r="F1093" s="69"/>
      <c r="G1093" s="9"/>
      <c r="H1093" s="9"/>
      <c r="I1093" s="60" t="str">
        <f t="shared" si="5"/>
        <v/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60" t="str">
        <f t="shared" si="1"/>
        <v/>
      </c>
      <c r="B1094" s="9"/>
      <c r="C1094" s="9"/>
      <c r="D1094" s="133"/>
      <c r="E1094" s="133"/>
      <c r="F1094" s="69"/>
      <c r="G1094" s="9"/>
      <c r="H1094" s="9"/>
      <c r="I1094" s="60" t="str">
        <f t="shared" si="5"/>
        <v/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60" t="str">
        <f t="shared" si="1"/>
        <v/>
      </c>
      <c r="B1095" s="9"/>
      <c r="C1095" s="9"/>
      <c r="D1095" s="133"/>
      <c r="E1095" s="133"/>
      <c r="F1095" s="69"/>
      <c r="G1095" s="9"/>
      <c r="H1095" s="9"/>
      <c r="I1095" s="60" t="str">
        <f t="shared" si="5"/>
        <v/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60" t="str">
        <f t="shared" si="1"/>
        <v/>
      </c>
      <c r="B1096" s="9"/>
      <c r="C1096" s="9"/>
      <c r="D1096" s="133"/>
      <c r="E1096" s="133"/>
      <c r="F1096" s="69"/>
      <c r="G1096" s="9"/>
      <c r="H1096" s="9"/>
      <c r="I1096" s="60" t="str">
        <f t="shared" si="5"/>
        <v/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60" t="str">
        <f t="shared" si="1"/>
        <v/>
      </c>
      <c r="B1097" s="9"/>
      <c r="C1097" s="9"/>
      <c r="D1097" s="133"/>
      <c r="E1097" s="133"/>
      <c r="F1097" s="69"/>
      <c r="G1097" s="9"/>
      <c r="H1097" s="9"/>
      <c r="I1097" s="60" t="str">
        <f t="shared" si="5"/>
        <v/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60" t="str">
        <f t="shared" si="1"/>
        <v/>
      </c>
      <c r="B1098" s="9"/>
      <c r="C1098" s="9"/>
      <c r="D1098" s="133"/>
      <c r="E1098" s="133"/>
      <c r="F1098" s="69"/>
      <c r="G1098" s="9"/>
      <c r="H1098" s="9"/>
      <c r="I1098" s="60" t="str">
        <f t="shared" si="5"/>
        <v/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60" t="str">
        <f t="shared" si="1"/>
        <v/>
      </c>
      <c r="B1099" s="9"/>
      <c r="C1099" s="9"/>
      <c r="D1099" s="133"/>
      <c r="E1099" s="133"/>
      <c r="F1099" s="69"/>
      <c r="G1099" s="9"/>
      <c r="H1099" s="9"/>
      <c r="I1099" s="60" t="str">
        <f t="shared" si="5"/>
        <v/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60" t="str">
        <f t="shared" si="1"/>
        <v/>
      </c>
      <c r="B1100" s="9"/>
      <c r="C1100" s="9"/>
      <c r="D1100" s="133"/>
      <c r="E1100" s="133"/>
      <c r="F1100" s="69"/>
      <c r="G1100" s="9"/>
      <c r="H1100" s="9"/>
      <c r="I1100" s="60" t="str">
        <f t="shared" si="5"/>
        <v/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60" t="str">
        <f t="shared" si="1"/>
        <v/>
      </c>
      <c r="B1101" s="9"/>
      <c r="C1101" s="9"/>
      <c r="D1101" s="133"/>
      <c r="E1101" s="133"/>
      <c r="F1101" s="69"/>
      <c r="G1101" s="9"/>
      <c r="H1101" s="9"/>
      <c r="I1101" s="60" t="str">
        <f t="shared" si="5"/>
        <v/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60" t="str">
        <f t="shared" si="1"/>
        <v/>
      </c>
      <c r="B1102" s="9"/>
      <c r="C1102" s="9"/>
      <c r="D1102" s="133"/>
      <c r="E1102" s="133"/>
      <c r="F1102" s="69"/>
      <c r="G1102" s="9"/>
      <c r="H1102" s="9"/>
      <c r="I1102" s="60" t="str">
        <f t="shared" si="5"/>
        <v/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60" t="str">
        <f t="shared" si="1"/>
        <v/>
      </c>
      <c r="B1103" s="9"/>
      <c r="C1103" s="9"/>
      <c r="D1103" s="133"/>
      <c r="E1103" s="133"/>
      <c r="F1103" s="69"/>
      <c r="G1103" s="9"/>
      <c r="H1103" s="9"/>
      <c r="I1103" s="60" t="str">
        <f t="shared" si="5"/>
        <v/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60" t="str">
        <f t="shared" si="1"/>
        <v/>
      </c>
      <c r="B1104" s="9"/>
      <c r="C1104" s="9"/>
      <c r="D1104" s="133"/>
      <c r="E1104" s="133"/>
      <c r="F1104" s="69"/>
      <c r="G1104" s="9"/>
      <c r="H1104" s="9"/>
      <c r="I1104" s="60" t="str">
        <f t="shared" si="5"/>
        <v/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60" t="str">
        <f t="shared" si="1"/>
        <v/>
      </c>
      <c r="B1105" s="9"/>
      <c r="C1105" s="9"/>
      <c r="D1105" s="133"/>
      <c r="E1105" s="133"/>
      <c r="F1105" s="69"/>
      <c r="G1105" s="9"/>
      <c r="H1105" s="9"/>
      <c r="I1105" s="60" t="str">
        <f t="shared" si="5"/>
        <v/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60" t="str">
        <f t="shared" si="1"/>
        <v/>
      </c>
      <c r="B1106" s="9"/>
      <c r="C1106" s="9"/>
      <c r="D1106" s="133"/>
      <c r="E1106" s="133"/>
      <c r="F1106" s="69"/>
      <c r="G1106" s="9"/>
      <c r="H1106" s="9"/>
      <c r="I1106" s="60" t="str">
        <f t="shared" si="5"/>
        <v/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60" t="str">
        <f t="shared" si="1"/>
        <v/>
      </c>
      <c r="B1107" s="9"/>
      <c r="C1107" s="9"/>
      <c r="D1107" s="133"/>
      <c r="E1107" s="133"/>
      <c r="F1107" s="69"/>
      <c r="G1107" s="9"/>
      <c r="H1107" s="9"/>
      <c r="I1107" s="60" t="str">
        <f t="shared" si="5"/>
        <v/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60" t="str">
        <f t="shared" si="1"/>
        <v/>
      </c>
      <c r="B1108" s="9"/>
      <c r="C1108" s="9"/>
      <c r="D1108" s="133"/>
      <c r="E1108" s="133"/>
      <c r="F1108" s="69"/>
      <c r="G1108" s="9"/>
      <c r="H1108" s="9"/>
      <c r="I1108" s="60" t="str">
        <f t="shared" si="5"/>
        <v/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60" t="str">
        <f t="shared" si="1"/>
        <v/>
      </c>
      <c r="B1109" s="9"/>
      <c r="C1109" s="9"/>
      <c r="D1109" s="133"/>
      <c r="E1109" s="133"/>
      <c r="F1109" s="69"/>
      <c r="G1109" s="9"/>
      <c r="H1109" s="9"/>
      <c r="I1109" s="60" t="str">
        <f t="shared" si="5"/>
        <v/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60" t="str">
        <f t="shared" si="1"/>
        <v/>
      </c>
      <c r="B1110" s="9"/>
      <c r="C1110" s="9"/>
      <c r="D1110" s="133"/>
      <c r="E1110" s="133"/>
      <c r="F1110" s="69"/>
      <c r="G1110" s="9"/>
      <c r="H1110" s="9"/>
      <c r="I1110" s="60" t="str">
        <f t="shared" si="5"/>
        <v/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60" t="str">
        <f t="shared" si="1"/>
        <v/>
      </c>
      <c r="B1111" s="9"/>
      <c r="C1111" s="9"/>
      <c r="D1111" s="133"/>
      <c r="E1111" s="133"/>
      <c r="F1111" s="69"/>
      <c r="G1111" s="9"/>
      <c r="H1111" s="9"/>
      <c r="I1111" s="60" t="str">
        <f t="shared" si="5"/>
        <v/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60" t="str">
        <f t="shared" si="1"/>
        <v/>
      </c>
      <c r="B1112" s="9"/>
      <c r="C1112" s="9"/>
      <c r="D1112" s="133"/>
      <c r="E1112" s="133"/>
      <c r="F1112" s="69"/>
      <c r="G1112" s="9"/>
      <c r="H1112" s="9"/>
      <c r="I1112" s="60" t="str">
        <f t="shared" si="5"/>
        <v/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60" t="str">
        <f t="shared" si="1"/>
        <v/>
      </c>
      <c r="B1113" s="9"/>
      <c r="C1113" s="9"/>
      <c r="D1113" s="133"/>
      <c r="E1113" s="133"/>
      <c r="F1113" s="69"/>
      <c r="G1113" s="9"/>
      <c r="H1113" s="9"/>
      <c r="I1113" s="60" t="str">
        <f t="shared" si="5"/>
        <v/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60" t="str">
        <f t="shared" si="1"/>
        <v/>
      </c>
      <c r="B1114" s="9"/>
      <c r="C1114" s="9"/>
      <c r="D1114" s="133"/>
      <c r="E1114" s="133"/>
      <c r="F1114" s="69"/>
      <c r="G1114" s="9"/>
      <c r="H1114" s="9"/>
      <c r="I1114" s="60" t="str">
        <f t="shared" si="5"/>
        <v/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60" t="str">
        <f t="shared" si="1"/>
        <v/>
      </c>
      <c r="B1115" s="9"/>
      <c r="C1115" s="9"/>
      <c r="D1115" s="133"/>
      <c r="E1115" s="133"/>
      <c r="F1115" s="69"/>
      <c r="G1115" s="9"/>
      <c r="H1115" s="9"/>
      <c r="I1115" s="60" t="str">
        <f t="shared" si="5"/>
        <v/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60" t="str">
        <f t="shared" si="1"/>
        <v/>
      </c>
      <c r="B1116" s="9"/>
      <c r="C1116" s="9"/>
      <c r="D1116" s="133"/>
      <c r="E1116" s="133"/>
      <c r="F1116" s="69"/>
      <c r="G1116" s="9"/>
      <c r="H1116" s="9"/>
      <c r="I1116" s="60" t="str">
        <f t="shared" si="5"/>
        <v/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60" t="str">
        <f t="shared" si="1"/>
        <v/>
      </c>
      <c r="B1117" s="9"/>
      <c r="C1117" s="9"/>
      <c r="D1117" s="133"/>
      <c r="E1117" s="133"/>
      <c r="F1117" s="69"/>
      <c r="G1117" s="9"/>
      <c r="H1117" s="9"/>
      <c r="I1117" s="60" t="str">
        <f t="shared" si="5"/>
        <v/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60" t="str">
        <f t="shared" si="1"/>
        <v/>
      </c>
      <c r="B1118" s="9"/>
      <c r="C1118" s="9"/>
      <c r="D1118" s="133"/>
      <c r="E1118" s="133"/>
      <c r="F1118" s="69"/>
      <c r="G1118" s="9"/>
      <c r="H1118" s="9"/>
      <c r="I1118" s="60" t="str">
        <f t="shared" si="5"/>
        <v/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60" t="str">
        <f t="shared" si="1"/>
        <v/>
      </c>
      <c r="B1119" s="9"/>
      <c r="C1119" s="9"/>
      <c r="D1119" s="133"/>
      <c r="E1119" s="133"/>
      <c r="F1119" s="69"/>
      <c r="G1119" s="9"/>
      <c r="H1119" s="9"/>
      <c r="I1119" s="60" t="str">
        <f t="shared" si="5"/>
        <v/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60" t="str">
        <f t="shared" si="1"/>
        <v/>
      </c>
      <c r="B1120" s="9"/>
      <c r="C1120" s="9"/>
      <c r="D1120" s="133"/>
      <c r="E1120" s="133"/>
      <c r="F1120" s="69"/>
      <c r="G1120" s="9"/>
      <c r="H1120" s="9"/>
      <c r="I1120" s="60" t="str">
        <f t="shared" si="5"/>
        <v/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60" t="str">
        <f t="shared" si="1"/>
        <v/>
      </c>
      <c r="B1121" s="9"/>
      <c r="C1121" s="9"/>
      <c r="D1121" s="133"/>
      <c r="E1121" s="133"/>
      <c r="F1121" s="69"/>
      <c r="G1121" s="9"/>
      <c r="H1121" s="9"/>
      <c r="I1121" s="60" t="str">
        <f t="shared" si="5"/>
        <v/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60" t="str">
        <f t="shared" si="1"/>
        <v/>
      </c>
      <c r="B1122" s="9"/>
      <c r="C1122" s="9"/>
      <c r="D1122" s="133"/>
      <c r="E1122" s="133"/>
      <c r="F1122" s="69"/>
      <c r="G1122" s="9"/>
      <c r="H1122" s="9"/>
      <c r="I1122" s="60" t="str">
        <f t="shared" si="5"/>
        <v/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60" t="str">
        <f t="shared" si="1"/>
        <v/>
      </c>
      <c r="B1123" s="9"/>
      <c r="C1123" s="9"/>
      <c r="D1123" s="133"/>
      <c r="E1123" s="133"/>
      <c r="F1123" s="69"/>
      <c r="G1123" s="9"/>
      <c r="H1123" s="9"/>
      <c r="I1123" s="60" t="str">
        <f t="shared" si="5"/>
        <v/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60" t="str">
        <f t="shared" si="1"/>
        <v/>
      </c>
      <c r="B1124" s="9"/>
      <c r="C1124" s="9"/>
      <c r="D1124" s="133"/>
      <c r="E1124" s="133"/>
      <c r="F1124" s="69"/>
      <c r="G1124" s="9"/>
      <c r="H1124" s="9"/>
      <c r="I1124" s="60" t="str">
        <f t="shared" si="5"/>
        <v/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60" t="str">
        <f t="shared" si="1"/>
        <v/>
      </c>
      <c r="B1125" s="9"/>
      <c r="C1125" s="9"/>
      <c r="D1125" s="133"/>
      <c r="E1125" s="133"/>
      <c r="F1125" s="69"/>
      <c r="G1125" s="9"/>
      <c r="H1125" s="9"/>
      <c r="I1125" s="60" t="str">
        <f t="shared" si="5"/>
        <v/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60" t="str">
        <f t="shared" si="1"/>
        <v/>
      </c>
      <c r="B1126" s="9"/>
      <c r="C1126" s="9"/>
      <c r="D1126" s="133"/>
      <c r="E1126" s="133"/>
      <c r="F1126" s="69"/>
      <c r="G1126" s="9"/>
      <c r="H1126" s="9"/>
      <c r="I1126" s="60" t="str">
        <f t="shared" si="5"/>
        <v/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60" t="str">
        <f t="shared" si="1"/>
        <v/>
      </c>
      <c r="B1127" s="9"/>
      <c r="C1127" s="9"/>
      <c r="D1127" s="133"/>
      <c r="E1127" s="133"/>
      <c r="F1127" s="69"/>
      <c r="G1127" s="9"/>
      <c r="H1127" s="9"/>
      <c r="I1127" s="60" t="str">
        <f t="shared" si="5"/>
        <v/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60" t="str">
        <f t="shared" si="1"/>
        <v/>
      </c>
      <c r="B1128" s="9"/>
      <c r="C1128" s="9"/>
      <c r="D1128" s="133"/>
      <c r="E1128" s="133"/>
      <c r="F1128" s="69"/>
      <c r="G1128" s="9"/>
      <c r="H1128" s="9"/>
      <c r="I1128" s="60" t="str">
        <f t="shared" si="5"/>
        <v/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60" t="str">
        <f t="shared" si="1"/>
        <v/>
      </c>
      <c r="B1129" s="9"/>
      <c r="C1129" s="9"/>
      <c r="D1129" s="133"/>
      <c r="E1129" s="133"/>
      <c r="F1129" s="69"/>
      <c r="G1129" s="9"/>
      <c r="H1129" s="9"/>
      <c r="I1129" s="60" t="str">
        <f t="shared" si="5"/>
        <v/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60" t="str">
        <f t="shared" si="1"/>
        <v/>
      </c>
      <c r="B1130" s="9"/>
      <c r="C1130" s="9"/>
      <c r="D1130" s="133"/>
      <c r="E1130" s="133"/>
      <c r="F1130" s="69"/>
      <c r="G1130" s="9"/>
      <c r="H1130" s="9"/>
      <c r="I1130" s="60" t="str">
        <f t="shared" si="5"/>
        <v/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60" t="str">
        <f t="shared" si="1"/>
        <v/>
      </c>
      <c r="B1131" s="9"/>
      <c r="C1131" s="9"/>
      <c r="D1131" s="133"/>
      <c r="E1131" s="133"/>
      <c r="F1131" s="69"/>
      <c r="G1131" s="9"/>
      <c r="H1131" s="9"/>
      <c r="I1131" s="60" t="str">
        <f t="shared" si="5"/>
        <v/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60" t="str">
        <f t="shared" si="1"/>
        <v/>
      </c>
      <c r="B1132" s="9"/>
      <c r="C1132" s="9"/>
      <c r="D1132" s="133"/>
      <c r="E1132" s="133"/>
      <c r="F1132" s="69"/>
      <c r="G1132" s="9"/>
      <c r="H1132" s="9"/>
      <c r="I1132" s="60" t="str">
        <f t="shared" si="5"/>
        <v/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60" t="str">
        <f t="shared" si="1"/>
        <v/>
      </c>
      <c r="B1133" s="9"/>
      <c r="C1133" s="9"/>
      <c r="D1133" s="133"/>
      <c r="E1133" s="133"/>
      <c r="F1133" s="69"/>
      <c r="G1133" s="9"/>
      <c r="H1133" s="9"/>
      <c r="I1133" s="60" t="str">
        <f t="shared" si="5"/>
        <v/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60" t="str">
        <f t="shared" si="1"/>
        <v/>
      </c>
      <c r="B1134" s="9"/>
      <c r="C1134" s="9"/>
      <c r="D1134" s="133"/>
      <c r="E1134" s="133"/>
      <c r="F1134" s="69"/>
      <c r="G1134" s="9"/>
      <c r="H1134" s="9"/>
      <c r="I1134" s="60" t="str">
        <f t="shared" si="5"/>
        <v/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60" t="str">
        <f t="shared" si="1"/>
        <v/>
      </c>
      <c r="B1135" s="9"/>
      <c r="C1135" s="9"/>
      <c r="D1135" s="133"/>
      <c r="E1135" s="133"/>
      <c r="F1135" s="69"/>
      <c r="G1135" s="9"/>
      <c r="H1135" s="9"/>
      <c r="I1135" s="60" t="str">
        <f t="shared" si="5"/>
        <v/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60" t="str">
        <f t="shared" si="1"/>
        <v/>
      </c>
      <c r="B1136" s="9"/>
      <c r="C1136" s="9"/>
      <c r="D1136" s="133"/>
      <c r="E1136" s="133"/>
      <c r="F1136" s="69"/>
      <c r="G1136" s="9"/>
      <c r="H1136" s="9"/>
      <c r="I1136" s="60" t="str">
        <f t="shared" si="5"/>
        <v/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60" t="str">
        <f t="shared" si="1"/>
        <v/>
      </c>
      <c r="B1137" s="9"/>
      <c r="C1137" s="9"/>
      <c r="D1137" s="133"/>
      <c r="E1137" s="133"/>
      <c r="F1137" s="69"/>
      <c r="G1137" s="9"/>
      <c r="H1137" s="9"/>
      <c r="I1137" s="60" t="str">
        <f t="shared" si="5"/>
        <v/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60" t="str">
        <f t="shared" si="1"/>
        <v/>
      </c>
      <c r="B1138" s="9"/>
      <c r="C1138" s="9"/>
      <c r="D1138" s="133"/>
      <c r="E1138" s="133"/>
      <c r="F1138" s="69"/>
      <c r="G1138" s="9"/>
      <c r="H1138" s="9"/>
      <c r="I1138" s="60" t="str">
        <f t="shared" si="5"/>
        <v/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60" t="str">
        <f t="shared" si="1"/>
        <v/>
      </c>
      <c r="B1139" s="9"/>
      <c r="C1139" s="9"/>
      <c r="D1139" s="133"/>
      <c r="E1139" s="133"/>
      <c r="F1139" s="69"/>
      <c r="G1139" s="9"/>
      <c r="H1139" s="9"/>
      <c r="I1139" s="60" t="str">
        <f t="shared" si="5"/>
        <v/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60" t="str">
        <f t="shared" si="1"/>
        <v/>
      </c>
      <c r="B1140" s="9"/>
      <c r="C1140" s="9"/>
      <c r="D1140" s="133"/>
      <c r="E1140" s="133"/>
      <c r="F1140" s="69"/>
      <c r="G1140" s="9"/>
      <c r="H1140" s="9"/>
      <c r="I1140" s="60" t="str">
        <f t="shared" si="5"/>
        <v/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60" t="str">
        <f t="shared" si="1"/>
        <v/>
      </c>
      <c r="B1141" s="9"/>
      <c r="C1141" s="9"/>
      <c r="D1141" s="133"/>
      <c r="E1141" s="133"/>
      <c r="F1141" s="69"/>
      <c r="G1141" s="9"/>
      <c r="H1141" s="9"/>
      <c r="I1141" s="60" t="str">
        <f t="shared" si="5"/>
        <v/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60" t="str">
        <f t="shared" si="1"/>
        <v/>
      </c>
      <c r="B1142" s="9"/>
      <c r="C1142" s="9"/>
      <c r="D1142" s="133"/>
      <c r="E1142" s="133"/>
      <c r="F1142" s="69"/>
      <c r="G1142" s="9"/>
      <c r="H1142" s="9"/>
      <c r="I1142" s="60" t="str">
        <f t="shared" si="5"/>
        <v/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60" t="str">
        <f t="shared" si="1"/>
        <v/>
      </c>
      <c r="B1143" s="9"/>
      <c r="C1143" s="9"/>
      <c r="D1143" s="133"/>
      <c r="E1143" s="133"/>
      <c r="F1143" s="69"/>
      <c r="G1143" s="9"/>
      <c r="H1143" s="9"/>
      <c r="I1143" s="60" t="str">
        <f t="shared" si="5"/>
        <v/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60" t="str">
        <f t="shared" si="1"/>
        <v/>
      </c>
      <c r="B1144" s="9"/>
      <c r="C1144" s="9"/>
      <c r="D1144" s="133"/>
      <c r="E1144" s="133"/>
      <c r="F1144" s="69"/>
      <c r="G1144" s="9"/>
      <c r="H1144" s="9"/>
      <c r="I1144" s="60" t="str">
        <f t="shared" si="5"/>
        <v/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60" t="str">
        <f t="shared" si="1"/>
        <v/>
      </c>
      <c r="B1145" s="9"/>
      <c r="C1145" s="9"/>
      <c r="D1145" s="133"/>
      <c r="E1145" s="133"/>
      <c r="F1145" s="69"/>
      <c r="G1145" s="9"/>
      <c r="H1145" s="9"/>
      <c r="I1145" s="60" t="str">
        <f t="shared" si="5"/>
        <v/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60" t="str">
        <f t="shared" si="1"/>
        <v/>
      </c>
      <c r="B1146" s="9"/>
      <c r="C1146" s="9"/>
      <c r="D1146" s="133"/>
      <c r="E1146" s="133"/>
      <c r="F1146" s="69"/>
      <c r="G1146" s="9"/>
      <c r="H1146" s="9"/>
      <c r="I1146" s="60" t="str">
        <f t="shared" si="5"/>
        <v/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60" t="str">
        <f t="shared" si="1"/>
        <v/>
      </c>
      <c r="B1147" s="9"/>
      <c r="C1147" s="9"/>
      <c r="D1147" s="133"/>
      <c r="E1147" s="133"/>
      <c r="F1147" s="69"/>
      <c r="G1147" s="9"/>
      <c r="H1147" s="9"/>
      <c r="I1147" s="60" t="str">
        <f t="shared" si="5"/>
        <v/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60" t="str">
        <f t="shared" si="1"/>
        <v/>
      </c>
      <c r="B1148" s="9"/>
      <c r="C1148" s="9"/>
      <c r="D1148" s="133"/>
      <c r="E1148" s="133"/>
      <c r="F1148" s="69"/>
      <c r="G1148" s="9"/>
      <c r="H1148" s="9"/>
      <c r="I1148" s="60" t="str">
        <f t="shared" si="5"/>
        <v/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60" t="str">
        <f t="shared" si="1"/>
        <v/>
      </c>
      <c r="B1149" s="9"/>
      <c r="C1149" s="9"/>
      <c r="D1149" s="133"/>
      <c r="E1149" s="133"/>
      <c r="F1149" s="69"/>
      <c r="G1149" s="9"/>
      <c r="H1149" s="9"/>
      <c r="I1149" s="60" t="str">
        <f t="shared" si="5"/>
        <v/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60" t="str">
        <f t="shared" si="1"/>
        <v/>
      </c>
      <c r="B1150" s="9"/>
      <c r="C1150" s="9"/>
      <c r="D1150" s="133"/>
      <c r="E1150" s="133"/>
      <c r="F1150" s="69"/>
      <c r="G1150" s="9"/>
      <c r="H1150" s="9"/>
      <c r="I1150" s="60" t="str">
        <f t="shared" si="5"/>
        <v/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60" t="str">
        <f t="shared" si="1"/>
        <v/>
      </c>
      <c r="B1151" s="9"/>
      <c r="C1151" s="9"/>
      <c r="D1151" s="133"/>
      <c r="E1151" s="133"/>
      <c r="F1151" s="69"/>
      <c r="G1151" s="9"/>
      <c r="H1151" s="9"/>
      <c r="I1151" s="60" t="str">
        <f t="shared" si="5"/>
        <v/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60" t="str">
        <f t="shared" si="1"/>
        <v/>
      </c>
      <c r="B1152" s="9"/>
      <c r="C1152" s="9"/>
      <c r="D1152" s="133"/>
      <c r="E1152" s="133"/>
      <c r="F1152" s="69"/>
      <c r="G1152" s="9"/>
      <c r="H1152" s="9"/>
      <c r="I1152" s="60" t="str">
        <f t="shared" si="5"/>
        <v/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60" t="str">
        <f t="shared" si="1"/>
        <v/>
      </c>
      <c r="B1153" s="9"/>
      <c r="C1153" s="9"/>
      <c r="D1153" s="133"/>
      <c r="E1153" s="133"/>
      <c r="F1153" s="69"/>
      <c r="G1153" s="9"/>
      <c r="H1153" s="9"/>
      <c r="I1153" s="60" t="str">
        <f t="shared" si="5"/>
        <v/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60" t="str">
        <f t="shared" si="1"/>
        <v/>
      </c>
      <c r="B1154" s="9"/>
      <c r="C1154" s="9"/>
      <c r="D1154" s="133"/>
      <c r="E1154" s="133"/>
      <c r="F1154" s="69"/>
      <c r="G1154" s="9"/>
      <c r="H1154" s="9"/>
      <c r="I1154" s="60" t="str">
        <f t="shared" si="5"/>
        <v/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60" t="str">
        <f t="shared" si="1"/>
        <v/>
      </c>
      <c r="B1155" s="9"/>
      <c r="C1155" s="9"/>
      <c r="D1155" s="133"/>
      <c r="E1155" s="133"/>
      <c r="F1155" s="69"/>
      <c r="G1155" s="9"/>
      <c r="H1155" s="9"/>
      <c r="I1155" s="60" t="str">
        <f t="shared" si="5"/>
        <v/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60" t="str">
        <f t="shared" si="1"/>
        <v/>
      </c>
      <c r="B1156" s="9"/>
      <c r="C1156" s="9"/>
      <c r="D1156" s="133"/>
      <c r="E1156" s="133"/>
      <c r="F1156" s="69"/>
      <c r="G1156" s="9"/>
      <c r="H1156" s="9"/>
      <c r="I1156" s="60" t="str">
        <f t="shared" si="5"/>
        <v/>
      </c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60" t="str">
        <f t="shared" si="1"/>
        <v/>
      </c>
      <c r="B1157" s="9"/>
      <c r="C1157" s="9"/>
      <c r="D1157" s="133"/>
      <c r="E1157" s="133"/>
      <c r="F1157" s="69"/>
      <c r="G1157" s="9"/>
      <c r="H1157" s="9"/>
      <c r="I1157" s="60" t="str">
        <f t="shared" si="5"/>
        <v/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60" t="str">
        <f t="shared" si="1"/>
        <v/>
      </c>
      <c r="B1158" s="9"/>
      <c r="C1158" s="9"/>
      <c r="D1158" s="133"/>
      <c r="E1158" s="133"/>
      <c r="F1158" s="69"/>
      <c r="G1158" s="9"/>
      <c r="H1158" s="9"/>
      <c r="I1158" s="60" t="str">
        <f t="shared" si="5"/>
        <v/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60" t="str">
        <f t="shared" si="1"/>
        <v/>
      </c>
      <c r="B1159" s="9"/>
      <c r="C1159" s="9"/>
      <c r="D1159" s="133"/>
      <c r="E1159" s="133"/>
      <c r="F1159" s="69"/>
      <c r="G1159" s="9"/>
      <c r="H1159" s="9"/>
      <c r="I1159" s="60" t="str">
        <f t="shared" si="5"/>
        <v/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60" t="str">
        <f t="shared" si="1"/>
        <v/>
      </c>
      <c r="B1160" s="9"/>
      <c r="C1160" s="9"/>
      <c r="D1160" s="133"/>
      <c r="E1160" s="133"/>
      <c r="F1160" s="69"/>
      <c r="G1160" s="9"/>
      <c r="H1160" s="9"/>
      <c r="I1160" s="60" t="str">
        <f t="shared" si="5"/>
        <v/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60" t="str">
        <f t="shared" si="1"/>
        <v/>
      </c>
      <c r="B1161" s="9"/>
      <c r="C1161" s="9"/>
      <c r="D1161" s="133"/>
      <c r="E1161" s="133"/>
      <c r="F1161" s="69"/>
      <c r="G1161" s="9"/>
      <c r="H1161" s="9"/>
      <c r="I1161" s="60" t="str">
        <f t="shared" si="5"/>
        <v/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60" t="str">
        <f t="shared" si="1"/>
        <v/>
      </c>
      <c r="B1162" s="9"/>
      <c r="C1162" s="9"/>
      <c r="D1162" s="133"/>
      <c r="E1162" s="133"/>
      <c r="F1162" s="69"/>
      <c r="G1162" s="9"/>
      <c r="H1162" s="9"/>
      <c r="I1162" s="60" t="str">
        <f t="shared" si="5"/>
        <v/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60" t="str">
        <f t="shared" si="1"/>
        <v/>
      </c>
      <c r="B1163" s="9"/>
      <c r="C1163" s="9"/>
      <c r="D1163" s="133"/>
      <c r="E1163" s="133"/>
      <c r="F1163" s="69"/>
      <c r="G1163" s="9"/>
      <c r="H1163" s="9"/>
      <c r="I1163" s="60" t="str">
        <f t="shared" si="5"/>
        <v/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60" t="str">
        <f t="shared" si="1"/>
        <v/>
      </c>
      <c r="B1164" s="9"/>
      <c r="C1164" s="9"/>
      <c r="D1164" s="133"/>
      <c r="E1164" s="133"/>
      <c r="F1164" s="69"/>
      <c r="G1164" s="9"/>
      <c r="H1164" s="9"/>
      <c r="I1164" s="60" t="str">
        <f t="shared" si="5"/>
        <v/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60" t="str">
        <f t="shared" si="1"/>
        <v/>
      </c>
      <c r="B1165" s="9"/>
      <c r="C1165" s="9"/>
      <c r="D1165" s="133"/>
      <c r="E1165" s="133"/>
      <c r="F1165" s="69"/>
      <c r="G1165" s="9"/>
      <c r="H1165" s="9"/>
      <c r="I1165" s="60" t="str">
        <f t="shared" si="5"/>
        <v/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60" t="str">
        <f t="shared" si="1"/>
        <v/>
      </c>
      <c r="B1166" s="9"/>
      <c r="C1166" s="9"/>
      <c r="D1166" s="133"/>
      <c r="E1166" s="133"/>
      <c r="F1166" s="69"/>
      <c r="G1166" s="9"/>
      <c r="H1166" s="9"/>
      <c r="I1166" s="60" t="str">
        <f t="shared" si="5"/>
        <v/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60" t="str">
        <f t="shared" si="1"/>
        <v/>
      </c>
      <c r="B1167" s="9"/>
      <c r="C1167" s="9"/>
      <c r="D1167" s="133"/>
      <c r="E1167" s="133"/>
      <c r="F1167" s="69"/>
      <c r="G1167" s="9"/>
      <c r="H1167" s="9"/>
      <c r="I1167" s="60" t="str">
        <f t="shared" si="5"/>
        <v/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60" t="str">
        <f t="shared" si="1"/>
        <v/>
      </c>
      <c r="B1168" s="9"/>
      <c r="C1168" s="9"/>
      <c r="D1168" s="133"/>
      <c r="E1168" s="133"/>
      <c r="F1168" s="69"/>
      <c r="G1168" s="9"/>
      <c r="H1168" s="9"/>
      <c r="I1168" s="60" t="str">
        <f t="shared" si="5"/>
        <v/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60" t="str">
        <f t="shared" si="1"/>
        <v/>
      </c>
      <c r="B1169" s="9"/>
      <c r="C1169" s="9"/>
      <c r="D1169" s="133"/>
      <c r="E1169" s="133"/>
      <c r="F1169" s="69"/>
      <c r="G1169" s="9"/>
      <c r="H1169" s="9"/>
      <c r="I1169" s="60" t="str">
        <f t="shared" si="5"/>
        <v/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60" t="str">
        <f t="shared" si="1"/>
        <v/>
      </c>
      <c r="B1170" s="9"/>
      <c r="C1170" s="9"/>
      <c r="D1170" s="133"/>
      <c r="E1170" s="133"/>
      <c r="F1170" s="69"/>
      <c r="G1170" s="9"/>
      <c r="H1170" s="9"/>
      <c r="I1170" s="60" t="str">
        <f t="shared" si="5"/>
        <v/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60" t="str">
        <f t="shared" si="1"/>
        <v/>
      </c>
      <c r="B1171" s="9"/>
      <c r="C1171" s="9"/>
      <c r="D1171" s="133"/>
      <c r="E1171" s="133"/>
      <c r="F1171" s="69"/>
      <c r="G1171" s="9"/>
      <c r="H1171" s="9"/>
      <c r="I1171" s="60" t="str">
        <f t="shared" si="5"/>
        <v/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60" t="str">
        <f t="shared" si="1"/>
        <v/>
      </c>
      <c r="B1172" s="9"/>
      <c r="C1172" s="9"/>
      <c r="D1172" s="133"/>
      <c r="E1172" s="133"/>
      <c r="F1172" s="69"/>
      <c r="G1172" s="9"/>
      <c r="H1172" s="9"/>
      <c r="I1172" s="60" t="str">
        <f t="shared" si="5"/>
        <v/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60" t="str">
        <f t="shared" si="1"/>
        <v/>
      </c>
      <c r="B1173" s="9"/>
      <c r="C1173" s="9"/>
      <c r="D1173" s="133"/>
      <c r="E1173" s="133"/>
      <c r="F1173" s="69"/>
      <c r="G1173" s="9"/>
      <c r="H1173" s="9"/>
      <c r="I1173" s="60" t="str">
        <f t="shared" si="5"/>
        <v/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60" t="str">
        <f t="shared" si="1"/>
        <v/>
      </c>
      <c r="B1174" s="9"/>
      <c r="C1174" s="9"/>
      <c r="D1174" s="133"/>
      <c r="E1174" s="133"/>
      <c r="F1174" s="69"/>
      <c r="G1174" s="9"/>
      <c r="H1174" s="9"/>
      <c r="I1174" s="60" t="str">
        <f t="shared" si="5"/>
        <v/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60" t="str">
        <f t="shared" si="1"/>
        <v/>
      </c>
      <c r="B1175" s="9"/>
      <c r="C1175" s="9"/>
      <c r="D1175" s="133"/>
      <c r="E1175" s="133"/>
      <c r="F1175" s="69"/>
      <c r="G1175" s="9"/>
      <c r="H1175" s="9"/>
      <c r="I1175" s="60" t="str">
        <f t="shared" si="5"/>
        <v/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60" t="str">
        <f t="shared" si="1"/>
        <v/>
      </c>
      <c r="B1176" s="9"/>
      <c r="C1176" s="9"/>
      <c r="D1176" s="133"/>
      <c r="E1176" s="133"/>
      <c r="F1176" s="69"/>
      <c r="G1176" s="9"/>
      <c r="H1176" s="9"/>
      <c r="I1176" s="60" t="str">
        <f t="shared" si="5"/>
        <v/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60" t="str">
        <f t="shared" si="1"/>
        <v/>
      </c>
      <c r="B1177" s="9"/>
      <c r="C1177" s="9"/>
      <c r="D1177" s="133"/>
      <c r="E1177" s="133"/>
      <c r="F1177" s="69"/>
      <c r="G1177" s="9"/>
      <c r="H1177" s="9"/>
      <c r="I1177" s="60" t="str">
        <f t="shared" si="5"/>
        <v/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60" t="str">
        <f t="shared" si="1"/>
        <v/>
      </c>
      <c r="B1178" s="9"/>
      <c r="C1178" s="9"/>
      <c r="D1178" s="133"/>
      <c r="E1178" s="133"/>
      <c r="F1178" s="69"/>
      <c r="G1178" s="9"/>
      <c r="H1178" s="9"/>
      <c r="I1178" s="60" t="str">
        <f t="shared" si="5"/>
        <v/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60" t="str">
        <f t="shared" si="1"/>
        <v/>
      </c>
      <c r="B1179" s="9"/>
      <c r="C1179" s="9"/>
      <c r="D1179" s="133"/>
      <c r="E1179" s="133"/>
      <c r="F1179" s="69"/>
      <c r="G1179" s="9"/>
      <c r="H1179" s="9"/>
      <c r="I1179" s="60" t="str">
        <f t="shared" si="5"/>
        <v/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60" t="str">
        <f t="shared" si="1"/>
        <v/>
      </c>
      <c r="B1180" s="9"/>
      <c r="C1180" s="9"/>
      <c r="D1180" s="133"/>
      <c r="E1180" s="133"/>
      <c r="F1180" s="69"/>
      <c r="G1180" s="9"/>
      <c r="H1180" s="9"/>
      <c r="I1180" s="60" t="str">
        <f t="shared" si="5"/>
        <v/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60" t="str">
        <f t="shared" si="1"/>
        <v/>
      </c>
      <c r="B1181" s="9"/>
      <c r="C1181" s="9"/>
      <c r="D1181" s="133"/>
      <c r="E1181" s="133"/>
      <c r="F1181" s="69"/>
      <c r="G1181" s="9"/>
      <c r="H1181" s="9"/>
      <c r="I1181" s="60" t="str">
        <f t="shared" si="5"/>
        <v/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60" t="str">
        <f t="shared" si="1"/>
        <v/>
      </c>
      <c r="B1182" s="9"/>
      <c r="C1182" s="9"/>
      <c r="D1182" s="133"/>
      <c r="E1182" s="133"/>
      <c r="F1182" s="69"/>
      <c r="G1182" s="9"/>
      <c r="H1182" s="9"/>
      <c r="I1182" s="60" t="str">
        <f t="shared" si="5"/>
        <v/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60" t="str">
        <f t="shared" si="1"/>
        <v/>
      </c>
      <c r="B1183" s="9"/>
      <c r="C1183" s="9"/>
      <c r="D1183" s="133"/>
      <c r="E1183" s="133"/>
      <c r="F1183" s="69"/>
      <c r="G1183" s="9"/>
      <c r="H1183" s="9"/>
      <c r="I1183" s="60" t="str">
        <f t="shared" si="5"/>
        <v/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60" t="str">
        <f t="shared" si="1"/>
        <v/>
      </c>
      <c r="B1184" s="9"/>
      <c r="C1184" s="9"/>
      <c r="D1184" s="133"/>
      <c r="E1184" s="133"/>
      <c r="F1184" s="69"/>
      <c r="G1184" s="9"/>
      <c r="H1184" s="9"/>
      <c r="I1184" s="60" t="str">
        <f t="shared" si="5"/>
        <v/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60" t="str">
        <f t="shared" si="1"/>
        <v/>
      </c>
      <c r="B1185" s="9"/>
      <c r="C1185" s="9"/>
      <c r="D1185" s="133"/>
      <c r="E1185" s="133"/>
      <c r="F1185" s="69"/>
      <c r="G1185" s="9"/>
      <c r="H1185" s="9"/>
      <c r="I1185" s="60" t="str">
        <f t="shared" si="5"/>
        <v/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60" t="str">
        <f t="shared" si="1"/>
        <v/>
      </c>
      <c r="B1186" s="9"/>
      <c r="C1186" s="9"/>
      <c r="D1186" s="133"/>
      <c r="E1186" s="133"/>
      <c r="F1186" s="69"/>
      <c r="G1186" s="9"/>
      <c r="H1186" s="9"/>
      <c r="I1186" s="60" t="str">
        <f t="shared" si="5"/>
        <v/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60" t="str">
        <f t="shared" si="1"/>
        <v/>
      </c>
      <c r="B1187" s="9"/>
      <c r="C1187" s="9"/>
      <c r="D1187" s="133"/>
      <c r="E1187" s="133"/>
      <c r="F1187" s="69"/>
      <c r="G1187" s="9"/>
      <c r="H1187" s="9"/>
      <c r="I1187" s="60" t="str">
        <f t="shared" si="5"/>
        <v/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60" t="str">
        <f t="shared" si="1"/>
        <v/>
      </c>
      <c r="B1188" s="9"/>
      <c r="C1188" s="9"/>
      <c r="D1188" s="133"/>
      <c r="E1188" s="133"/>
      <c r="F1188" s="69"/>
      <c r="G1188" s="9"/>
      <c r="H1188" s="9"/>
      <c r="I1188" s="60" t="str">
        <f t="shared" si="5"/>
        <v/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60" t="str">
        <f t="shared" si="1"/>
        <v/>
      </c>
      <c r="B1189" s="9"/>
      <c r="C1189" s="9"/>
      <c r="D1189" s="133"/>
      <c r="E1189" s="133"/>
      <c r="F1189" s="69"/>
      <c r="G1189" s="9"/>
      <c r="H1189" s="9"/>
      <c r="I1189" s="60" t="str">
        <f t="shared" si="5"/>
        <v/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60" t="str">
        <f t="shared" si="1"/>
        <v/>
      </c>
      <c r="B1190" s="9"/>
      <c r="C1190" s="9"/>
      <c r="D1190" s="133"/>
      <c r="E1190" s="133"/>
      <c r="F1190" s="69"/>
      <c r="G1190" s="9"/>
      <c r="H1190" s="9"/>
      <c r="I1190" s="60" t="str">
        <f t="shared" si="5"/>
        <v/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60" t="str">
        <f t="shared" si="1"/>
        <v/>
      </c>
      <c r="B1191" s="9"/>
      <c r="C1191" s="9"/>
      <c r="D1191" s="133"/>
      <c r="E1191" s="133"/>
      <c r="F1191" s="69"/>
      <c r="G1191" s="9"/>
      <c r="H1191" s="9"/>
      <c r="I1191" s="60" t="str">
        <f t="shared" si="5"/>
        <v/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60" t="str">
        <f t="shared" si="1"/>
        <v/>
      </c>
      <c r="B1192" s="9"/>
      <c r="C1192" s="9"/>
      <c r="D1192" s="133"/>
      <c r="E1192" s="133"/>
      <c r="F1192" s="69"/>
      <c r="G1192" s="9"/>
      <c r="H1192" s="9"/>
      <c r="I1192" s="60" t="str">
        <f t="shared" si="5"/>
        <v/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60" t="str">
        <f t="shared" si="1"/>
        <v/>
      </c>
      <c r="B1193" s="9"/>
      <c r="C1193" s="9"/>
      <c r="D1193" s="133"/>
      <c r="E1193" s="133"/>
      <c r="F1193" s="69"/>
      <c r="G1193" s="9"/>
      <c r="H1193" s="9"/>
      <c r="I1193" s="60" t="str">
        <f t="shared" si="5"/>
        <v/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60" t="str">
        <f t="shared" si="1"/>
        <v/>
      </c>
      <c r="B1194" s="9"/>
      <c r="C1194" s="9"/>
      <c r="D1194" s="133"/>
      <c r="E1194" s="133"/>
      <c r="F1194" s="69"/>
      <c r="G1194" s="9"/>
      <c r="H1194" s="9"/>
      <c r="I1194" s="60" t="str">
        <f t="shared" si="5"/>
        <v/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60" t="str">
        <f t="shared" si="1"/>
        <v/>
      </c>
      <c r="B1195" s="9"/>
      <c r="C1195" s="9"/>
      <c r="D1195" s="133"/>
      <c r="E1195" s="133"/>
      <c r="F1195" s="69"/>
      <c r="G1195" s="9"/>
      <c r="H1195" s="9"/>
      <c r="I1195" s="60" t="str">
        <f t="shared" si="5"/>
        <v/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60" t="str">
        <f t="shared" si="1"/>
        <v/>
      </c>
      <c r="B1196" s="9"/>
      <c r="C1196" s="9"/>
      <c r="D1196" s="133"/>
      <c r="E1196" s="133"/>
      <c r="F1196" s="69"/>
      <c r="G1196" s="9"/>
      <c r="H1196" s="9"/>
      <c r="I1196" s="60" t="str">
        <f t="shared" si="5"/>
        <v/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60" t="str">
        <f t="shared" si="1"/>
        <v/>
      </c>
      <c r="B1197" s="9"/>
      <c r="C1197" s="9"/>
      <c r="D1197" s="133"/>
      <c r="E1197" s="133"/>
      <c r="F1197" s="69"/>
      <c r="G1197" s="9"/>
      <c r="H1197" s="9"/>
      <c r="I1197" s="60" t="str">
        <f t="shared" si="5"/>
        <v/>
      </c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60" t="str">
        <f t="shared" si="1"/>
        <v/>
      </c>
      <c r="B1198" s="9"/>
      <c r="C1198" s="9"/>
      <c r="D1198" s="133"/>
      <c r="E1198" s="133"/>
      <c r="F1198" s="69"/>
      <c r="G1198" s="9"/>
      <c r="H1198" s="9"/>
      <c r="I1198" s="60" t="str">
        <f t="shared" si="5"/>
        <v/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60" t="str">
        <f t="shared" si="1"/>
        <v/>
      </c>
      <c r="B1199" s="9"/>
      <c r="C1199" s="9"/>
      <c r="D1199" s="133"/>
      <c r="E1199" s="133"/>
      <c r="F1199" s="69"/>
      <c r="G1199" s="9"/>
      <c r="H1199" s="9"/>
      <c r="I1199" s="60" t="str">
        <f t="shared" si="5"/>
        <v/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60" t="str">
        <f t="shared" si="1"/>
        <v/>
      </c>
      <c r="B1200" s="9"/>
      <c r="C1200" s="9"/>
      <c r="D1200" s="133"/>
      <c r="E1200" s="133"/>
      <c r="F1200" s="69"/>
      <c r="G1200" s="9"/>
      <c r="H1200" s="9"/>
      <c r="I1200" s="60" t="str">
        <f t="shared" si="5"/>
        <v/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60" t="str">
        <f t="shared" si="1"/>
        <v/>
      </c>
      <c r="B1201" s="9"/>
      <c r="C1201" s="9"/>
      <c r="D1201" s="133"/>
      <c r="E1201" s="133"/>
      <c r="F1201" s="69"/>
      <c r="G1201" s="9"/>
      <c r="H1201" s="9"/>
      <c r="I1201" s="60" t="str">
        <f t="shared" si="5"/>
        <v/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60" t="str">
        <f t="shared" si="1"/>
        <v/>
      </c>
      <c r="B1202" s="9"/>
      <c r="C1202" s="9"/>
      <c r="D1202" s="133"/>
      <c r="E1202" s="133"/>
      <c r="F1202" s="69"/>
      <c r="G1202" s="9"/>
      <c r="H1202" s="9"/>
      <c r="I1202" s="60" t="str">
        <f t="shared" si="5"/>
        <v/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60" t="str">
        <f t="shared" si="1"/>
        <v/>
      </c>
      <c r="B1203" s="9"/>
      <c r="C1203" s="9"/>
      <c r="D1203" s="133"/>
      <c r="E1203" s="133"/>
      <c r="F1203" s="69"/>
      <c r="G1203" s="9"/>
      <c r="H1203" s="9"/>
      <c r="I1203" s="60" t="str">
        <f t="shared" si="5"/>
        <v/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60" t="str">
        <f t="shared" si="1"/>
        <v/>
      </c>
      <c r="B1204" s="9"/>
      <c r="C1204" s="9"/>
      <c r="D1204" s="133"/>
      <c r="E1204" s="133"/>
      <c r="F1204" s="69"/>
      <c r="G1204" s="9"/>
      <c r="H1204" s="9"/>
      <c r="I1204" s="60" t="str">
        <f t="shared" si="5"/>
        <v/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60" t="str">
        <f t="shared" si="1"/>
        <v/>
      </c>
      <c r="B1205" s="9"/>
      <c r="C1205" s="9"/>
      <c r="D1205" s="133"/>
      <c r="E1205" s="133"/>
      <c r="F1205" s="69"/>
      <c r="G1205" s="9"/>
      <c r="H1205" s="9"/>
      <c r="I1205" s="60" t="str">
        <f t="shared" si="5"/>
        <v/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60" t="str">
        <f t="shared" si="1"/>
        <v/>
      </c>
      <c r="B1206" s="9"/>
      <c r="C1206" s="9"/>
      <c r="D1206" s="133"/>
      <c r="E1206" s="133"/>
      <c r="F1206" s="69"/>
      <c r="G1206" s="9"/>
      <c r="H1206" s="9"/>
      <c r="I1206" s="60" t="str">
        <f t="shared" si="5"/>
        <v/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60" t="str">
        <f t="shared" si="1"/>
        <v/>
      </c>
      <c r="B1207" s="9"/>
      <c r="C1207" s="9"/>
      <c r="D1207" s="133"/>
      <c r="E1207" s="133"/>
      <c r="F1207" s="69"/>
      <c r="G1207" s="9"/>
      <c r="H1207" s="9"/>
      <c r="I1207" s="60" t="str">
        <f t="shared" si="5"/>
        <v/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60" t="str">
        <f t="shared" si="1"/>
        <v/>
      </c>
      <c r="B1208" s="9"/>
      <c r="C1208" s="9"/>
      <c r="D1208" s="133"/>
      <c r="E1208" s="133"/>
      <c r="F1208" s="69"/>
      <c r="G1208" s="9"/>
      <c r="H1208" s="9"/>
      <c r="I1208" s="60" t="str">
        <f t="shared" si="5"/>
        <v/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60" t="str">
        <f t="shared" si="1"/>
        <v/>
      </c>
      <c r="B1209" s="9"/>
      <c r="C1209" s="9"/>
      <c r="D1209" s="133"/>
      <c r="E1209" s="133"/>
      <c r="F1209" s="69"/>
      <c r="G1209" s="9"/>
      <c r="H1209" s="9"/>
      <c r="I1209" s="60" t="str">
        <f t="shared" si="5"/>
        <v/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60" t="str">
        <f t="shared" si="1"/>
        <v/>
      </c>
      <c r="B1210" s="9"/>
      <c r="C1210" s="9"/>
      <c r="D1210" s="133"/>
      <c r="E1210" s="133"/>
      <c r="F1210" s="69"/>
      <c r="G1210" s="9"/>
      <c r="H1210" s="9"/>
      <c r="I1210" s="60" t="str">
        <f t="shared" si="5"/>
        <v/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60" t="str">
        <f t="shared" si="1"/>
        <v/>
      </c>
      <c r="B1211" s="9"/>
      <c r="C1211" s="9"/>
      <c r="D1211" s="133"/>
      <c r="E1211" s="133"/>
      <c r="F1211" s="69"/>
      <c r="G1211" s="9"/>
      <c r="H1211" s="9"/>
      <c r="I1211" s="60" t="str">
        <f t="shared" si="5"/>
        <v/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60" t="str">
        <f t="shared" si="1"/>
        <v/>
      </c>
      <c r="B1212" s="9"/>
      <c r="C1212" s="9"/>
      <c r="D1212" s="133"/>
      <c r="E1212" s="133"/>
      <c r="F1212" s="69"/>
      <c r="G1212" s="9"/>
      <c r="H1212" s="9"/>
      <c r="I1212" s="60" t="str">
        <f t="shared" si="5"/>
        <v/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60" t="str">
        <f t="shared" si="1"/>
        <v/>
      </c>
      <c r="B1213" s="9"/>
      <c r="C1213" s="9"/>
      <c r="D1213" s="133"/>
      <c r="E1213" s="133"/>
      <c r="F1213" s="69"/>
      <c r="G1213" s="9"/>
      <c r="H1213" s="9"/>
      <c r="I1213" s="60" t="str">
        <f t="shared" si="5"/>
        <v/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60" t="str">
        <f t="shared" si="1"/>
        <v/>
      </c>
      <c r="B1214" s="9"/>
      <c r="C1214" s="9"/>
      <c r="D1214" s="133"/>
      <c r="E1214" s="133"/>
      <c r="F1214" s="69"/>
      <c r="G1214" s="9"/>
      <c r="H1214" s="9"/>
      <c r="I1214" s="60" t="str">
        <f t="shared" si="5"/>
        <v/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60" t="str">
        <f t="shared" si="1"/>
        <v/>
      </c>
      <c r="B1215" s="9"/>
      <c r="C1215" s="9"/>
      <c r="D1215" s="133"/>
      <c r="E1215" s="133"/>
      <c r="F1215" s="69"/>
      <c r="G1215" s="9"/>
      <c r="H1215" s="9"/>
      <c r="I1215" s="60" t="str">
        <f t="shared" si="5"/>
        <v/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60" t="str">
        <f t="shared" si="1"/>
        <v/>
      </c>
      <c r="B1216" s="9"/>
      <c r="C1216" s="9"/>
      <c r="D1216" s="133"/>
      <c r="E1216" s="133"/>
      <c r="F1216" s="69"/>
      <c r="G1216" s="9"/>
      <c r="H1216" s="9"/>
      <c r="I1216" s="60" t="str">
        <f t="shared" si="5"/>
        <v/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60" t="str">
        <f t="shared" si="1"/>
        <v/>
      </c>
      <c r="B1217" s="9"/>
      <c r="C1217" s="9"/>
      <c r="D1217" s="133"/>
      <c r="E1217" s="133"/>
      <c r="F1217" s="69"/>
      <c r="G1217" s="9"/>
      <c r="H1217" s="9"/>
      <c r="I1217" s="60" t="str">
        <f t="shared" si="5"/>
        <v/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60" t="str">
        <f t="shared" si="1"/>
        <v/>
      </c>
      <c r="B1218" s="9"/>
      <c r="C1218" s="9"/>
      <c r="D1218" s="133"/>
      <c r="E1218" s="133"/>
      <c r="F1218" s="69"/>
      <c r="G1218" s="9"/>
      <c r="H1218" s="9"/>
      <c r="I1218" s="60" t="str">
        <f t="shared" si="5"/>
        <v/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60" t="str">
        <f t="shared" si="1"/>
        <v/>
      </c>
      <c r="B1219" s="9"/>
      <c r="C1219" s="9"/>
      <c r="D1219" s="133"/>
      <c r="E1219" s="133"/>
      <c r="F1219" s="69"/>
      <c r="G1219" s="9"/>
      <c r="H1219" s="9"/>
      <c r="I1219" s="60" t="str">
        <f t="shared" si="5"/>
        <v/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60" t="str">
        <f t="shared" si="1"/>
        <v/>
      </c>
      <c r="B1220" s="9"/>
      <c r="C1220" s="9"/>
      <c r="D1220" s="133"/>
      <c r="E1220" s="133"/>
      <c r="F1220" s="69"/>
      <c r="G1220" s="9"/>
      <c r="H1220" s="9"/>
      <c r="I1220" s="60" t="str">
        <f t="shared" si="5"/>
        <v/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60" t="str">
        <f t="shared" si="1"/>
        <v/>
      </c>
      <c r="B1221" s="9"/>
      <c r="C1221" s="9"/>
      <c r="D1221" s="133"/>
      <c r="E1221" s="133"/>
      <c r="F1221" s="69"/>
      <c r="G1221" s="9"/>
      <c r="H1221" s="9"/>
      <c r="I1221" s="60" t="str">
        <f t="shared" si="5"/>
        <v/>
      </c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60" t="str">
        <f t="shared" si="1"/>
        <v/>
      </c>
      <c r="B1222" s="9"/>
      <c r="C1222" s="9"/>
      <c r="D1222" s="133"/>
      <c r="E1222" s="133"/>
      <c r="F1222" s="69"/>
      <c r="G1222" s="9"/>
      <c r="H1222" s="9"/>
      <c r="I1222" s="60" t="str">
        <f t="shared" si="5"/>
        <v/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60" t="str">
        <f t="shared" si="1"/>
        <v/>
      </c>
      <c r="B1223" s="9"/>
      <c r="C1223" s="9"/>
      <c r="D1223" s="133"/>
      <c r="E1223" s="133"/>
      <c r="F1223" s="69"/>
      <c r="G1223" s="9"/>
      <c r="H1223" s="9"/>
      <c r="I1223" s="60" t="str">
        <f t="shared" si="5"/>
        <v/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60" t="str">
        <f t="shared" si="1"/>
        <v/>
      </c>
      <c r="B1224" s="9"/>
      <c r="C1224" s="9"/>
      <c r="D1224" s="133"/>
      <c r="E1224" s="133"/>
      <c r="F1224" s="69"/>
      <c r="G1224" s="9"/>
      <c r="H1224" s="9"/>
      <c r="I1224" s="60" t="str">
        <f t="shared" si="5"/>
        <v/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60" t="str">
        <f t="shared" si="1"/>
        <v/>
      </c>
      <c r="B1225" s="9"/>
      <c r="C1225" s="9"/>
      <c r="D1225" s="133"/>
      <c r="E1225" s="133"/>
      <c r="F1225" s="69"/>
      <c r="G1225" s="9"/>
      <c r="H1225" s="9"/>
      <c r="I1225" s="60" t="str">
        <f t="shared" si="5"/>
        <v/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60" t="str">
        <f t="shared" si="1"/>
        <v/>
      </c>
      <c r="B1226" s="9"/>
      <c r="C1226" s="9"/>
      <c r="D1226" s="133"/>
      <c r="E1226" s="133"/>
      <c r="F1226" s="69"/>
      <c r="G1226" s="9"/>
      <c r="H1226" s="9"/>
      <c r="I1226" s="60" t="str">
        <f t="shared" si="5"/>
        <v/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60" t="str">
        <f t="shared" si="1"/>
        <v/>
      </c>
      <c r="B1227" s="9"/>
      <c r="C1227" s="9"/>
      <c r="D1227" s="133"/>
      <c r="E1227" s="133"/>
      <c r="F1227" s="69"/>
      <c r="G1227" s="9"/>
      <c r="H1227" s="9"/>
      <c r="I1227" s="60" t="str">
        <f t="shared" si="5"/>
        <v/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60" t="str">
        <f t="shared" si="1"/>
        <v/>
      </c>
      <c r="B1228" s="9"/>
      <c r="C1228" s="9"/>
      <c r="D1228" s="133"/>
      <c r="E1228" s="133"/>
      <c r="F1228" s="69"/>
      <c r="G1228" s="9"/>
      <c r="H1228" s="9"/>
      <c r="I1228" s="60" t="str">
        <f t="shared" si="5"/>
        <v/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60" t="str">
        <f t="shared" si="1"/>
        <v/>
      </c>
      <c r="B1229" s="9"/>
      <c r="C1229" s="9"/>
      <c r="D1229" s="133"/>
      <c r="E1229" s="133"/>
      <c r="F1229" s="69"/>
      <c r="G1229" s="9"/>
      <c r="H1229" s="9"/>
      <c r="I1229" s="60" t="str">
        <f t="shared" si="5"/>
        <v/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60" t="str">
        <f t="shared" si="1"/>
        <v/>
      </c>
      <c r="B1230" s="9"/>
      <c r="C1230" s="9"/>
      <c r="D1230" s="133"/>
      <c r="E1230" s="133"/>
      <c r="F1230" s="69"/>
      <c r="G1230" s="9"/>
      <c r="H1230" s="9"/>
      <c r="I1230" s="60" t="str">
        <f t="shared" si="5"/>
        <v/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60" t="str">
        <f t="shared" si="1"/>
        <v/>
      </c>
      <c r="B1231" s="9"/>
      <c r="C1231" s="9"/>
      <c r="D1231" s="133"/>
      <c r="E1231" s="133"/>
      <c r="F1231" s="69"/>
      <c r="G1231" s="9"/>
      <c r="H1231" s="9"/>
      <c r="I1231" s="60" t="str">
        <f t="shared" si="5"/>
        <v/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60" t="str">
        <f t="shared" si="1"/>
        <v/>
      </c>
      <c r="B1232" s="9"/>
      <c r="C1232" s="9"/>
      <c r="D1232" s="133"/>
      <c r="E1232" s="133"/>
      <c r="F1232" s="69"/>
      <c r="G1232" s="9"/>
      <c r="H1232" s="9"/>
      <c r="I1232" s="60" t="str">
        <f t="shared" si="5"/>
        <v/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60" t="str">
        <f t="shared" si="1"/>
        <v/>
      </c>
      <c r="B1233" s="9"/>
      <c r="C1233" s="9"/>
      <c r="D1233" s="133"/>
      <c r="E1233" s="133"/>
      <c r="F1233" s="69"/>
      <c r="G1233" s="9"/>
      <c r="H1233" s="9"/>
      <c r="I1233" s="60" t="str">
        <f t="shared" si="5"/>
        <v/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60" t="str">
        <f t="shared" si="1"/>
        <v/>
      </c>
      <c r="B1234" s="9"/>
      <c r="C1234" s="9"/>
      <c r="D1234" s="133"/>
      <c r="E1234" s="133"/>
      <c r="F1234" s="69"/>
      <c r="G1234" s="9"/>
      <c r="H1234" s="9"/>
      <c r="I1234" s="60" t="str">
        <f t="shared" si="5"/>
        <v/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60" t="str">
        <f t="shared" si="1"/>
        <v/>
      </c>
      <c r="B1235" s="9"/>
      <c r="C1235" s="9"/>
      <c r="D1235" s="133"/>
      <c r="E1235" s="133"/>
      <c r="F1235" s="69"/>
      <c r="G1235" s="9"/>
      <c r="H1235" s="9"/>
      <c r="I1235" s="60" t="str">
        <f t="shared" si="5"/>
        <v/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60" t="str">
        <f t="shared" si="1"/>
        <v/>
      </c>
      <c r="B1236" s="9"/>
      <c r="C1236" s="9"/>
      <c r="D1236" s="133"/>
      <c r="E1236" s="133"/>
      <c r="F1236" s="69"/>
      <c r="G1236" s="9"/>
      <c r="H1236" s="9"/>
      <c r="I1236" s="60" t="str">
        <f t="shared" si="5"/>
        <v/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60" t="str">
        <f t="shared" si="1"/>
        <v/>
      </c>
      <c r="B1237" s="9"/>
      <c r="C1237" s="9"/>
      <c r="D1237" s="133"/>
      <c r="E1237" s="133"/>
      <c r="F1237" s="69"/>
      <c r="G1237" s="9"/>
      <c r="H1237" s="9"/>
      <c r="I1237" s="60" t="str">
        <f t="shared" si="5"/>
        <v/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60" t="str">
        <f t="shared" si="1"/>
        <v/>
      </c>
      <c r="B1238" s="9"/>
      <c r="C1238" s="9"/>
      <c r="D1238" s="133"/>
      <c r="E1238" s="133"/>
      <c r="F1238" s="69"/>
      <c r="G1238" s="9"/>
      <c r="H1238" s="9"/>
      <c r="I1238" s="60" t="str">
        <f t="shared" si="5"/>
        <v/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60" t="str">
        <f t="shared" si="1"/>
        <v/>
      </c>
      <c r="B1239" s="9"/>
      <c r="C1239" s="9"/>
      <c r="D1239" s="133"/>
      <c r="E1239" s="133"/>
      <c r="F1239" s="69"/>
      <c r="G1239" s="9"/>
      <c r="H1239" s="9"/>
      <c r="I1239" s="60" t="str">
        <f t="shared" si="5"/>
        <v/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60" t="str">
        <f t="shared" si="1"/>
        <v/>
      </c>
      <c r="B1240" s="9"/>
      <c r="C1240" s="9"/>
      <c r="D1240" s="133"/>
      <c r="E1240" s="133"/>
      <c r="F1240" s="69"/>
      <c r="G1240" s="9"/>
      <c r="H1240" s="9"/>
      <c r="I1240" s="60" t="str">
        <f t="shared" si="5"/>
        <v/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60" t="str">
        <f t="shared" si="1"/>
        <v/>
      </c>
      <c r="B1241" s="9"/>
      <c r="C1241" s="9"/>
      <c r="D1241" s="133"/>
      <c r="E1241" s="133"/>
      <c r="F1241" s="69"/>
      <c r="G1241" s="9"/>
      <c r="H1241" s="9"/>
      <c r="I1241" s="60" t="str">
        <f t="shared" si="5"/>
        <v/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60" t="str">
        <f t="shared" si="1"/>
        <v/>
      </c>
      <c r="B1242" s="9"/>
      <c r="C1242" s="9"/>
      <c r="D1242" s="133"/>
      <c r="E1242" s="133"/>
      <c r="F1242" s="69"/>
      <c r="G1242" s="9"/>
      <c r="H1242" s="9"/>
      <c r="I1242" s="60" t="str">
        <f t="shared" si="5"/>
        <v/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60" t="str">
        <f t="shared" si="1"/>
        <v/>
      </c>
      <c r="B1243" s="9"/>
      <c r="C1243" s="9"/>
      <c r="D1243" s="133"/>
      <c r="E1243" s="133"/>
      <c r="F1243" s="69"/>
      <c r="G1243" s="9"/>
      <c r="H1243" s="9"/>
      <c r="I1243" s="60" t="str">
        <f t="shared" si="5"/>
        <v/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60" t="str">
        <f t="shared" si="1"/>
        <v/>
      </c>
      <c r="B1244" s="9"/>
      <c r="C1244" s="9"/>
      <c r="D1244" s="133"/>
      <c r="E1244" s="133"/>
      <c r="F1244" s="69"/>
      <c r="G1244" s="9"/>
      <c r="H1244" s="9"/>
      <c r="I1244" s="60" t="str">
        <f t="shared" si="5"/>
        <v/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60" t="str">
        <f t="shared" si="1"/>
        <v/>
      </c>
      <c r="B1245" s="9"/>
      <c r="C1245" s="9"/>
      <c r="D1245" s="133"/>
      <c r="E1245" s="133"/>
      <c r="F1245" s="69"/>
      <c r="G1245" s="9"/>
      <c r="H1245" s="9"/>
      <c r="I1245" s="60" t="str">
        <f t="shared" si="5"/>
        <v/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60" t="str">
        <f t="shared" si="1"/>
        <v/>
      </c>
      <c r="B1246" s="9"/>
      <c r="C1246" s="9"/>
      <c r="D1246" s="133"/>
      <c r="E1246" s="133"/>
      <c r="F1246" s="69"/>
      <c r="G1246" s="9"/>
      <c r="H1246" s="9"/>
      <c r="I1246" s="60" t="str">
        <f t="shared" si="5"/>
        <v/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60" t="str">
        <f t="shared" si="1"/>
        <v/>
      </c>
      <c r="B1247" s="9"/>
      <c r="C1247" s="9"/>
      <c r="D1247" s="133"/>
      <c r="E1247" s="133"/>
      <c r="F1247" s="69"/>
      <c r="G1247" s="9"/>
      <c r="H1247" s="9"/>
      <c r="I1247" s="60" t="str">
        <f t="shared" si="5"/>
        <v/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60" t="str">
        <f t="shared" si="1"/>
        <v/>
      </c>
      <c r="B1248" s="9"/>
      <c r="C1248" s="9"/>
      <c r="D1248" s="133"/>
      <c r="E1248" s="133"/>
      <c r="F1248" s="69"/>
      <c r="G1248" s="9"/>
      <c r="H1248" s="9"/>
      <c r="I1248" s="60" t="str">
        <f t="shared" si="5"/>
        <v/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60" t="str">
        <f t="shared" si="1"/>
        <v/>
      </c>
      <c r="B1249" s="9"/>
      <c r="C1249" s="9"/>
      <c r="D1249" s="133"/>
      <c r="E1249" s="133"/>
      <c r="F1249" s="69"/>
      <c r="G1249" s="9"/>
      <c r="H1249" s="9"/>
      <c r="I1249" s="60" t="str">
        <f t="shared" si="5"/>
        <v/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60" t="str">
        <f t="shared" si="1"/>
        <v/>
      </c>
      <c r="B1250" s="9"/>
      <c r="C1250" s="9"/>
      <c r="D1250" s="133"/>
      <c r="E1250" s="133"/>
      <c r="F1250" s="69"/>
      <c r="G1250" s="9"/>
      <c r="H1250" s="9"/>
      <c r="I1250" s="60" t="str">
        <f t="shared" si="5"/>
        <v/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60" t="str">
        <f t="shared" si="1"/>
        <v/>
      </c>
      <c r="B1251" s="9"/>
      <c r="C1251" s="9"/>
      <c r="D1251" s="133"/>
      <c r="E1251" s="133"/>
      <c r="F1251" s="69"/>
      <c r="G1251" s="9"/>
      <c r="H1251" s="9"/>
      <c r="I1251" s="60" t="str">
        <f t="shared" si="5"/>
        <v/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60" t="str">
        <f t="shared" si="1"/>
        <v/>
      </c>
      <c r="B1252" s="9"/>
      <c r="C1252" s="9"/>
      <c r="D1252" s="133"/>
      <c r="E1252" s="133"/>
      <c r="F1252" s="69"/>
      <c r="G1252" s="9"/>
      <c r="H1252" s="9"/>
      <c r="I1252" s="60" t="str">
        <f t="shared" si="5"/>
        <v/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60" t="str">
        <f t="shared" si="1"/>
        <v/>
      </c>
      <c r="B1253" s="9"/>
      <c r="C1253" s="9"/>
      <c r="D1253" s="133"/>
      <c r="E1253" s="133"/>
      <c r="F1253" s="69"/>
      <c r="G1253" s="9"/>
      <c r="H1253" s="9"/>
      <c r="I1253" s="60" t="str">
        <f t="shared" si="5"/>
        <v/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60" t="str">
        <f t="shared" si="1"/>
        <v/>
      </c>
      <c r="B1254" s="9"/>
      <c r="C1254" s="9"/>
      <c r="D1254" s="133"/>
      <c r="E1254" s="133"/>
      <c r="F1254" s="69"/>
      <c r="G1254" s="9"/>
      <c r="H1254" s="9"/>
      <c r="I1254" s="60" t="str">
        <f t="shared" si="5"/>
        <v/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60" t="str">
        <f t="shared" si="1"/>
        <v/>
      </c>
      <c r="B1255" s="9"/>
      <c r="C1255" s="9"/>
      <c r="D1255" s="133"/>
      <c r="E1255" s="133"/>
      <c r="F1255" s="69"/>
      <c r="G1255" s="9"/>
      <c r="H1255" s="9"/>
      <c r="I1255" s="60" t="str">
        <f t="shared" si="5"/>
        <v/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60" t="str">
        <f t="shared" si="1"/>
        <v/>
      </c>
      <c r="B1256" s="9"/>
      <c r="C1256" s="9"/>
      <c r="D1256" s="133"/>
      <c r="E1256" s="133"/>
      <c r="F1256" s="69"/>
      <c r="G1256" s="9"/>
      <c r="H1256" s="9"/>
      <c r="I1256" s="60" t="str">
        <f t="shared" si="5"/>
        <v/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60" t="str">
        <f t="shared" si="1"/>
        <v/>
      </c>
      <c r="B1257" s="9"/>
      <c r="C1257" s="9"/>
      <c r="D1257" s="133"/>
      <c r="E1257" s="133"/>
      <c r="F1257" s="69"/>
      <c r="G1257" s="9"/>
      <c r="H1257" s="9"/>
      <c r="I1257" s="60" t="str">
        <f t="shared" si="5"/>
        <v/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60" t="str">
        <f t="shared" si="1"/>
        <v/>
      </c>
      <c r="B1258" s="9"/>
      <c r="C1258" s="9"/>
      <c r="D1258" s="133"/>
      <c r="E1258" s="133"/>
      <c r="F1258" s="69"/>
      <c r="G1258" s="9"/>
      <c r="H1258" s="9"/>
      <c r="I1258" s="60" t="str">
        <f t="shared" si="5"/>
        <v/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60" t="str">
        <f t="shared" si="1"/>
        <v/>
      </c>
      <c r="B1259" s="9"/>
      <c r="C1259" s="9"/>
      <c r="D1259" s="133"/>
      <c r="E1259" s="133"/>
      <c r="F1259" s="69"/>
      <c r="G1259" s="9"/>
      <c r="H1259" s="9"/>
      <c r="I1259" s="60" t="str">
        <f t="shared" si="5"/>
        <v/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60" t="str">
        <f t="shared" si="1"/>
        <v/>
      </c>
      <c r="B1260" s="9"/>
      <c r="C1260" s="9"/>
      <c r="D1260" s="133"/>
      <c r="E1260" s="133"/>
      <c r="F1260" s="69"/>
      <c r="G1260" s="9"/>
      <c r="H1260" s="9"/>
      <c r="I1260" s="60" t="str">
        <f t="shared" si="5"/>
        <v/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60" t="str">
        <f t="shared" si="1"/>
        <v/>
      </c>
      <c r="B1261" s="9"/>
      <c r="C1261" s="9"/>
      <c r="D1261" s="133"/>
      <c r="E1261" s="133"/>
      <c r="F1261" s="69"/>
      <c r="G1261" s="9"/>
      <c r="H1261" s="9"/>
      <c r="I1261" s="60" t="str">
        <f t="shared" si="5"/>
        <v/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60" t="str">
        <f t="shared" si="1"/>
        <v/>
      </c>
      <c r="B1262" s="9"/>
      <c r="C1262" s="9"/>
      <c r="D1262" s="133"/>
      <c r="E1262" s="133"/>
      <c r="F1262" s="69"/>
      <c r="G1262" s="9"/>
      <c r="H1262" s="9"/>
      <c r="I1262" s="60" t="str">
        <f t="shared" si="5"/>
        <v/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60" t="str">
        <f t="shared" si="1"/>
        <v/>
      </c>
      <c r="B1263" s="9"/>
      <c r="C1263" s="9"/>
      <c r="D1263" s="133"/>
      <c r="E1263" s="133"/>
      <c r="F1263" s="69"/>
      <c r="G1263" s="9"/>
      <c r="H1263" s="9"/>
      <c r="I1263" s="60" t="str">
        <f t="shared" si="5"/>
        <v/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60" t="str">
        <f t="shared" si="1"/>
        <v/>
      </c>
      <c r="B1264" s="9"/>
      <c r="C1264" s="9"/>
      <c r="D1264" s="133"/>
      <c r="E1264" s="133"/>
      <c r="F1264" s="69"/>
      <c r="G1264" s="9"/>
      <c r="H1264" s="9"/>
      <c r="I1264" s="60" t="str">
        <f t="shared" si="5"/>
        <v/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60" t="str">
        <f t="shared" si="1"/>
        <v/>
      </c>
      <c r="B1265" s="9"/>
      <c r="C1265" s="9"/>
      <c r="D1265" s="133"/>
      <c r="E1265" s="133"/>
      <c r="F1265" s="69"/>
      <c r="G1265" s="9"/>
      <c r="H1265" s="9"/>
      <c r="I1265" s="60" t="str">
        <f t="shared" si="5"/>
        <v/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60" t="str">
        <f t="shared" si="1"/>
        <v/>
      </c>
      <c r="B1266" s="9"/>
      <c r="C1266" s="9"/>
      <c r="D1266" s="133"/>
      <c r="E1266" s="133"/>
      <c r="F1266" s="69"/>
      <c r="G1266" s="9"/>
      <c r="H1266" s="9"/>
      <c r="I1266" s="60" t="str">
        <f t="shared" si="5"/>
        <v/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60" t="str">
        <f t="shared" si="1"/>
        <v/>
      </c>
      <c r="B1267" s="9"/>
      <c r="C1267" s="9"/>
      <c r="D1267" s="133"/>
      <c r="E1267" s="133"/>
      <c r="F1267" s="69"/>
      <c r="G1267" s="9"/>
      <c r="H1267" s="9"/>
      <c r="I1267" s="60" t="str">
        <f t="shared" si="5"/>
        <v/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60" t="str">
        <f t="shared" si="1"/>
        <v/>
      </c>
      <c r="B1268" s="9"/>
      <c r="C1268" s="9"/>
      <c r="D1268" s="133"/>
      <c r="E1268" s="133"/>
      <c r="F1268" s="69"/>
      <c r="G1268" s="9"/>
      <c r="H1268" s="9"/>
      <c r="I1268" s="60" t="str">
        <f t="shared" si="5"/>
        <v/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60" t="str">
        <f t="shared" si="1"/>
        <v/>
      </c>
      <c r="B1269" s="9"/>
      <c r="C1269" s="9"/>
      <c r="D1269" s="133"/>
      <c r="E1269" s="133"/>
      <c r="F1269" s="69"/>
      <c r="G1269" s="9"/>
      <c r="H1269" s="9"/>
      <c r="I1269" s="60" t="str">
        <f t="shared" si="5"/>
        <v/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60" t="str">
        <f t="shared" si="1"/>
        <v/>
      </c>
      <c r="B1270" s="9"/>
      <c r="C1270" s="9"/>
      <c r="D1270" s="133"/>
      <c r="E1270" s="133"/>
      <c r="F1270" s="69"/>
      <c r="G1270" s="9"/>
      <c r="H1270" s="9"/>
      <c r="I1270" s="60" t="str">
        <f t="shared" si="5"/>
        <v/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60" t="str">
        <f t="shared" si="1"/>
        <v/>
      </c>
      <c r="B1271" s="9"/>
      <c r="C1271" s="9"/>
      <c r="D1271" s="133"/>
      <c r="E1271" s="133"/>
      <c r="F1271" s="69"/>
      <c r="G1271" s="9"/>
      <c r="H1271" s="9"/>
      <c r="I1271" s="60" t="str">
        <f t="shared" si="5"/>
        <v/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60" t="str">
        <f t="shared" si="1"/>
        <v/>
      </c>
      <c r="B1272" s="9"/>
      <c r="C1272" s="9"/>
      <c r="D1272" s="133"/>
      <c r="E1272" s="133"/>
      <c r="F1272" s="69"/>
      <c r="G1272" s="9"/>
      <c r="H1272" s="9"/>
      <c r="I1272" s="60" t="str">
        <f t="shared" si="5"/>
        <v/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60" t="str">
        <f t="shared" si="1"/>
        <v/>
      </c>
      <c r="B1273" s="9"/>
      <c r="C1273" s="9"/>
      <c r="D1273" s="133"/>
      <c r="E1273" s="133"/>
      <c r="F1273" s="69"/>
      <c r="G1273" s="9"/>
      <c r="H1273" s="9"/>
      <c r="I1273" s="60" t="str">
        <f t="shared" si="5"/>
        <v/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60" t="str">
        <f t="shared" si="1"/>
        <v/>
      </c>
      <c r="B1274" s="9"/>
      <c r="C1274" s="9"/>
      <c r="D1274" s="133"/>
      <c r="E1274" s="133"/>
      <c r="F1274" s="69"/>
      <c r="G1274" s="9"/>
      <c r="H1274" s="9"/>
      <c r="I1274" s="60" t="str">
        <f t="shared" si="5"/>
        <v/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60" t="str">
        <f t="shared" si="1"/>
        <v/>
      </c>
      <c r="B1275" s="9"/>
      <c r="C1275" s="9"/>
      <c r="D1275" s="133"/>
      <c r="E1275" s="133"/>
      <c r="F1275" s="69"/>
      <c r="G1275" s="9"/>
      <c r="H1275" s="9"/>
      <c r="I1275" s="60" t="str">
        <f t="shared" si="5"/>
        <v/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60" t="str">
        <f t="shared" si="1"/>
        <v/>
      </c>
      <c r="B1276" s="9"/>
      <c r="C1276" s="9"/>
      <c r="D1276" s="133"/>
      <c r="E1276" s="133"/>
      <c r="F1276" s="69"/>
      <c r="G1276" s="9"/>
      <c r="H1276" s="9"/>
      <c r="I1276" s="60" t="str">
        <f t="shared" si="5"/>
        <v/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60" t="str">
        <f t="shared" si="1"/>
        <v/>
      </c>
      <c r="B1277" s="9"/>
      <c r="C1277" s="9"/>
      <c r="D1277" s="133"/>
      <c r="E1277" s="133"/>
      <c r="F1277" s="69"/>
      <c r="G1277" s="9"/>
      <c r="H1277" s="9"/>
      <c r="I1277" s="60" t="str">
        <f t="shared" si="5"/>
        <v/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60" t="str">
        <f t="shared" si="1"/>
        <v/>
      </c>
      <c r="B1278" s="9"/>
      <c r="C1278" s="9"/>
      <c r="D1278" s="133"/>
      <c r="E1278" s="133"/>
      <c r="F1278" s="69"/>
      <c r="G1278" s="9"/>
      <c r="H1278" s="9"/>
      <c r="I1278" s="60" t="str">
        <f t="shared" si="5"/>
        <v/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60" t="str">
        <f t="shared" si="1"/>
        <v/>
      </c>
      <c r="B1279" s="9"/>
      <c r="C1279" s="9"/>
      <c r="D1279" s="133"/>
      <c r="E1279" s="133"/>
      <c r="F1279" s="69"/>
      <c r="G1279" s="9"/>
      <c r="H1279" s="9"/>
      <c r="I1279" s="60" t="str">
        <f t="shared" si="5"/>
        <v/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60" t="str">
        <f t="shared" si="1"/>
        <v/>
      </c>
      <c r="B1280" s="9"/>
      <c r="C1280" s="9"/>
      <c r="D1280" s="133"/>
      <c r="E1280" s="133"/>
      <c r="F1280" s="69"/>
      <c r="G1280" s="9"/>
      <c r="H1280" s="9"/>
      <c r="I1280" s="60" t="str">
        <f t="shared" si="5"/>
        <v/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60" t="str">
        <f t="shared" si="1"/>
        <v/>
      </c>
      <c r="B1281" s="9"/>
      <c r="C1281" s="9"/>
      <c r="D1281" s="133"/>
      <c r="E1281" s="133"/>
      <c r="F1281" s="69"/>
      <c r="G1281" s="9"/>
      <c r="H1281" s="9"/>
      <c r="I1281" s="60" t="str">
        <f t="shared" si="5"/>
        <v/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60" t="str">
        <f t="shared" si="1"/>
        <v/>
      </c>
      <c r="B1282" s="9"/>
      <c r="C1282" s="9"/>
      <c r="D1282" s="133"/>
      <c r="E1282" s="133"/>
      <c r="F1282" s="69"/>
      <c r="G1282" s="9"/>
      <c r="H1282" s="9"/>
      <c r="I1282" s="60" t="str">
        <f t="shared" si="5"/>
        <v/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60" t="str">
        <f t="shared" si="1"/>
        <v/>
      </c>
      <c r="B1283" s="9"/>
      <c r="C1283" s="9"/>
      <c r="D1283" s="133"/>
      <c r="E1283" s="133"/>
      <c r="F1283" s="69"/>
      <c r="G1283" s="9"/>
      <c r="H1283" s="9"/>
      <c r="I1283" s="60" t="str">
        <f t="shared" si="5"/>
        <v/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60" t="str">
        <f t="shared" si="1"/>
        <v/>
      </c>
      <c r="B1284" s="9"/>
      <c r="C1284" s="9"/>
      <c r="D1284" s="133"/>
      <c r="E1284" s="133"/>
      <c r="F1284" s="69"/>
      <c r="G1284" s="9"/>
      <c r="H1284" s="9"/>
      <c r="I1284" s="60" t="str">
        <f t="shared" si="5"/>
        <v/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60" t="str">
        <f t="shared" si="1"/>
        <v/>
      </c>
      <c r="B1285" s="9"/>
      <c r="C1285" s="9"/>
      <c r="D1285" s="133"/>
      <c r="E1285" s="133"/>
      <c r="F1285" s="69"/>
      <c r="G1285" s="9"/>
      <c r="H1285" s="9"/>
      <c r="I1285" s="60" t="str">
        <f t="shared" si="5"/>
        <v/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60" t="str">
        <f t="shared" si="1"/>
        <v/>
      </c>
      <c r="B1286" s="9"/>
      <c r="C1286" s="9"/>
      <c r="D1286" s="133"/>
      <c r="E1286" s="133"/>
      <c r="F1286" s="69"/>
      <c r="G1286" s="9"/>
      <c r="H1286" s="9"/>
      <c r="I1286" s="60" t="str">
        <f t="shared" si="5"/>
        <v/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60" t="str">
        <f t="shared" si="1"/>
        <v/>
      </c>
      <c r="B1287" s="9"/>
      <c r="C1287" s="9"/>
      <c r="D1287" s="133"/>
      <c r="E1287" s="133"/>
      <c r="F1287" s="69"/>
      <c r="G1287" s="9"/>
      <c r="H1287" s="9"/>
      <c r="I1287" s="60" t="str">
        <f t="shared" si="5"/>
        <v/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60" t="str">
        <f t="shared" si="1"/>
        <v/>
      </c>
      <c r="B1288" s="9"/>
      <c r="C1288" s="9"/>
      <c r="D1288" s="133"/>
      <c r="E1288" s="133"/>
      <c r="F1288" s="69"/>
      <c r="G1288" s="9"/>
      <c r="H1288" s="9"/>
      <c r="I1288" s="60" t="str">
        <f t="shared" si="5"/>
        <v/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60" t="str">
        <f t="shared" si="1"/>
        <v/>
      </c>
      <c r="B1289" s="9"/>
      <c r="C1289" s="9"/>
      <c r="D1289" s="133"/>
      <c r="E1289" s="133"/>
      <c r="F1289" s="69"/>
      <c r="G1289" s="9"/>
      <c r="H1289" s="9"/>
      <c r="I1289" s="60" t="str">
        <f t="shared" si="5"/>
        <v/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60" t="str">
        <f t="shared" si="1"/>
        <v/>
      </c>
      <c r="B1290" s="9"/>
      <c r="C1290" s="9"/>
      <c r="D1290" s="133"/>
      <c r="E1290" s="133"/>
      <c r="F1290" s="69"/>
      <c r="G1290" s="9"/>
      <c r="H1290" s="9"/>
      <c r="I1290" s="60" t="str">
        <f t="shared" si="5"/>
        <v/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60" t="str">
        <f t="shared" si="1"/>
        <v/>
      </c>
      <c r="B1291" s="9"/>
      <c r="C1291" s="9"/>
      <c r="D1291" s="133"/>
      <c r="E1291" s="133"/>
      <c r="F1291" s="69"/>
      <c r="G1291" s="9"/>
      <c r="H1291" s="9"/>
      <c r="I1291" s="60" t="str">
        <f t="shared" si="5"/>
        <v/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60" t="str">
        <f t="shared" si="1"/>
        <v/>
      </c>
      <c r="B1292" s="9"/>
      <c r="C1292" s="9"/>
      <c r="D1292" s="133"/>
      <c r="E1292" s="133"/>
      <c r="F1292" s="69"/>
      <c r="G1292" s="9"/>
      <c r="H1292" s="9"/>
      <c r="I1292" s="60" t="str">
        <f t="shared" si="5"/>
        <v/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60" t="str">
        <f t="shared" si="1"/>
        <v/>
      </c>
      <c r="B1293" s="9"/>
      <c r="C1293" s="9"/>
      <c r="D1293" s="133"/>
      <c r="E1293" s="133"/>
      <c r="F1293" s="69"/>
      <c r="G1293" s="9"/>
      <c r="H1293" s="9"/>
      <c r="I1293" s="60" t="str">
        <f t="shared" si="5"/>
        <v/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60" t="str">
        <f t="shared" si="1"/>
        <v/>
      </c>
      <c r="B1294" s="9"/>
      <c r="C1294" s="9"/>
      <c r="D1294" s="133"/>
      <c r="E1294" s="133"/>
      <c r="F1294" s="69"/>
      <c r="G1294" s="9"/>
      <c r="H1294" s="9"/>
      <c r="I1294" s="60" t="str">
        <f t="shared" si="5"/>
        <v/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60" t="str">
        <f t="shared" si="1"/>
        <v/>
      </c>
      <c r="B1295" s="9"/>
      <c r="C1295" s="9"/>
      <c r="D1295" s="133"/>
      <c r="E1295" s="133"/>
      <c r="F1295" s="69"/>
      <c r="G1295" s="9"/>
      <c r="H1295" s="9"/>
      <c r="I1295" s="60" t="str">
        <f t="shared" si="5"/>
        <v/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60" t="str">
        <f t="shared" si="1"/>
        <v/>
      </c>
      <c r="B1296" s="9"/>
      <c r="C1296" s="9"/>
      <c r="D1296" s="133"/>
      <c r="E1296" s="133"/>
      <c r="F1296" s="69"/>
      <c r="G1296" s="9"/>
      <c r="H1296" s="9"/>
      <c r="I1296" s="60" t="str">
        <f t="shared" si="5"/>
        <v/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60" t="str">
        <f t="shared" si="1"/>
        <v/>
      </c>
      <c r="B1297" s="9"/>
      <c r="C1297" s="9"/>
      <c r="D1297" s="133"/>
      <c r="E1297" s="133"/>
      <c r="F1297" s="69"/>
      <c r="G1297" s="9"/>
      <c r="H1297" s="9"/>
      <c r="I1297" s="60" t="str">
        <f t="shared" si="5"/>
        <v/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60" t="str">
        <f t="shared" si="1"/>
        <v/>
      </c>
      <c r="B1298" s="9"/>
      <c r="C1298" s="9"/>
      <c r="D1298" s="133"/>
      <c r="E1298" s="133"/>
      <c r="F1298" s="69"/>
      <c r="G1298" s="9"/>
      <c r="H1298" s="9"/>
      <c r="I1298" s="60" t="str">
        <f t="shared" si="5"/>
        <v/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60" t="str">
        <f t="shared" si="1"/>
        <v/>
      </c>
      <c r="B1299" s="9"/>
      <c r="C1299" s="9"/>
      <c r="D1299" s="133"/>
      <c r="E1299" s="133"/>
      <c r="F1299" s="69"/>
      <c r="G1299" s="9"/>
      <c r="H1299" s="9"/>
      <c r="I1299" s="60" t="str">
        <f t="shared" si="5"/>
        <v/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60" t="str">
        <f t="shared" si="1"/>
        <v/>
      </c>
      <c r="B1300" s="9"/>
      <c r="C1300" s="9"/>
      <c r="D1300" s="133"/>
      <c r="E1300" s="133"/>
      <c r="F1300" s="69"/>
      <c r="G1300" s="9"/>
      <c r="H1300" s="9"/>
      <c r="I1300" s="60" t="str">
        <f t="shared" si="5"/>
        <v/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60" t="str">
        <f t="shared" si="1"/>
        <v/>
      </c>
      <c r="B1301" s="9"/>
      <c r="C1301" s="9"/>
      <c r="D1301" s="133"/>
      <c r="E1301" s="133"/>
      <c r="F1301" s="69"/>
      <c r="G1301" s="9"/>
      <c r="H1301" s="9"/>
      <c r="I1301" s="60" t="str">
        <f t="shared" si="5"/>
        <v/>
      </c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60" t="str">
        <f t="shared" si="1"/>
        <v/>
      </c>
      <c r="B1302" s="9"/>
      <c r="C1302" s="9"/>
      <c r="D1302" s="133"/>
      <c r="E1302" s="133"/>
      <c r="F1302" s="69"/>
      <c r="G1302" s="9"/>
      <c r="H1302" s="9"/>
      <c r="I1302" s="60" t="str">
        <f t="shared" si="5"/>
        <v/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60" t="str">
        <f t="shared" si="1"/>
        <v/>
      </c>
      <c r="B1303" s="9"/>
      <c r="C1303" s="9"/>
      <c r="D1303" s="133"/>
      <c r="E1303" s="133"/>
      <c r="F1303" s="69"/>
      <c r="G1303" s="9"/>
      <c r="H1303" s="9"/>
      <c r="I1303" s="60" t="str">
        <f t="shared" si="5"/>
        <v/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60" t="str">
        <f t="shared" si="1"/>
        <v/>
      </c>
      <c r="B1304" s="9"/>
      <c r="C1304" s="9"/>
      <c r="D1304" s="133"/>
      <c r="E1304" s="133"/>
      <c r="F1304" s="69"/>
      <c r="G1304" s="9"/>
      <c r="H1304" s="9"/>
      <c r="I1304" s="60" t="str">
        <f t="shared" si="5"/>
        <v/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60" t="str">
        <f t="shared" si="1"/>
        <v/>
      </c>
      <c r="B1305" s="9"/>
      <c r="C1305" s="9"/>
      <c r="D1305" s="133"/>
      <c r="E1305" s="133"/>
      <c r="F1305" s="69"/>
      <c r="G1305" s="9"/>
      <c r="H1305" s="9"/>
      <c r="I1305" s="60" t="str">
        <f t="shared" si="5"/>
        <v/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60" t="str">
        <f t="shared" si="1"/>
        <v/>
      </c>
      <c r="B1306" s="9"/>
      <c r="C1306" s="9"/>
      <c r="D1306" s="133"/>
      <c r="E1306" s="133"/>
      <c r="F1306" s="69"/>
      <c r="G1306" s="9"/>
      <c r="H1306" s="9"/>
      <c r="I1306" s="60" t="str">
        <f t="shared" si="5"/>
        <v/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60" t="str">
        <f t="shared" si="1"/>
        <v/>
      </c>
      <c r="B1307" s="9"/>
      <c r="C1307" s="9"/>
      <c r="D1307" s="133"/>
      <c r="E1307" s="133"/>
      <c r="F1307" s="69"/>
      <c r="G1307" s="9"/>
      <c r="H1307" s="9"/>
      <c r="I1307" s="60" t="str">
        <f t="shared" si="5"/>
        <v/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60" t="str">
        <f t="shared" si="1"/>
        <v/>
      </c>
      <c r="B1308" s="9"/>
      <c r="C1308" s="9"/>
      <c r="D1308" s="133"/>
      <c r="E1308" s="133"/>
      <c r="F1308" s="69"/>
      <c r="G1308" s="9"/>
      <c r="H1308" s="9"/>
      <c r="I1308" s="60" t="str">
        <f t="shared" si="5"/>
        <v/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60" t="str">
        <f t="shared" si="1"/>
        <v/>
      </c>
      <c r="B1309" s="9"/>
      <c r="C1309" s="9"/>
      <c r="D1309" s="133"/>
      <c r="E1309" s="133"/>
      <c r="F1309" s="69"/>
      <c r="G1309" s="9"/>
      <c r="H1309" s="9"/>
      <c r="I1309" s="60" t="str">
        <f t="shared" si="5"/>
        <v/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60" t="str">
        <f t="shared" si="1"/>
        <v/>
      </c>
      <c r="B1310" s="9"/>
      <c r="C1310" s="9"/>
      <c r="D1310" s="133"/>
      <c r="E1310" s="133"/>
      <c r="F1310" s="69"/>
      <c r="G1310" s="9"/>
      <c r="H1310" s="9"/>
      <c r="I1310" s="60" t="str">
        <f t="shared" si="5"/>
        <v/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60" t="str">
        <f t="shared" si="1"/>
        <v/>
      </c>
      <c r="B1311" s="9"/>
      <c r="C1311" s="9"/>
      <c r="D1311" s="133"/>
      <c r="E1311" s="133"/>
      <c r="F1311" s="69"/>
      <c r="G1311" s="9"/>
      <c r="H1311" s="9"/>
      <c r="I1311" s="60" t="str">
        <f t="shared" si="5"/>
        <v/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60" t="str">
        <f t="shared" si="1"/>
        <v/>
      </c>
      <c r="B1312" s="9"/>
      <c r="C1312" s="9"/>
      <c r="D1312" s="133"/>
      <c r="E1312" s="133"/>
      <c r="F1312" s="69"/>
      <c r="G1312" s="9"/>
      <c r="H1312" s="9"/>
      <c r="I1312" s="60" t="str">
        <f t="shared" si="5"/>
        <v/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60" t="str">
        <f t="shared" si="1"/>
        <v/>
      </c>
      <c r="B1313" s="9"/>
      <c r="C1313" s="9"/>
      <c r="D1313" s="133"/>
      <c r="E1313" s="133"/>
      <c r="F1313" s="69"/>
      <c r="G1313" s="9"/>
      <c r="H1313" s="9"/>
      <c r="I1313" s="60" t="str">
        <f t="shared" si="5"/>
        <v/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60" t="str">
        <f t="shared" si="1"/>
        <v/>
      </c>
      <c r="B1314" s="9"/>
      <c r="C1314" s="9"/>
      <c r="D1314" s="133"/>
      <c r="E1314" s="133"/>
      <c r="F1314" s="69"/>
      <c r="G1314" s="9"/>
      <c r="H1314" s="9"/>
      <c r="I1314" s="60" t="str">
        <f t="shared" si="5"/>
        <v/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60" t="str">
        <f t="shared" si="1"/>
        <v/>
      </c>
      <c r="B1315" s="9"/>
      <c r="C1315" s="9"/>
      <c r="D1315" s="133"/>
      <c r="E1315" s="133"/>
      <c r="F1315" s="69"/>
      <c r="G1315" s="9"/>
      <c r="H1315" s="9"/>
      <c r="I1315" s="60" t="str">
        <f t="shared" si="5"/>
        <v/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60" t="str">
        <f t="shared" si="1"/>
        <v/>
      </c>
      <c r="B1316" s="9"/>
      <c r="C1316" s="9"/>
      <c r="D1316" s="133"/>
      <c r="E1316" s="133"/>
      <c r="F1316" s="69"/>
      <c r="G1316" s="9"/>
      <c r="H1316" s="9"/>
      <c r="I1316" s="60" t="str">
        <f t="shared" si="5"/>
        <v/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60" t="str">
        <f t="shared" si="1"/>
        <v/>
      </c>
      <c r="B1317" s="9"/>
      <c r="C1317" s="9"/>
      <c r="D1317" s="133"/>
      <c r="E1317" s="133"/>
      <c r="F1317" s="69"/>
      <c r="G1317" s="9"/>
      <c r="H1317" s="9"/>
      <c r="I1317" s="60" t="str">
        <f t="shared" si="5"/>
        <v/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60" t="str">
        <f t="shared" si="1"/>
        <v/>
      </c>
      <c r="B1318" s="9"/>
      <c r="C1318" s="9"/>
      <c r="D1318" s="133"/>
      <c r="E1318" s="133"/>
      <c r="F1318" s="69"/>
      <c r="G1318" s="9"/>
      <c r="H1318" s="9"/>
      <c r="I1318" s="60" t="str">
        <f t="shared" si="5"/>
        <v/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60" t="str">
        <f t="shared" si="1"/>
        <v/>
      </c>
      <c r="B1319" s="9"/>
      <c r="C1319" s="9"/>
      <c r="D1319" s="133"/>
      <c r="E1319" s="133"/>
      <c r="F1319" s="69"/>
      <c r="G1319" s="9"/>
      <c r="H1319" s="9"/>
      <c r="I1319" s="60" t="str">
        <f t="shared" si="5"/>
        <v/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60" t="str">
        <f t="shared" si="1"/>
        <v/>
      </c>
      <c r="B1320" s="9"/>
      <c r="C1320" s="9"/>
      <c r="D1320" s="133"/>
      <c r="E1320" s="133"/>
      <c r="F1320" s="69"/>
      <c r="G1320" s="9"/>
      <c r="H1320" s="9"/>
      <c r="I1320" s="60" t="str">
        <f t="shared" si="5"/>
        <v/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60" t="str">
        <f t="shared" si="1"/>
        <v/>
      </c>
      <c r="B1321" s="9"/>
      <c r="C1321" s="9"/>
      <c r="D1321" s="133"/>
      <c r="E1321" s="133"/>
      <c r="F1321" s="69"/>
      <c r="G1321" s="9"/>
      <c r="H1321" s="9"/>
      <c r="I1321" s="60" t="str">
        <f t="shared" si="5"/>
        <v/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60" t="str">
        <f t="shared" si="1"/>
        <v/>
      </c>
      <c r="B1322" s="9"/>
      <c r="C1322" s="9"/>
      <c r="D1322" s="133"/>
      <c r="E1322" s="133"/>
      <c r="F1322" s="69"/>
      <c r="G1322" s="9"/>
      <c r="H1322" s="9"/>
      <c r="I1322" s="60" t="str">
        <f t="shared" si="5"/>
        <v/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60" t="str">
        <f t="shared" si="1"/>
        <v/>
      </c>
      <c r="B1323" s="9"/>
      <c r="C1323" s="9"/>
      <c r="D1323" s="133"/>
      <c r="E1323" s="133"/>
      <c r="F1323" s="69"/>
      <c r="G1323" s="9"/>
      <c r="H1323" s="9"/>
      <c r="I1323" s="60" t="str">
        <f t="shared" si="5"/>
        <v/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60" t="str">
        <f t="shared" si="1"/>
        <v/>
      </c>
      <c r="B1324" s="9"/>
      <c r="C1324" s="9"/>
      <c r="D1324" s="133"/>
      <c r="E1324" s="133"/>
      <c r="F1324" s="69"/>
      <c r="G1324" s="9"/>
      <c r="H1324" s="9"/>
      <c r="I1324" s="60" t="str">
        <f t="shared" si="5"/>
        <v/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60" t="str">
        <f t="shared" si="1"/>
        <v/>
      </c>
      <c r="B1325" s="9"/>
      <c r="C1325" s="9"/>
      <c r="D1325" s="133"/>
      <c r="E1325" s="133"/>
      <c r="F1325" s="69"/>
      <c r="G1325" s="9"/>
      <c r="H1325" s="9"/>
      <c r="I1325" s="60" t="str">
        <f t="shared" si="5"/>
        <v/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60" t="str">
        <f t="shared" si="1"/>
        <v/>
      </c>
      <c r="B1326" s="9"/>
      <c r="C1326" s="9"/>
      <c r="D1326" s="133"/>
      <c r="E1326" s="133"/>
      <c r="F1326" s="69"/>
      <c r="G1326" s="9"/>
      <c r="H1326" s="9"/>
      <c r="I1326" s="60" t="str">
        <f t="shared" si="5"/>
        <v/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60" t="str">
        <f t="shared" si="1"/>
        <v/>
      </c>
      <c r="B1327" s="9"/>
      <c r="C1327" s="9"/>
      <c r="D1327" s="133"/>
      <c r="E1327" s="133"/>
      <c r="F1327" s="69"/>
      <c r="G1327" s="9"/>
      <c r="H1327" s="9"/>
      <c r="I1327" s="60" t="str">
        <f t="shared" si="5"/>
        <v/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60" t="str">
        <f t="shared" si="1"/>
        <v/>
      </c>
      <c r="B1328" s="9"/>
      <c r="C1328" s="9"/>
      <c r="D1328" s="133"/>
      <c r="E1328" s="133"/>
      <c r="F1328" s="69"/>
      <c r="G1328" s="9"/>
      <c r="H1328" s="9"/>
      <c r="I1328" s="60" t="str">
        <f t="shared" si="5"/>
        <v/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60" t="str">
        <f t="shared" si="1"/>
        <v/>
      </c>
      <c r="B1329" s="9"/>
      <c r="C1329" s="9"/>
      <c r="D1329" s="133"/>
      <c r="E1329" s="133"/>
      <c r="F1329" s="69"/>
      <c r="G1329" s="9"/>
      <c r="H1329" s="9"/>
      <c r="I1329" s="60" t="str">
        <f t="shared" si="5"/>
        <v/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60" t="str">
        <f t="shared" si="1"/>
        <v/>
      </c>
      <c r="B1330" s="9"/>
      <c r="C1330" s="9"/>
      <c r="D1330" s="133"/>
      <c r="E1330" s="133"/>
      <c r="F1330" s="69"/>
      <c r="G1330" s="9"/>
      <c r="H1330" s="9"/>
      <c r="I1330" s="60" t="str">
        <f t="shared" si="5"/>
        <v/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60" t="str">
        <f t="shared" si="1"/>
        <v/>
      </c>
      <c r="B1331" s="9"/>
      <c r="C1331" s="9"/>
      <c r="D1331" s="133"/>
      <c r="E1331" s="133"/>
      <c r="F1331" s="69"/>
      <c r="G1331" s="9"/>
      <c r="H1331" s="9"/>
      <c r="I1331" s="60" t="str">
        <f t="shared" si="5"/>
        <v/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60" t="str">
        <f t="shared" si="1"/>
        <v/>
      </c>
      <c r="B1332" s="9"/>
      <c r="C1332" s="9"/>
      <c r="D1332" s="133"/>
      <c r="E1332" s="133"/>
      <c r="F1332" s="69"/>
      <c r="G1332" s="9"/>
      <c r="H1332" s="9"/>
      <c r="I1332" s="60" t="str">
        <f t="shared" si="5"/>
        <v/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60" t="str">
        <f t="shared" si="1"/>
        <v/>
      </c>
      <c r="B1333" s="9"/>
      <c r="C1333" s="9"/>
      <c r="D1333" s="133"/>
      <c r="E1333" s="133"/>
      <c r="F1333" s="69"/>
      <c r="G1333" s="9"/>
      <c r="H1333" s="9"/>
      <c r="I1333" s="60" t="str">
        <f t="shared" si="5"/>
        <v/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60" t="str">
        <f t="shared" si="1"/>
        <v/>
      </c>
      <c r="B1334" s="9"/>
      <c r="C1334" s="9"/>
      <c r="D1334" s="133"/>
      <c r="E1334" s="133"/>
      <c r="F1334" s="69"/>
      <c r="G1334" s="9"/>
      <c r="H1334" s="9"/>
      <c r="I1334" s="60" t="str">
        <f t="shared" si="5"/>
        <v/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60" t="str">
        <f t="shared" si="1"/>
        <v/>
      </c>
      <c r="B1335" s="9"/>
      <c r="C1335" s="9"/>
      <c r="D1335" s="133"/>
      <c r="E1335" s="133"/>
      <c r="F1335" s="69"/>
      <c r="G1335" s="9"/>
      <c r="H1335" s="9"/>
      <c r="I1335" s="60" t="str">
        <f t="shared" si="5"/>
        <v/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60" t="str">
        <f t="shared" si="1"/>
        <v/>
      </c>
      <c r="B1336" s="9"/>
      <c r="C1336" s="9"/>
      <c r="D1336" s="133"/>
      <c r="E1336" s="133"/>
      <c r="F1336" s="69"/>
      <c r="G1336" s="9"/>
      <c r="H1336" s="9"/>
      <c r="I1336" s="60" t="str">
        <f t="shared" si="5"/>
        <v/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60" t="str">
        <f t="shared" si="1"/>
        <v/>
      </c>
      <c r="B1337" s="9"/>
      <c r="C1337" s="9"/>
      <c r="D1337" s="133"/>
      <c r="E1337" s="133"/>
      <c r="F1337" s="69"/>
      <c r="G1337" s="9"/>
      <c r="H1337" s="9"/>
      <c r="I1337" s="60" t="str">
        <f t="shared" si="5"/>
        <v/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60" t="str">
        <f t="shared" si="1"/>
        <v/>
      </c>
      <c r="B1338" s="9"/>
      <c r="C1338" s="9"/>
      <c r="D1338" s="133"/>
      <c r="E1338" s="133"/>
      <c r="F1338" s="69"/>
      <c r="G1338" s="9"/>
      <c r="H1338" s="9"/>
      <c r="I1338" s="60" t="str">
        <f t="shared" si="5"/>
        <v/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60" t="str">
        <f t="shared" si="1"/>
        <v/>
      </c>
      <c r="B1339" s="9"/>
      <c r="C1339" s="9"/>
      <c r="D1339" s="133"/>
      <c r="E1339" s="133"/>
      <c r="F1339" s="69"/>
      <c r="G1339" s="9"/>
      <c r="H1339" s="9"/>
      <c r="I1339" s="60" t="str">
        <f t="shared" si="5"/>
        <v/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60" t="str">
        <f t="shared" si="1"/>
        <v/>
      </c>
      <c r="B1340" s="9"/>
      <c r="C1340" s="9"/>
      <c r="D1340" s="133"/>
      <c r="E1340" s="133"/>
      <c r="F1340" s="69"/>
      <c r="G1340" s="9"/>
      <c r="H1340" s="9"/>
      <c r="I1340" s="60" t="str">
        <f t="shared" si="5"/>
        <v/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60" t="str">
        <f t="shared" si="1"/>
        <v/>
      </c>
      <c r="B1341" s="9"/>
      <c r="C1341" s="9"/>
      <c r="D1341" s="133"/>
      <c r="E1341" s="133"/>
      <c r="F1341" s="69"/>
      <c r="G1341" s="9"/>
      <c r="H1341" s="9"/>
      <c r="I1341" s="60" t="str">
        <f t="shared" si="5"/>
        <v/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60" t="str">
        <f t="shared" si="1"/>
        <v/>
      </c>
      <c r="B1342" s="9"/>
      <c r="C1342" s="9"/>
      <c r="D1342" s="133"/>
      <c r="E1342" s="133"/>
      <c r="F1342" s="69"/>
      <c r="G1342" s="9"/>
      <c r="H1342" s="9"/>
      <c r="I1342" s="60" t="str">
        <f t="shared" si="5"/>
        <v/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60" t="str">
        <f t="shared" si="1"/>
        <v/>
      </c>
      <c r="B1343" s="9"/>
      <c r="C1343" s="9"/>
      <c r="D1343" s="133"/>
      <c r="E1343" s="133"/>
      <c r="F1343" s="69"/>
      <c r="G1343" s="9"/>
      <c r="H1343" s="9"/>
      <c r="I1343" s="60" t="str">
        <f t="shared" si="5"/>
        <v/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60" t="str">
        <f t="shared" si="1"/>
        <v/>
      </c>
      <c r="B1344" s="9"/>
      <c r="C1344" s="9"/>
      <c r="D1344" s="133"/>
      <c r="E1344" s="133"/>
      <c r="F1344" s="69"/>
      <c r="G1344" s="9"/>
      <c r="H1344" s="9"/>
      <c r="I1344" s="60" t="str">
        <f t="shared" si="5"/>
        <v/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60" t="str">
        <f t="shared" si="1"/>
        <v/>
      </c>
      <c r="B1345" s="9"/>
      <c r="C1345" s="9"/>
      <c r="D1345" s="133"/>
      <c r="E1345" s="133"/>
      <c r="F1345" s="69"/>
      <c r="G1345" s="9"/>
      <c r="H1345" s="9"/>
      <c r="I1345" s="60" t="str">
        <f t="shared" si="5"/>
        <v/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60" t="str">
        <f t="shared" si="1"/>
        <v/>
      </c>
      <c r="B1346" s="9"/>
      <c r="C1346" s="9"/>
      <c r="D1346" s="133"/>
      <c r="E1346" s="133"/>
      <c r="F1346" s="69"/>
      <c r="G1346" s="9"/>
      <c r="H1346" s="9"/>
      <c r="I1346" s="60" t="str">
        <f t="shared" si="5"/>
        <v/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60" t="str">
        <f t="shared" si="1"/>
        <v/>
      </c>
      <c r="B1347" s="9"/>
      <c r="C1347" s="9"/>
      <c r="D1347" s="133"/>
      <c r="E1347" s="133"/>
      <c r="F1347" s="69"/>
      <c r="G1347" s="9"/>
      <c r="H1347" s="9"/>
      <c r="I1347" s="60" t="str">
        <f t="shared" si="5"/>
        <v/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60" t="str">
        <f t="shared" si="1"/>
        <v/>
      </c>
      <c r="B1348" s="9"/>
      <c r="C1348" s="9"/>
      <c r="D1348" s="133"/>
      <c r="E1348" s="133"/>
      <c r="F1348" s="69"/>
      <c r="G1348" s="9"/>
      <c r="H1348" s="9"/>
      <c r="I1348" s="60" t="str">
        <f t="shared" si="5"/>
        <v/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60" t="str">
        <f t="shared" si="1"/>
        <v/>
      </c>
      <c r="B1349" s="9"/>
      <c r="C1349" s="9"/>
      <c r="D1349" s="133"/>
      <c r="E1349" s="133"/>
      <c r="F1349" s="69"/>
      <c r="G1349" s="9"/>
      <c r="H1349" s="9"/>
      <c r="I1349" s="60" t="str">
        <f t="shared" si="5"/>
        <v/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60" t="str">
        <f t="shared" si="1"/>
        <v/>
      </c>
      <c r="B1350" s="9"/>
      <c r="C1350" s="9"/>
      <c r="D1350" s="133"/>
      <c r="E1350" s="133"/>
      <c r="F1350" s="69"/>
      <c r="G1350" s="9"/>
      <c r="H1350" s="9"/>
      <c r="I1350" s="60" t="str">
        <f t="shared" si="5"/>
        <v/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60" t="str">
        <f t="shared" si="1"/>
        <v/>
      </c>
      <c r="B1351" s="9"/>
      <c r="C1351" s="9"/>
      <c r="D1351" s="133"/>
      <c r="E1351" s="133"/>
      <c r="F1351" s="69"/>
      <c r="G1351" s="9"/>
      <c r="H1351" s="9"/>
      <c r="I1351" s="60" t="str">
        <f t="shared" si="5"/>
        <v/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60" t="str">
        <f t="shared" si="1"/>
        <v/>
      </c>
      <c r="B1352" s="9"/>
      <c r="C1352" s="9"/>
      <c r="D1352" s="133"/>
      <c r="E1352" s="133"/>
      <c r="F1352" s="69"/>
      <c r="G1352" s="9"/>
      <c r="H1352" s="9"/>
      <c r="I1352" s="60" t="str">
        <f t="shared" si="5"/>
        <v/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60" t="str">
        <f t="shared" si="1"/>
        <v/>
      </c>
      <c r="B1353" s="9"/>
      <c r="C1353" s="9"/>
      <c r="D1353" s="133"/>
      <c r="E1353" s="133"/>
      <c r="F1353" s="69"/>
      <c r="G1353" s="9"/>
      <c r="H1353" s="9"/>
      <c r="I1353" s="60" t="str">
        <f t="shared" si="5"/>
        <v/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60" t="str">
        <f t="shared" si="1"/>
        <v/>
      </c>
      <c r="B1354" s="9"/>
      <c r="C1354" s="9"/>
      <c r="D1354" s="133"/>
      <c r="E1354" s="133"/>
      <c r="F1354" s="69"/>
      <c r="G1354" s="9"/>
      <c r="H1354" s="9"/>
      <c r="I1354" s="60" t="str">
        <f t="shared" si="5"/>
        <v/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60" t="str">
        <f t="shared" si="1"/>
        <v/>
      </c>
      <c r="B1355" s="9"/>
      <c r="C1355" s="9"/>
      <c r="D1355" s="133"/>
      <c r="E1355" s="133"/>
      <c r="F1355" s="69"/>
      <c r="G1355" s="9"/>
      <c r="H1355" s="9"/>
      <c r="I1355" s="60" t="str">
        <f t="shared" si="5"/>
        <v/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60" t="str">
        <f t="shared" si="1"/>
        <v/>
      </c>
      <c r="B1356" s="9"/>
      <c r="C1356" s="9"/>
      <c r="D1356" s="133"/>
      <c r="E1356" s="133"/>
      <c r="F1356" s="69"/>
      <c r="G1356" s="9"/>
      <c r="H1356" s="9"/>
      <c r="I1356" s="60" t="str">
        <f t="shared" si="5"/>
        <v/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60" t="str">
        <f t="shared" si="1"/>
        <v/>
      </c>
      <c r="B1357" s="9"/>
      <c r="C1357" s="9"/>
      <c r="D1357" s="133"/>
      <c r="E1357" s="133"/>
      <c r="F1357" s="69"/>
      <c r="G1357" s="9"/>
      <c r="H1357" s="9"/>
      <c r="I1357" s="60" t="str">
        <f t="shared" si="5"/>
        <v/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60" t="str">
        <f t="shared" si="1"/>
        <v/>
      </c>
      <c r="B1358" s="9"/>
      <c r="C1358" s="9"/>
      <c r="D1358" s="133"/>
      <c r="E1358" s="133"/>
      <c r="F1358" s="69"/>
      <c r="G1358" s="9"/>
      <c r="H1358" s="9"/>
      <c r="I1358" s="60" t="str">
        <f t="shared" si="5"/>
        <v/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60" t="str">
        <f t="shared" si="1"/>
        <v/>
      </c>
      <c r="B1359" s="9"/>
      <c r="C1359" s="9"/>
      <c r="D1359" s="133"/>
      <c r="E1359" s="133"/>
      <c r="F1359" s="69"/>
      <c r="G1359" s="9"/>
      <c r="H1359" s="9"/>
      <c r="I1359" s="60" t="str">
        <f t="shared" si="5"/>
        <v/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60" t="str">
        <f t="shared" si="1"/>
        <v/>
      </c>
      <c r="B1360" s="9"/>
      <c r="C1360" s="9"/>
      <c r="D1360" s="133"/>
      <c r="E1360" s="133"/>
      <c r="F1360" s="69"/>
      <c r="G1360" s="9"/>
      <c r="H1360" s="9"/>
      <c r="I1360" s="60" t="str">
        <f t="shared" si="5"/>
        <v/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60" t="str">
        <f t="shared" si="1"/>
        <v/>
      </c>
      <c r="B1361" s="9"/>
      <c r="C1361" s="9"/>
      <c r="D1361" s="133"/>
      <c r="E1361" s="133"/>
      <c r="F1361" s="69"/>
      <c r="G1361" s="9"/>
      <c r="H1361" s="9"/>
      <c r="I1361" s="60" t="str">
        <f t="shared" si="5"/>
        <v/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60" t="str">
        <f t="shared" si="1"/>
        <v/>
      </c>
      <c r="B1362" s="9"/>
      <c r="C1362" s="9"/>
      <c r="D1362" s="133"/>
      <c r="E1362" s="133"/>
      <c r="F1362" s="69"/>
      <c r="G1362" s="9"/>
      <c r="H1362" s="9"/>
      <c r="I1362" s="60" t="str">
        <f t="shared" si="5"/>
        <v/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60" t="str">
        <f t="shared" si="1"/>
        <v/>
      </c>
      <c r="B1363" s="9"/>
      <c r="C1363" s="9"/>
      <c r="D1363" s="133"/>
      <c r="E1363" s="133"/>
      <c r="F1363" s="69"/>
      <c r="G1363" s="9"/>
      <c r="H1363" s="9"/>
      <c r="I1363" s="60" t="str">
        <f t="shared" si="5"/>
        <v/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60" t="str">
        <f t="shared" si="1"/>
        <v/>
      </c>
      <c r="B1364" s="9"/>
      <c r="C1364" s="9"/>
      <c r="D1364" s="133"/>
      <c r="E1364" s="133"/>
      <c r="F1364" s="69"/>
      <c r="G1364" s="9"/>
      <c r="H1364" s="9"/>
      <c r="I1364" s="60" t="str">
        <f t="shared" si="5"/>
        <v/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60" t="str">
        <f t="shared" si="1"/>
        <v/>
      </c>
      <c r="B1365" s="9"/>
      <c r="C1365" s="9"/>
      <c r="D1365" s="133"/>
      <c r="E1365" s="133"/>
      <c r="F1365" s="69"/>
      <c r="G1365" s="9"/>
      <c r="H1365" s="9"/>
      <c r="I1365" s="60" t="str">
        <f t="shared" si="5"/>
        <v/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60" t="str">
        <f t="shared" si="1"/>
        <v/>
      </c>
      <c r="B1366" s="9"/>
      <c r="C1366" s="9"/>
      <c r="D1366" s="133"/>
      <c r="E1366" s="133"/>
      <c r="F1366" s="69"/>
      <c r="G1366" s="9"/>
      <c r="H1366" s="9"/>
      <c r="I1366" s="60" t="str">
        <f t="shared" si="5"/>
        <v/>
      </c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60" t="str">
        <f t="shared" si="1"/>
        <v/>
      </c>
      <c r="B1367" s="9"/>
      <c r="C1367" s="9"/>
      <c r="D1367" s="133"/>
      <c r="E1367" s="133"/>
      <c r="F1367" s="69"/>
      <c r="G1367" s="9"/>
      <c r="H1367" s="9"/>
      <c r="I1367" s="60" t="str">
        <f t="shared" si="5"/>
        <v/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60" t="str">
        <f t="shared" si="1"/>
        <v/>
      </c>
      <c r="B1368" s="9"/>
      <c r="C1368" s="9"/>
      <c r="D1368" s="133"/>
      <c r="E1368" s="133"/>
      <c r="F1368" s="69"/>
      <c r="G1368" s="9"/>
      <c r="H1368" s="9"/>
      <c r="I1368" s="60" t="str">
        <f t="shared" si="5"/>
        <v/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60" t="str">
        <f t="shared" si="1"/>
        <v/>
      </c>
      <c r="B1369" s="9"/>
      <c r="C1369" s="9"/>
      <c r="D1369" s="133"/>
      <c r="E1369" s="133"/>
      <c r="F1369" s="69"/>
      <c r="G1369" s="9"/>
      <c r="H1369" s="9"/>
      <c r="I1369" s="60" t="str">
        <f t="shared" si="5"/>
        <v/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60" t="str">
        <f t="shared" si="1"/>
        <v/>
      </c>
      <c r="B1370" s="9"/>
      <c r="C1370" s="9"/>
      <c r="D1370" s="133"/>
      <c r="E1370" s="133"/>
      <c r="F1370" s="69"/>
      <c r="G1370" s="9"/>
      <c r="H1370" s="9"/>
      <c r="I1370" s="60" t="str">
        <f t="shared" si="5"/>
        <v/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60" t="str">
        <f t="shared" si="1"/>
        <v/>
      </c>
      <c r="B1371" s="9"/>
      <c r="C1371" s="9"/>
      <c r="D1371" s="133"/>
      <c r="E1371" s="133"/>
      <c r="F1371" s="69"/>
      <c r="G1371" s="9"/>
      <c r="H1371" s="9"/>
      <c r="I1371" s="60" t="str">
        <f t="shared" si="5"/>
        <v/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60" t="str">
        <f t="shared" si="1"/>
        <v/>
      </c>
      <c r="B1372" s="9"/>
      <c r="C1372" s="9"/>
      <c r="D1372" s="133"/>
      <c r="E1372" s="133"/>
      <c r="F1372" s="69"/>
      <c r="G1372" s="9"/>
      <c r="H1372" s="9"/>
      <c r="I1372" s="60" t="str">
        <f t="shared" si="5"/>
        <v/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60" t="str">
        <f t="shared" si="1"/>
        <v/>
      </c>
      <c r="B1373" s="9"/>
      <c r="C1373" s="9"/>
      <c r="D1373" s="133"/>
      <c r="E1373" s="133"/>
      <c r="F1373" s="69"/>
      <c r="G1373" s="9"/>
      <c r="H1373" s="9"/>
      <c r="I1373" s="60" t="str">
        <f t="shared" si="5"/>
        <v/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60" t="str">
        <f t="shared" si="1"/>
        <v/>
      </c>
      <c r="B1374" s="9"/>
      <c r="C1374" s="9"/>
      <c r="D1374" s="133"/>
      <c r="E1374" s="133"/>
      <c r="F1374" s="69"/>
      <c r="G1374" s="9"/>
      <c r="H1374" s="9"/>
      <c r="I1374" s="60" t="str">
        <f t="shared" si="5"/>
        <v/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60" t="str">
        <f t="shared" si="1"/>
        <v/>
      </c>
      <c r="B1375" s="9"/>
      <c r="C1375" s="9"/>
      <c r="D1375" s="133"/>
      <c r="E1375" s="133"/>
      <c r="F1375" s="69"/>
      <c r="G1375" s="9"/>
      <c r="H1375" s="9"/>
      <c r="I1375" s="60" t="str">
        <f t="shared" si="5"/>
        <v/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60" t="str">
        <f t="shared" si="1"/>
        <v/>
      </c>
      <c r="B1376" s="9"/>
      <c r="C1376" s="9"/>
      <c r="D1376" s="133"/>
      <c r="E1376" s="133"/>
      <c r="F1376" s="69"/>
      <c r="G1376" s="9"/>
      <c r="H1376" s="9"/>
      <c r="I1376" s="60" t="str">
        <f t="shared" si="5"/>
        <v/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60" t="str">
        <f t="shared" si="1"/>
        <v/>
      </c>
      <c r="B1377" s="9"/>
      <c r="C1377" s="9"/>
      <c r="D1377" s="133"/>
      <c r="E1377" s="133"/>
      <c r="F1377" s="69"/>
      <c r="G1377" s="9"/>
      <c r="H1377" s="9"/>
      <c r="I1377" s="60" t="str">
        <f t="shared" si="5"/>
        <v/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60" t="str">
        <f t="shared" si="1"/>
        <v/>
      </c>
      <c r="B1378" s="9"/>
      <c r="C1378" s="9"/>
      <c r="D1378" s="133"/>
      <c r="E1378" s="133"/>
      <c r="F1378" s="69"/>
      <c r="G1378" s="9"/>
      <c r="H1378" s="9"/>
      <c r="I1378" s="60" t="str">
        <f t="shared" si="5"/>
        <v/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60" t="str">
        <f t="shared" si="1"/>
        <v/>
      </c>
      <c r="B1379" s="9"/>
      <c r="C1379" s="9"/>
      <c r="D1379" s="133"/>
      <c r="E1379" s="133"/>
      <c r="F1379" s="69"/>
      <c r="G1379" s="9"/>
      <c r="H1379" s="9"/>
      <c r="I1379" s="60" t="str">
        <f t="shared" si="5"/>
        <v/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60" t="str">
        <f t="shared" si="1"/>
        <v/>
      </c>
      <c r="B1380" s="9"/>
      <c r="C1380" s="9"/>
      <c r="D1380" s="133"/>
      <c r="E1380" s="133"/>
      <c r="F1380" s="69"/>
      <c r="G1380" s="9"/>
      <c r="H1380" s="9"/>
      <c r="I1380" s="60" t="str">
        <f t="shared" si="5"/>
        <v/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60" t="str">
        <f t="shared" si="1"/>
        <v/>
      </c>
      <c r="B1381" s="9"/>
      <c r="C1381" s="9"/>
      <c r="D1381" s="133"/>
      <c r="E1381" s="133"/>
      <c r="F1381" s="69"/>
      <c r="G1381" s="9"/>
      <c r="H1381" s="9"/>
      <c r="I1381" s="60" t="str">
        <f t="shared" si="5"/>
        <v/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60" t="str">
        <f t="shared" si="1"/>
        <v/>
      </c>
      <c r="B1382" s="9"/>
      <c r="C1382" s="9"/>
      <c r="D1382" s="133"/>
      <c r="E1382" s="133"/>
      <c r="F1382" s="69"/>
      <c r="G1382" s="9"/>
      <c r="H1382" s="9"/>
      <c r="I1382" s="60" t="str">
        <f t="shared" si="5"/>
        <v/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60" t="str">
        <f t="shared" si="1"/>
        <v/>
      </c>
      <c r="B1383" s="9"/>
      <c r="C1383" s="9"/>
      <c r="D1383" s="133"/>
      <c r="E1383" s="133"/>
      <c r="F1383" s="69"/>
      <c r="G1383" s="9"/>
      <c r="H1383" s="9"/>
      <c r="I1383" s="60" t="str">
        <f t="shared" si="5"/>
        <v/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60" t="str">
        <f t="shared" si="1"/>
        <v/>
      </c>
      <c r="B1384" s="9"/>
      <c r="C1384" s="9"/>
      <c r="D1384" s="133"/>
      <c r="E1384" s="133"/>
      <c r="F1384" s="69"/>
      <c r="G1384" s="9"/>
      <c r="H1384" s="9"/>
      <c r="I1384" s="60" t="str">
        <f t="shared" si="5"/>
        <v/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60" t="str">
        <f t="shared" si="1"/>
        <v/>
      </c>
      <c r="B1385" s="9"/>
      <c r="C1385" s="9"/>
      <c r="D1385" s="133"/>
      <c r="E1385" s="133"/>
      <c r="F1385" s="69"/>
      <c r="G1385" s="9"/>
      <c r="H1385" s="9"/>
      <c r="I1385" s="60" t="str">
        <f t="shared" si="5"/>
        <v/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60" t="str">
        <f t="shared" si="1"/>
        <v/>
      </c>
      <c r="B1386" s="9"/>
      <c r="C1386" s="9"/>
      <c r="D1386" s="133"/>
      <c r="E1386" s="133"/>
      <c r="F1386" s="69"/>
      <c r="G1386" s="9"/>
      <c r="H1386" s="9"/>
      <c r="I1386" s="60" t="str">
        <f t="shared" si="5"/>
        <v/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60" t="str">
        <f t="shared" si="1"/>
        <v/>
      </c>
      <c r="B1387" s="9"/>
      <c r="C1387" s="9"/>
      <c r="D1387" s="133"/>
      <c r="E1387" s="133"/>
      <c r="F1387" s="69"/>
      <c r="G1387" s="9"/>
      <c r="H1387" s="9"/>
      <c r="I1387" s="60" t="str">
        <f t="shared" si="5"/>
        <v/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60" t="str">
        <f t="shared" si="1"/>
        <v/>
      </c>
      <c r="B1388" s="9"/>
      <c r="C1388" s="9"/>
      <c r="D1388" s="133"/>
      <c r="E1388" s="133"/>
      <c r="F1388" s="69"/>
      <c r="G1388" s="9"/>
      <c r="H1388" s="9"/>
      <c r="I1388" s="60" t="str">
        <f t="shared" si="5"/>
        <v/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60" t="str">
        <f t="shared" si="1"/>
        <v/>
      </c>
      <c r="B1389" s="9"/>
      <c r="C1389" s="9"/>
      <c r="D1389" s="133"/>
      <c r="E1389" s="133"/>
      <c r="F1389" s="69"/>
      <c r="G1389" s="9"/>
      <c r="H1389" s="9"/>
      <c r="I1389" s="60" t="str">
        <f t="shared" si="5"/>
        <v/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60" t="str">
        <f t="shared" si="1"/>
        <v/>
      </c>
      <c r="B1390" s="9"/>
      <c r="C1390" s="9"/>
      <c r="D1390" s="133"/>
      <c r="E1390" s="133"/>
      <c r="F1390" s="69"/>
      <c r="G1390" s="9"/>
      <c r="H1390" s="9"/>
      <c r="I1390" s="60" t="str">
        <f t="shared" si="5"/>
        <v/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60" t="str">
        <f t="shared" si="1"/>
        <v/>
      </c>
      <c r="B1391" s="9"/>
      <c r="C1391" s="9"/>
      <c r="D1391" s="133"/>
      <c r="E1391" s="133"/>
      <c r="F1391" s="69"/>
      <c r="G1391" s="9"/>
      <c r="H1391" s="9"/>
      <c r="I1391" s="60" t="str">
        <f t="shared" si="5"/>
        <v/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60" t="str">
        <f t="shared" si="1"/>
        <v/>
      </c>
      <c r="B1392" s="9"/>
      <c r="C1392" s="9"/>
      <c r="D1392" s="133"/>
      <c r="E1392" s="133"/>
      <c r="F1392" s="69"/>
      <c r="G1392" s="9"/>
      <c r="H1392" s="9"/>
      <c r="I1392" s="60" t="str">
        <f t="shared" si="5"/>
        <v/>
      </c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60" t="str">
        <f t="shared" si="1"/>
        <v/>
      </c>
      <c r="B1393" s="9"/>
      <c r="C1393" s="9"/>
      <c r="D1393" s="133"/>
      <c r="E1393" s="133"/>
      <c r="F1393" s="69"/>
      <c r="G1393" s="9"/>
      <c r="H1393" s="9"/>
      <c r="I1393" s="60" t="str">
        <f t="shared" si="5"/>
        <v/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60" t="str">
        <f t="shared" si="1"/>
        <v/>
      </c>
      <c r="B1394" s="9"/>
      <c r="C1394" s="9"/>
      <c r="D1394" s="133"/>
      <c r="E1394" s="133"/>
      <c r="F1394" s="69"/>
      <c r="G1394" s="9"/>
      <c r="H1394" s="9"/>
      <c r="I1394" s="60" t="str">
        <f t="shared" si="5"/>
        <v/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60" t="str">
        <f t="shared" si="1"/>
        <v/>
      </c>
      <c r="B1395" s="9"/>
      <c r="C1395" s="9"/>
      <c r="D1395" s="133"/>
      <c r="E1395" s="133"/>
      <c r="F1395" s="69"/>
      <c r="G1395" s="9"/>
      <c r="H1395" s="9"/>
      <c r="I1395" s="60" t="str">
        <f t="shared" si="5"/>
        <v/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60" t="str">
        <f t="shared" si="1"/>
        <v/>
      </c>
      <c r="B1396" s="9"/>
      <c r="C1396" s="9"/>
      <c r="D1396" s="133"/>
      <c r="E1396" s="133"/>
      <c r="F1396" s="69"/>
      <c r="G1396" s="9"/>
      <c r="H1396" s="9"/>
      <c r="I1396" s="60" t="str">
        <f t="shared" si="5"/>
        <v/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60" t="str">
        <f t="shared" si="1"/>
        <v/>
      </c>
      <c r="B1397" s="9"/>
      <c r="C1397" s="9"/>
      <c r="D1397" s="133"/>
      <c r="E1397" s="133"/>
      <c r="F1397" s="69"/>
      <c r="G1397" s="9"/>
      <c r="H1397" s="9"/>
      <c r="I1397" s="60" t="str">
        <f t="shared" si="5"/>
        <v/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60" t="str">
        <f t="shared" si="1"/>
        <v/>
      </c>
      <c r="B1398" s="9"/>
      <c r="C1398" s="9"/>
      <c r="D1398" s="133"/>
      <c r="E1398" s="133"/>
      <c r="F1398" s="69"/>
      <c r="G1398" s="9"/>
      <c r="H1398" s="9"/>
      <c r="I1398" s="60" t="str">
        <f t="shared" si="5"/>
        <v/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60" t="str">
        <f t="shared" si="1"/>
        <v/>
      </c>
      <c r="B1399" s="9"/>
      <c r="C1399" s="9"/>
      <c r="D1399" s="133"/>
      <c r="E1399" s="133"/>
      <c r="F1399" s="69"/>
      <c r="G1399" s="9"/>
      <c r="H1399" s="9"/>
      <c r="I1399" s="60" t="str">
        <f t="shared" si="5"/>
        <v/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60" t="str">
        <f t="shared" si="1"/>
        <v/>
      </c>
      <c r="B1400" s="9"/>
      <c r="C1400" s="9"/>
      <c r="D1400" s="133"/>
      <c r="E1400" s="133"/>
      <c r="F1400" s="69"/>
      <c r="G1400" s="9"/>
      <c r="H1400" s="9"/>
      <c r="I1400" s="60" t="str">
        <f t="shared" si="5"/>
        <v/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60" t="str">
        <f t="shared" si="1"/>
        <v/>
      </c>
      <c r="B1401" s="9"/>
      <c r="C1401" s="9"/>
      <c r="D1401" s="133"/>
      <c r="E1401" s="133"/>
      <c r="F1401" s="69"/>
      <c r="G1401" s="9"/>
      <c r="H1401" s="9"/>
      <c r="I1401" s="60" t="str">
        <f t="shared" si="5"/>
        <v/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60" t="str">
        <f t="shared" si="1"/>
        <v/>
      </c>
      <c r="B1402" s="9"/>
      <c r="C1402" s="9"/>
      <c r="D1402" s="133"/>
      <c r="E1402" s="133"/>
      <c r="F1402" s="69"/>
      <c r="G1402" s="9"/>
      <c r="H1402" s="9"/>
      <c r="I1402" s="60" t="str">
        <f t="shared" si="5"/>
        <v/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60" t="str">
        <f t="shared" si="1"/>
        <v/>
      </c>
      <c r="B1403" s="9"/>
      <c r="C1403" s="9"/>
      <c r="D1403" s="133"/>
      <c r="E1403" s="133"/>
      <c r="F1403" s="69"/>
      <c r="G1403" s="9"/>
      <c r="H1403" s="9"/>
      <c r="I1403" s="60" t="str">
        <f t="shared" si="5"/>
        <v/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60" t="str">
        <f t="shared" si="1"/>
        <v/>
      </c>
      <c r="B1404" s="9"/>
      <c r="C1404" s="9"/>
      <c r="D1404" s="133"/>
      <c r="E1404" s="133"/>
      <c r="F1404" s="69"/>
      <c r="G1404" s="9"/>
      <c r="H1404" s="9"/>
      <c r="I1404" s="60" t="str">
        <f t="shared" si="5"/>
        <v/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60" t="str">
        <f t="shared" si="1"/>
        <v/>
      </c>
      <c r="B1405" s="9"/>
      <c r="C1405" s="9"/>
      <c r="D1405" s="133"/>
      <c r="E1405" s="133"/>
      <c r="F1405" s="69"/>
      <c r="G1405" s="9"/>
      <c r="H1405" s="9"/>
      <c r="I1405" s="60" t="str">
        <f t="shared" si="5"/>
        <v/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60" t="str">
        <f t="shared" si="1"/>
        <v/>
      </c>
      <c r="B1406" s="9"/>
      <c r="C1406" s="9"/>
      <c r="D1406" s="133"/>
      <c r="E1406" s="133"/>
      <c r="F1406" s="69"/>
      <c r="G1406" s="9"/>
      <c r="H1406" s="9"/>
      <c r="I1406" s="60" t="str">
        <f t="shared" si="5"/>
        <v/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60" t="str">
        <f t="shared" si="1"/>
        <v/>
      </c>
      <c r="B1407" s="9"/>
      <c r="C1407" s="9"/>
      <c r="D1407" s="133"/>
      <c r="E1407" s="133"/>
      <c r="F1407" s="69"/>
      <c r="G1407" s="9"/>
      <c r="H1407" s="9"/>
      <c r="I1407" s="60" t="str">
        <f t="shared" si="5"/>
        <v/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60" t="str">
        <f t="shared" si="1"/>
        <v/>
      </c>
      <c r="B1408" s="9"/>
      <c r="C1408" s="9"/>
      <c r="D1408" s="133"/>
      <c r="E1408" s="133"/>
      <c r="F1408" s="69"/>
      <c r="G1408" s="9"/>
      <c r="H1408" s="9"/>
      <c r="I1408" s="60" t="str">
        <f t="shared" si="5"/>
        <v/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60" t="str">
        <f t="shared" si="1"/>
        <v/>
      </c>
      <c r="B1409" s="9"/>
      <c r="C1409" s="9"/>
      <c r="D1409" s="133"/>
      <c r="E1409" s="133"/>
      <c r="F1409" s="69"/>
      <c r="G1409" s="9"/>
      <c r="H1409" s="9"/>
      <c r="I1409" s="60" t="str">
        <f t="shared" si="5"/>
        <v/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60" t="str">
        <f t="shared" si="1"/>
        <v/>
      </c>
      <c r="B1410" s="9"/>
      <c r="C1410" s="9"/>
      <c r="D1410" s="133"/>
      <c r="E1410" s="133"/>
      <c r="F1410" s="69"/>
      <c r="G1410" s="9"/>
      <c r="H1410" s="9"/>
      <c r="I1410" s="60" t="str">
        <f t="shared" si="5"/>
        <v/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60" t="str">
        <f t="shared" si="1"/>
        <v/>
      </c>
      <c r="B1411" s="9"/>
      <c r="C1411" s="9"/>
      <c r="D1411" s="133"/>
      <c r="E1411" s="133"/>
      <c r="F1411" s="69"/>
      <c r="G1411" s="9"/>
      <c r="H1411" s="9"/>
      <c r="I1411" s="60" t="str">
        <f t="shared" si="5"/>
        <v/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60" t="str">
        <f t="shared" si="1"/>
        <v/>
      </c>
      <c r="B1412" s="9"/>
      <c r="C1412" s="9"/>
      <c r="D1412" s="133"/>
      <c r="E1412" s="133"/>
      <c r="F1412" s="69"/>
      <c r="G1412" s="9"/>
      <c r="H1412" s="9"/>
      <c r="I1412" s="60" t="str">
        <f t="shared" si="5"/>
        <v/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60" t="str">
        <f t="shared" si="1"/>
        <v/>
      </c>
      <c r="B1413" s="9"/>
      <c r="C1413" s="9"/>
      <c r="D1413" s="133"/>
      <c r="E1413" s="133"/>
      <c r="F1413" s="69"/>
      <c r="G1413" s="9"/>
      <c r="H1413" s="9"/>
      <c r="I1413" s="60" t="str">
        <f t="shared" si="5"/>
        <v/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60" t="str">
        <f t="shared" si="1"/>
        <v/>
      </c>
      <c r="B1414" s="9"/>
      <c r="C1414" s="9"/>
      <c r="D1414" s="133"/>
      <c r="E1414" s="133"/>
      <c r="F1414" s="69"/>
      <c r="G1414" s="9"/>
      <c r="H1414" s="9"/>
      <c r="I1414" s="60" t="str">
        <f t="shared" si="5"/>
        <v/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60" t="str">
        <f t="shared" si="1"/>
        <v/>
      </c>
      <c r="B1415" s="9"/>
      <c r="C1415" s="9"/>
      <c r="D1415" s="133"/>
      <c r="E1415" s="133"/>
      <c r="F1415" s="69"/>
      <c r="G1415" s="9"/>
      <c r="H1415" s="9"/>
      <c r="I1415" s="60" t="str">
        <f t="shared" si="5"/>
        <v/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60" t="str">
        <f t="shared" si="1"/>
        <v/>
      </c>
      <c r="B1416" s="9"/>
      <c r="C1416" s="9"/>
      <c r="D1416" s="133"/>
      <c r="E1416" s="133"/>
      <c r="F1416" s="69"/>
      <c r="G1416" s="9"/>
      <c r="H1416" s="9"/>
      <c r="I1416" s="60" t="str">
        <f t="shared" si="5"/>
        <v/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60" t="str">
        <f t="shared" si="1"/>
        <v/>
      </c>
      <c r="B1417" s="9"/>
      <c r="C1417" s="9"/>
      <c r="D1417" s="133"/>
      <c r="E1417" s="133"/>
      <c r="F1417" s="69"/>
      <c r="G1417" s="9"/>
      <c r="H1417" s="9"/>
      <c r="I1417" s="60" t="str">
        <f t="shared" si="5"/>
        <v/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60" t="str">
        <f t="shared" si="1"/>
        <v/>
      </c>
      <c r="B1418" s="9"/>
      <c r="C1418" s="9"/>
      <c r="D1418" s="133"/>
      <c r="E1418" s="133"/>
      <c r="F1418" s="69"/>
      <c r="G1418" s="9"/>
      <c r="H1418" s="9"/>
      <c r="I1418" s="60" t="str">
        <f t="shared" si="5"/>
        <v/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60" t="str">
        <f t="shared" si="1"/>
        <v/>
      </c>
      <c r="B1419" s="9"/>
      <c r="C1419" s="9"/>
      <c r="D1419" s="133"/>
      <c r="E1419" s="133"/>
      <c r="F1419" s="69"/>
      <c r="G1419" s="9"/>
      <c r="H1419" s="9"/>
      <c r="I1419" s="60" t="str">
        <f t="shared" si="5"/>
        <v/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60" t="str">
        <f t="shared" si="1"/>
        <v/>
      </c>
      <c r="B1420" s="9"/>
      <c r="C1420" s="9"/>
      <c r="D1420" s="133"/>
      <c r="E1420" s="133"/>
      <c r="F1420" s="69"/>
      <c r="G1420" s="9"/>
      <c r="H1420" s="9"/>
      <c r="I1420" s="60" t="str">
        <f t="shared" si="5"/>
        <v/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60" t="str">
        <f t="shared" si="1"/>
        <v/>
      </c>
      <c r="B1421" s="9"/>
      <c r="C1421" s="9"/>
      <c r="D1421" s="133"/>
      <c r="E1421" s="133"/>
      <c r="F1421" s="69"/>
      <c r="G1421" s="9"/>
      <c r="H1421" s="9"/>
      <c r="I1421" s="60" t="str">
        <f t="shared" si="5"/>
        <v/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60" t="str">
        <f t="shared" si="1"/>
        <v/>
      </c>
      <c r="B1422" s="9"/>
      <c r="C1422" s="9"/>
      <c r="D1422" s="133"/>
      <c r="E1422" s="133"/>
      <c r="F1422" s="69"/>
      <c r="G1422" s="9"/>
      <c r="H1422" s="9"/>
      <c r="I1422" s="60" t="str">
        <f t="shared" si="5"/>
        <v/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60" t="str">
        <f t="shared" si="1"/>
        <v/>
      </c>
      <c r="B1423" s="9"/>
      <c r="C1423" s="9"/>
      <c r="D1423" s="133"/>
      <c r="E1423" s="133"/>
      <c r="F1423" s="69"/>
      <c r="G1423" s="9"/>
      <c r="H1423" s="9"/>
      <c r="I1423" s="60" t="str">
        <f t="shared" si="5"/>
        <v/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60" t="str">
        <f t="shared" si="1"/>
        <v/>
      </c>
      <c r="B1424" s="9"/>
      <c r="C1424" s="9"/>
      <c r="D1424" s="133"/>
      <c r="E1424" s="133"/>
      <c r="F1424" s="69"/>
      <c r="G1424" s="9"/>
      <c r="H1424" s="9"/>
      <c r="I1424" s="60" t="str">
        <f t="shared" si="5"/>
        <v/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60" t="str">
        <f t="shared" si="1"/>
        <v/>
      </c>
      <c r="B1425" s="9"/>
      <c r="C1425" s="9"/>
      <c r="D1425" s="133"/>
      <c r="E1425" s="133"/>
      <c r="F1425" s="69"/>
      <c r="G1425" s="9"/>
      <c r="H1425" s="9"/>
      <c r="I1425" s="60" t="str">
        <f t="shared" si="5"/>
        <v/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60" t="str">
        <f t="shared" si="1"/>
        <v/>
      </c>
      <c r="B1426" s="9"/>
      <c r="C1426" s="9"/>
      <c r="D1426" s="133"/>
      <c r="E1426" s="133"/>
      <c r="F1426" s="69"/>
      <c r="G1426" s="9"/>
      <c r="H1426" s="9"/>
      <c r="I1426" s="60" t="str">
        <f t="shared" si="5"/>
        <v/>
      </c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60" t="str">
        <f t="shared" si="1"/>
        <v/>
      </c>
      <c r="B1427" s="9"/>
      <c r="C1427" s="9"/>
      <c r="D1427" s="133"/>
      <c r="E1427" s="133"/>
      <c r="F1427" s="69"/>
      <c r="G1427" s="9"/>
      <c r="H1427" s="9"/>
      <c r="I1427" s="60" t="str">
        <f t="shared" si="5"/>
        <v/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60" t="str">
        <f t="shared" si="1"/>
        <v/>
      </c>
      <c r="B1428" s="9"/>
      <c r="C1428" s="9"/>
      <c r="D1428" s="133"/>
      <c r="E1428" s="133"/>
      <c r="F1428" s="69"/>
      <c r="G1428" s="9"/>
      <c r="H1428" s="9"/>
      <c r="I1428" s="60" t="str">
        <f t="shared" si="5"/>
        <v/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60" t="str">
        <f t="shared" si="1"/>
        <v/>
      </c>
      <c r="B1429" s="9"/>
      <c r="C1429" s="9"/>
      <c r="D1429" s="133"/>
      <c r="E1429" s="133"/>
      <c r="F1429" s="69"/>
      <c r="G1429" s="9"/>
      <c r="H1429" s="9"/>
      <c r="I1429" s="60" t="str">
        <f t="shared" si="5"/>
        <v/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60" t="str">
        <f t="shared" si="1"/>
        <v/>
      </c>
      <c r="B1430" s="9"/>
      <c r="C1430" s="9"/>
      <c r="D1430" s="133"/>
      <c r="E1430" s="133"/>
      <c r="F1430" s="69"/>
      <c r="G1430" s="9"/>
      <c r="H1430" s="9"/>
      <c r="I1430" s="60" t="str">
        <f t="shared" si="5"/>
        <v/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60" t="str">
        <f t="shared" si="1"/>
        <v/>
      </c>
      <c r="B1431" s="9"/>
      <c r="C1431" s="9"/>
      <c r="D1431" s="133"/>
      <c r="E1431" s="133"/>
      <c r="F1431" s="69"/>
      <c r="G1431" s="9"/>
      <c r="H1431" s="9"/>
      <c r="I1431" s="60" t="str">
        <f t="shared" si="5"/>
        <v/>
      </c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60" t="str">
        <f t="shared" si="1"/>
        <v/>
      </c>
      <c r="B1432" s="9"/>
      <c r="C1432" s="9"/>
      <c r="D1432" s="133"/>
      <c r="E1432" s="133"/>
      <c r="F1432" s="69"/>
      <c r="G1432" s="9"/>
      <c r="H1432" s="9"/>
      <c r="I1432" s="60" t="str">
        <f t="shared" si="5"/>
        <v/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60" t="str">
        <f t="shared" si="1"/>
        <v/>
      </c>
      <c r="B1433" s="9"/>
      <c r="C1433" s="9"/>
      <c r="D1433" s="133"/>
      <c r="E1433" s="133"/>
      <c r="F1433" s="69"/>
      <c r="G1433" s="9"/>
      <c r="H1433" s="9"/>
      <c r="I1433" s="60" t="str">
        <f t="shared" si="5"/>
        <v/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60" t="str">
        <f t="shared" si="1"/>
        <v/>
      </c>
      <c r="B1434" s="9"/>
      <c r="C1434" s="9"/>
      <c r="D1434" s="133"/>
      <c r="E1434" s="133"/>
      <c r="F1434" s="69"/>
      <c r="G1434" s="9"/>
      <c r="H1434" s="9"/>
      <c r="I1434" s="60" t="str">
        <f t="shared" si="5"/>
        <v/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60" t="str">
        <f t="shared" si="1"/>
        <v/>
      </c>
      <c r="B1435" s="9"/>
      <c r="C1435" s="9"/>
      <c r="D1435" s="133"/>
      <c r="E1435" s="133"/>
      <c r="F1435" s="69"/>
      <c r="G1435" s="9"/>
      <c r="H1435" s="9"/>
      <c r="I1435" s="60" t="str">
        <f t="shared" si="5"/>
        <v/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60" t="str">
        <f t="shared" si="1"/>
        <v/>
      </c>
      <c r="B1436" s="9"/>
      <c r="C1436" s="9"/>
      <c r="D1436" s="133"/>
      <c r="E1436" s="133"/>
      <c r="F1436" s="69"/>
      <c r="G1436" s="9"/>
      <c r="H1436" s="9"/>
      <c r="I1436" s="60" t="str">
        <f t="shared" si="5"/>
        <v/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60" t="str">
        <f t="shared" si="1"/>
        <v/>
      </c>
      <c r="B1437" s="9"/>
      <c r="C1437" s="9"/>
      <c r="D1437" s="133"/>
      <c r="E1437" s="133"/>
      <c r="F1437" s="69"/>
      <c r="G1437" s="9"/>
      <c r="H1437" s="9"/>
      <c r="I1437" s="60" t="str">
        <f t="shared" si="5"/>
        <v/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60" t="str">
        <f t="shared" si="1"/>
        <v/>
      </c>
      <c r="B1438" s="9"/>
      <c r="C1438" s="9"/>
      <c r="D1438" s="133"/>
      <c r="E1438" s="133"/>
      <c r="F1438" s="69"/>
      <c r="G1438" s="9"/>
      <c r="H1438" s="9"/>
      <c r="I1438" s="60" t="str">
        <f t="shared" si="5"/>
        <v/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60" t="str">
        <f t="shared" si="1"/>
        <v/>
      </c>
      <c r="B1439" s="9"/>
      <c r="C1439" s="9"/>
      <c r="D1439" s="133"/>
      <c r="E1439" s="133"/>
      <c r="F1439" s="69"/>
      <c r="G1439" s="9"/>
      <c r="H1439" s="9"/>
      <c r="I1439" s="60" t="str">
        <f t="shared" si="5"/>
        <v/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60" t="str">
        <f t="shared" si="1"/>
        <v/>
      </c>
      <c r="B1440" s="9"/>
      <c r="C1440" s="9"/>
      <c r="D1440" s="133"/>
      <c r="E1440" s="133"/>
      <c r="F1440" s="69"/>
      <c r="G1440" s="9"/>
      <c r="H1440" s="9"/>
      <c r="I1440" s="60" t="str">
        <f t="shared" si="5"/>
        <v/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60" t="str">
        <f t="shared" si="1"/>
        <v/>
      </c>
      <c r="B1441" s="9"/>
      <c r="C1441" s="9"/>
      <c r="D1441" s="133"/>
      <c r="E1441" s="133"/>
      <c r="F1441" s="69"/>
      <c r="G1441" s="9"/>
      <c r="H1441" s="9"/>
      <c r="I1441" s="60" t="str">
        <f t="shared" si="5"/>
        <v/>
      </c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60" t="str">
        <f t="shared" si="1"/>
        <v/>
      </c>
      <c r="B1442" s="9"/>
      <c r="C1442" s="9"/>
      <c r="D1442" s="133"/>
      <c r="E1442" s="133"/>
      <c r="F1442" s="69"/>
      <c r="G1442" s="9"/>
      <c r="H1442" s="9"/>
      <c r="I1442" s="60" t="str">
        <f t="shared" si="5"/>
        <v/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60" t="str">
        <f t="shared" si="1"/>
        <v/>
      </c>
      <c r="B1443" s="9"/>
      <c r="C1443" s="9"/>
      <c r="D1443" s="133"/>
      <c r="E1443" s="133"/>
      <c r="F1443" s="69"/>
      <c r="G1443" s="9"/>
      <c r="H1443" s="9"/>
      <c r="I1443" s="60" t="str">
        <f t="shared" si="5"/>
        <v/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60" t="str">
        <f t="shared" si="1"/>
        <v/>
      </c>
      <c r="B1444" s="9"/>
      <c r="C1444" s="9"/>
      <c r="D1444" s="133"/>
      <c r="E1444" s="133"/>
      <c r="F1444" s="69"/>
      <c r="G1444" s="9"/>
      <c r="H1444" s="9"/>
      <c r="I1444" s="60" t="str">
        <f t="shared" si="5"/>
        <v/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60" t="str">
        <f t="shared" si="1"/>
        <v/>
      </c>
      <c r="B1445" s="9"/>
      <c r="C1445" s="9"/>
      <c r="D1445" s="133"/>
      <c r="E1445" s="133"/>
      <c r="F1445" s="69"/>
      <c r="G1445" s="9"/>
      <c r="H1445" s="9"/>
      <c r="I1445" s="60" t="str">
        <f t="shared" si="5"/>
        <v/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60" t="str">
        <f t="shared" si="1"/>
        <v/>
      </c>
      <c r="B1446" s="9"/>
      <c r="C1446" s="9"/>
      <c r="D1446" s="133"/>
      <c r="E1446" s="133"/>
      <c r="F1446" s="69"/>
      <c r="G1446" s="9"/>
      <c r="H1446" s="9"/>
      <c r="I1446" s="60" t="str">
        <f t="shared" si="5"/>
        <v/>
      </c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60" t="str">
        <f t="shared" si="1"/>
        <v/>
      </c>
      <c r="B1447" s="9"/>
      <c r="C1447" s="9"/>
      <c r="D1447" s="133"/>
      <c r="E1447" s="133"/>
      <c r="F1447" s="69"/>
      <c r="G1447" s="9"/>
      <c r="H1447" s="9"/>
      <c r="I1447" s="60" t="str">
        <f t="shared" si="5"/>
        <v/>
      </c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60" t="str">
        <f t="shared" si="1"/>
        <v/>
      </c>
      <c r="B1448" s="9"/>
      <c r="C1448" s="9"/>
      <c r="D1448" s="133"/>
      <c r="E1448" s="133"/>
      <c r="F1448" s="69"/>
      <c r="G1448" s="9"/>
      <c r="H1448" s="9"/>
      <c r="I1448" s="60" t="str">
        <f t="shared" si="5"/>
        <v/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60" t="str">
        <f t="shared" si="1"/>
        <v/>
      </c>
      <c r="B1449" s="9"/>
      <c r="C1449" s="9"/>
      <c r="D1449" s="133"/>
      <c r="E1449" s="133"/>
      <c r="F1449" s="69"/>
      <c r="G1449" s="9"/>
      <c r="H1449" s="9"/>
      <c r="I1449" s="60" t="str">
        <f t="shared" si="5"/>
        <v/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60" t="str">
        <f t="shared" si="1"/>
        <v/>
      </c>
      <c r="B1450" s="9"/>
      <c r="C1450" s="9"/>
      <c r="D1450" s="133"/>
      <c r="E1450" s="133"/>
      <c r="F1450" s="69"/>
      <c r="G1450" s="9"/>
      <c r="H1450" s="9"/>
      <c r="I1450" s="60" t="str">
        <f t="shared" si="5"/>
        <v/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60" t="str">
        <f t="shared" si="1"/>
        <v/>
      </c>
      <c r="B1451" s="9"/>
      <c r="C1451" s="9"/>
      <c r="D1451" s="133"/>
      <c r="E1451" s="133"/>
      <c r="F1451" s="69"/>
      <c r="G1451" s="9"/>
      <c r="H1451" s="9"/>
      <c r="I1451" s="60" t="str">
        <f t="shared" si="5"/>
        <v/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60" t="str">
        <f t="shared" si="1"/>
        <v/>
      </c>
      <c r="B1452" s="9"/>
      <c r="C1452" s="9"/>
      <c r="D1452" s="133"/>
      <c r="E1452" s="133"/>
      <c r="F1452" s="69"/>
      <c r="G1452" s="9"/>
      <c r="H1452" s="9"/>
      <c r="I1452" s="60" t="str">
        <f t="shared" si="5"/>
        <v/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60" t="str">
        <f t="shared" si="1"/>
        <v/>
      </c>
      <c r="B1453" s="9"/>
      <c r="C1453" s="9"/>
      <c r="D1453" s="133"/>
      <c r="E1453" s="133"/>
      <c r="F1453" s="69"/>
      <c r="G1453" s="9"/>
      <c r="H1453" s="9"/>
      <c r="I1453" s="60" t="str">
        <f t="shared" si="5"/>
        <v/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60" t="str">
        <f t="shared" si="1"/>
        <v/>
      </c>
      <c r="B1454" s="9"/>
      <c r="C1454" s="9"/>
      <c r="D1454" s="133"/>
      <c r="E1454" s="133"/>
      <c r="F1454" s="69"/>
      <c r="G1454" s="9"/>
      <c r="H1454" s="9"/>
      <c r="I1454" s="60" t="str">
        <f t="shared" si="5"/>
        <v/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60" t="str">
        <f t="shared" si="1"/>
        <v/>
      </c>
      <c r="B1455" s="9"/>
      <c r="C1455" s="9"/>
      <c r="D1455" s="133"/>
      <c r="E1455" s="133"/>
      <c r="F1455" s="69"/>
      <c r="G1455" s="9"/>
      <c r="H1455" s="9"/>
      <c r="I1455" s="60" t="str">
        <f t="shared" si="5"/>
        <v/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60" t="str">
        <f t="shared" si="1"/>
        <v/>
      </c>
      <c r="B1456" s="9"/>
      <c r="C1456" s="9"/>
      <c r="D1456" s="133"/>
      <c r="E1456" s="133"/>
      <c r="F1456" s="69"/>
      <c r="G1456" s="9"/>
      <c r="H1456" s="9"/>
      <c r="I1456" s="60" t="str">
        <f t="shared" si="5"/>
        <v/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60" t="str">
        <f t="shared" si="1"/>
        <v/>
      </c>
      <c r="B1457" s="9"/>
      <c r="C1457" s="9"/>
      <c r="D1457" s="133"/>
      <c r="E1457" s="133"/>
      <c r="F1457" s="69"/>
      <c r="G1457" s="9"/>
      <c r="H1457" s="9"/>
      <c r="I1457" s="60" t="str">
        <f t="shared" si="5"/>
        <v/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60" t="str">
        <f t="shared" si="1"/>
        <v/>
      </c>
      <c r="B1458" s="9"/>
      <c r="C1458" s="9"/>
      <c r="D1458" s="133"/>
      <c r="E1458" s="133"/>
      <c r="F1458" s="69"/>
      <c r="G1458" s="9"/>
      <c r="H1458" s="9"/>
      <c r="I1458" s="60" t="str">
        <f t="shared" si="5"/>
        <v/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60" t="str">
        <f t="shared" si="1"/>
        <v/>
      </c>
      <c r="B1459" s="9"/>
      <c r="C1459" s="9"/>
      <c r="D1459" s="133"/>
      <c r="E1459" s="133"/>
      <c r="F1459" s="69"/>
      <c r="G1459" s="9"/>
      <c r="H1459" s="9"/>
      <c r="I1459" s="60" t="str">
        <f t="shared" si="5"/>
        <v/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60" t="str">
        <f t="shared" si="1"/>
        <v/>
      </c>
      <c r="B1460" s="9"/>
      <c r="C1460" s="9"/>
      <c r="D1460" s="133"/>
      <c r="E1460" s="133"/>
      <c r="F1460" s="69"/>
      <c r="G1460" s="9"/>
      <c r="H1460" s="9"/>
      <c r="I1460" s="60" t="str">
        <f t="shared" si="5"/>
        <v/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60" t="str">
        <f t="shared" si="1"/>
        <v/>
      </c>
      <c r="B1461" s="9"/>
      <c r="C1461" s="9"/>
      <c r="D1461" s="133"/>
      <c r="E1461" s="133"/>
      <c r="F1461" s="69"/>
      <c r="G1461" s="9"/>
      <c r="H1461" s="9"/>
      <c r="I1461" s="60" t="str">
        <f t="shared" si="5"/>
        <v/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60" t="str">
        <f t="shared" si="1"/>
        <v/>
      </c>
      <c r="B1462" s="9"/>
      <c r="C1462" s="9"/>
      <c r="D1462" s="133"/>
      <c r="E1462" s="133"/>
      <c r="F1462" s="69"/>
      <c r="G1462" s="9"/>
      <c r="H1462" s="9"/>
      <c r="I1462" s="60" t="str">
        <f t="shared" si="5"/>
        <v/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60" t="str">
        <f t="shared" si="1"/>
        <v/>
      </c>
      <c r="B1463" s="9"/>
      <c r="C1463" s="9"/>
      <c r="D1463" s="133"/>
      <c r="E1463" s="133"/>
      <c r="F1463" s="69"/>
      <c r="G1463" s="9"/>
      <c r="H1463" s="9"/>
      <c r="I1463" s="60" t="str">
        <f t="shared" si="5"/>
        <v/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60" t="str">
        <f t="shared" si="1"/>
        <v/>
      </c>
      <c r="B1464" s="9"/>
      <c r="C1464" s="9"/>
      <c r="D1464" s="133"/>
      <c r="E1464" s="133"/>
      <c r="F1464" s="69"/>
      <c r="G1464" s="9"/>
      <c r="H1464" s="9"/>
      <c r="I1464" s="60" t="str">
        <f t="shared" si="5"/>
        <v/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60" t="str">
        <f t="shared" si="1"/>
        <v/>
      </c>
      <c r="B1465" s="9"/>
      <c r="C1465" s="9"/>
      <c r="D1465" s="133"/>
      <c r="E1465" s="133"/>
      <c r="F1465" s="69"/>
      <c r="G1465" s="9"/>
      <c r="H1465" s="9"/>
      <c r="I1465" s="60" t="str">
        <f t="shared" si="5"/>
        <v/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60" t="str">
        <f t="shared" si="1"/>
        <v/>
      </c>
      <c r="B1466" s="9"/>
      <c r="C1466" s="9"/>
      <c r="D1466" s="133"/>
      <c r="E1466" s="133"/>
      <c r="F1466" s="69"/>
      <c r="G1466" s="9"/>
      <c r="H1466" s="9"/>
      <c r="I1466" s="60" t="str">
        <f t="shared" si="5"/>
        <v/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60" t="str">
        <f t="shared" si="1"/>
        <v/>
      </c>
      <c r="B1467" s="9"/>
      <c r="C1467" s="9"/>
      <c r="D1467" s="133"/>
      <c r="E1467" s="133"/>
      <c r="F1467" s="69"/>
      <c r="G1467" s="9"/>
      <c r="H1467" s="9"/>
      <c r="I1467" s="60" t="str">
        <f t="shared" si="5"/>
        <v/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60" t="str">
        <f t="shared" si="1"/>
        <v/>
      </c>
      <c r="B1468" s="9"/>
      <c r="C1468" s="9"/>
      <c r="D1468" s="133"/>
      <c r="E1468" s="133"/>
      <c r="F1468" s="69"/>
      <c r="G1468" s="9"/>
      <c r="H1468" s="9"/>
      <c r="I1468" s="60" t="str">
        <f t="shared" si="5"/>
        <v/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60" t="str">
        <f t="shared" si="1"/>
        <v/>
      </c>
      <c r="B1469" s="9"/>
      <c r="C1469" s="9"/>
      <c r="D1469" s="133"/>
      <c r="E1469" s="133"/>
      <c r="F1469" s="69"/>
      <c r="G1469" s="9"/>
      <c r="H1469" s="9"/>
      <c r="I1469" s="60" t="str">
        <f t="shared" si="5"/>
        <v/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60" t="str">
        <f t="shared" si="1"/>
        <v/>
      </c>
      <c r="B1470" s="9"/>
      <c r="C1470" s="9"/>
      <c r="D1470" s="133"/>
      <c r="E1470" s="133"/>
      <c r="F1470" s="69"/>
      <c r="G1470" s="9"/>
      <c r="H1470" s="9"/>
      <c r="I1470" s="60" t="str">
        <f t="shared" si="5"/>
        <v/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60" t="str">
        <f t="shared" si="1"/>
        <v/>
      </c>
      <c r="B1471" s="9"/>
      <c r="C1471" s="9"/>
      <c r="D1471" s="133"/>
      <c r="E1471" s="133"/>
      <c r="F1471" s="69"/>
      <c r="G1471" s="9"/>
      <c r="H1471" s="9"/>
      <c r="I1471" s="60" t="str">
        <f t="shared" si="5"/>
        <v/>
      </c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60" t="str">
        <f t="shared" si="1"/>
        <v/>
      </c>
      <c r="B1472" s="9"/>
      <c r="C1472" s="9"/>
      <c r="D1472" s="133"/>
      <c r="E1472" s="133"/>
      <c r="F1472" s="69"/>
      <c r="G1472" s="9"/>
      <c r="H1472" s="9"/>
      <c r="I1472" s="60" t="str">
        <f t="shared" si="5"/>
        <v/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60" t="str">
        <f t="shared" si="1"/>
        <v/>
      </c>
      <c r="B1473" s="9"/>
      <c r="C1473" s="9"/>
      <c r="D1473" s="133"/>
      <c r="E1473" s="133"/>
      <c r="F1473" s="69"/>
      <c r="G1473" s="9"/>
      <c r="H1473" s="9"/>
      <c r="I1473" s="60" t="str">
        <f t="shared" si="5"/>
        <v/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60" t="str">
        <f t="shared" si="1"/>
        <v/>
      </c>
      <c r="B1474" s="9"/>
      <c r="C1474" s="9"/>
      <c r="D1474" s="133"/>
      <c r="E1474" s="133"/>
      <c r="F1474" s="69"/>
      <c r="G1474" s="9"/>
      <c r="H1474" s="9"/>
      <c r="I1474" s="60" t="str">
        <f t="shared" si="5"/>
        <v/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60" t="str">
        <f t="shared" si="1"/>
        <v/>
      </c>
      <c r="B1475" s="9"/>
      <c r="C1475" s="9"/>
      <c r="D1475" s="133"/>
      <c r="E1475" s="133"/>
      <c r="F1475" s="69"/>
      <c r="G1475" s="9"/>
      <c r="H1475" s="9"/>
      <c r="I1475" s="60" t="str">
        <f t="shared" si="5"/>
        <v/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60" t="str">
        <f t="shared" si="1"/>
        <v/>
      </c>
      <c r="B1476" s="9"/>
      <c r="C1476" s="9"/>
      <c r="D1476" s="133"/>
      <c r="E1476" s="133"/>
      <c r="F1476" s="69"/>
      <c r="G1476" s="9"/>
      <c r="H1476" s="9"/>
      <c r="I1476" s="60" t="str">
        <f t="shared" si="5"/>
        <v/>
      </c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60" t="str">
        <f t="shared" si="1"/>
        <v/>
      </c>
      <c r="B1477" s="9"/>
      <c r="C1477" s="9"/>
      <c r="D1477" s="133"/>
      <c r="E1477" s="133"/>
      <c r="F1477" s="69"/>
      <c r="G1477" s="9"/>
      <c r="H1477" s="9"/>
      <c r="I1477" s="60" t="str">
        <f t="shared" si="5"/>
        <v/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60" t="str">
        <f t="shared" si="1"/>
        <v/>
      </c>
      <c r="B1478" s="9"/>
      <c r="C1478" s="9"/>
      <c r="D1478" s="133"/>
      <c r="E1478" s="133"/>
      <c r="F1478" s="69"/>
      <c r="G1478" s="9"/>
      <c r="H1478" s="9"/>
      <c r="I1478" s="60" t="str">
        <f t="shared" si="5"/>
        <v/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60" t="str">
        <f t="shared" si="1"/>
        <v/>
      </c>
      <c r="B1479" s="9"/>
      <c r="C1479" s="9"/>
      <c r="D1479" s="133"/>
      <c r="E1479" s="133"/>
      <c r="F1479" s="69"/>
      <c r="G1479" s="9"/>
      <c r="H1479" s="9"/>
      <c r="I1479" s="60" t="str">
        <f t="shared" si="5"/>
        <v/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60" t="str">
        <f t="shared" si="1"/>
        <v/>
      </c>
      <c r="B1480" s="9"/>
      <c r="C1480" s="9"/>
      <c r="D1480" s="133"/>
      <c r="E1480" s="133"/>
      <c r="F1480" s="69"/>
      <c r="G1480" s="9"/>
      <c r="H1480" s="9"/>
      <c r="I1480" s="60" t="str">
        <f t="shared" si="5"/>
        <v/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60" t="str">
        <f t="shared" si="1"/>
        <v/>
      </c>
      <c r="B1481" s="9"/>
      <c r="C1481" s="9"/>
      <c r="D1481" s="133"/>
      <c r="E1481" s="133"/>
      <c r="F1481" s="69"/>
      <c r="G1481" s="9"/>
      <c r="H1481" s="9"/>
      <c r="I1481" s="60" t="str">
        <f t="shared" si="5"/>
        <v/>
      </c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60" t="str">
        <f t="shared" si="1"/>
        <v/>
      </c>
      <c r="B1482" s="9"/>
      <c r="C1482" s="9"/>
      <c r="D1482" s="133"/>
      <c r="E1482" s="133"/>
      <c r="F1482" s="69"/>
      <c r="G1482" s="9"/>
      <c r="H1482" s="9"/>
      <c r="I1482" s="60" t="str">
        <f t="shared" si="5"/>
        <v/>
      </c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60" t="str">
        <f t="shared" si="1"/>
        <v/>
      </c>
      <c r="B1483" s="9"/>
      <c r="C1483" s="9"/>
      <c r="D1483" s="133"/>
      <c r="E1483" s="133"/>
      <c r="F1483" s="69"/>
      <c r="G1483" s="9"/>
      <c r="H1483" s="9"/>
      <c r="I1483" s="60" t="str">
        <f t="shared" si="5"/>
        <v/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60" t="str">
        <f t="shared" si="1"/>
        <v/>
      </c>
      <c r="B1484" s="9"/>
      <c r="C1484" s="9"/>
      <c r="D1484" s="133"/>
      <c r="E1484" s="133"/>
      <c r="F1484" s="69"/>
      <c r="G1484" s="9"/>
      <c r="H1484" s="9"/>
      <c r="I1484" s="60" t="str">
        <f t="shared" si="5"/>
        <v/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60" t="str">
        <f t="shared" si="1"/>
        <v/>
      </c>
      <c r="B1485" s="9"/>
      <c r="C1485" s="9"/>
      <c r="D1485" s="133"/>
      <c r="E1485" s="133"/>
      <c r="F1485" s="69"/>
      <c r="G1485" s="9"/>
      <c r="H1485" s="9"/>
      <c r="I1485" s="60" t="str">
        <f t="shared" si="5"/>
        <v/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60" t="str">
        <f t="shared" si="1"/>
        <v/>
      </c>
      <c r="B1486" s="9"/>
      <c r="C1486" s="9"/>
      <c r="D1486" s="133"/>
      <c r="E1486" s="133"/>
      <c r="F1486" s="69"/>
      <c r="G1486" s="9"/>
      <c r="H1486" s="9"/>
      <c r="I1486" s="60" t="str">
        <f t="shared" si="5"/>
        <v/>
      </c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60" t="str">
        <f t="shared" si="1"/>
        <v/>
      </c>
      <c r="B1487" s="9"/>
      <c r="C1487" s="9"/>
      <c r="D1487" s="133"/>
      <c r="E1487" s="133"/>
      <c r="F1487" s="69"/>
      <c r="G1487" s="9"/>
      <c r="H1487" s="9"/>
      <c r="I1487" s="60" t="str">
        <f t="shared" si="5"/>
        <v/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60" t="str">
        <f t="shared" si="1"/>
        <v/>
      </c>
      <c r="B1488" s="9"/>
      <c r="C1488" s="9"/>
      <c r="D1488" s="133"/>
      <c r="E1488" s="133"/>
      <c r="F1488" s="69"/>
      <c r="G1488" s="9"/>
      <c r="H1488" s="9"/>
      <c r="I1488" s="60" t="str">
        <f t="shared" si="5"/>
        <v/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60" t="str">
        <f t="shared" si="1"/>
        <v/>
      </c>
      <c r="B1489" s="9"/>
      <c r="C1489" s="9"/>
      <c r="D1489" s="133"/>
      <c r="E1489" s="133"/>
      <c r="F1489" s="69"/>
      <c r="G1489" s="9"/>
      <c r="H1489" s="9"/>
      <c r="I1489" s="60" t="str">
        <f t="shared" si="5"/>
        <v/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60" t="str">
        <f t="shared" si="1"/>
        <v/>
      </c>
      <c r="B1490" s="9"/>
      <c r="C1490" s="9"/>
      <c r="D1490" s="133"/>
      <c r="E1490" s="133"/>
      <c r="F1490" s="69"/>
      <c r="G1490" s="9"/>
      <c r="H1490" s="9"/>
      <c r="I1490" s="60" t="str">
        <f t="shared" si="5"/>
        <v/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60" t="str">
        <f t="shared" si="1"/>
        <v/>
      </c>
      <c r="B1491" s="9"/>
      <c r="C1491" s="9"/>
      <c r="D1491" s="133"/>
      <c r="E1491" s="133"/>
      <c r="F1491" s="69"/>
      <c r="G1491" s="9"/>
      <c r="H1491" s="9"/>
      <c r="I1491" s="60" t="str">
        <f t="shared" si="5"/>
        <v/>
      </c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60" t="str">
        <f t="shared" si="1"/>
        <v/>
      </c>
      <c r="B1492" s="9"/>
      <c r="C1492" s="9"/>
      <c r="D1492" s="133"/>
      <c r="E1492" s="133"/>
      <c r="F1492" s="69"/>
      <c r="G1492" s="9"/>
      <c r="H1492" s="9"/>
      <c r="I1492" s="60" t="str">
        <f t="shared" si="5"/>
        <v/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60" t="str">
        <f t="shared" si="1"/>
        <v/>
      </c>
      <c r="B1493" s="9"/>
      <c r="C1493" s="9"/>
      <c r="D1493" s="133"/>
      <c r="E1493" s="133"/>
      <c r="F1493" s="69"/>
      <c r="G1493" s="9"/>
      <c r="H1493" s="9"/>
      <c r="I1493" s="60" t="str">
        <f t="shared" si="5"/>
        <v/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60" t="str">
        <f t="shared" si="1"/>
        <v/>
      </c>
      <c r="B1494" s="9"/>
      <c r="C1494" s="9"/>
      <c r="D1494" s="133"/>
      <c r="E1494" s="133"/>
      <c r="F1494" s="69"/>
      <c r="G1494" s="9"/>
      <c r="H1494" s="9"/>
      <c r="I1494" s="60" t="str">
        <f t="shared" si="5"/>
        <v/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60" t="str">
        <f t="shared" si="1"/>
        <v/>
      </c>
      <c r="B1495" s="9"/>
      <c r="C1495" s="9"/>
      <c r="D1495" s="133"/>
      <c r="E1495" s="133"/>
      <c r="F1495" s="69"/>
      <c r="G1495" s="9"/>
      <c r="H1495" s="9"/>
      <c r="I1495" s="60" t="str">
        <f t="shared" si="5"/>
        <v/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60" t="str">
        <f t="shared" si="1"/>
        <v/>
      </c>
      <c r="B1496" s="9"/>
      <c r="C1496" s="9"/>
      <c r="D1496" s="133"/>
      <c r="E1496" s="133"/>
      <c r="F1496" s="69"/>
      <c r="G1496" s="9"/>
      <c r="H1496" s="9"/>
      <c r="I1496" s="60" t="str">
        <f t="shared" si="5"/>
        <v/>
      </c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60" t="str">
        <f t="shared" si="1"/>
        <v/>
      </c>
      <c r="B1497" s="9"/>
      <c r="C1497" s="9"/>
      <c r="D1497" s="133"/>
      <c r="E1497" s="133"/>
      <c r="F1497" s="69"/>
      <c r="G1497" s="9"/>
      <c r="H1497" s="9"/>
      <c r="I1497" s="60" t="str">
        <f t="shared" si="5"/>
        <v/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60" t="str">
        <f t="shared" si="1"/>
        <v/>
      </c>
      <c r="B1498" s="9"/>
      <c r="C1498" s="9"/>
      <c r="D1498" s="133"/>
      <c r="E1498" s="133"/>
      <c r="F1498" s="69"/>
      <c r="G1498" s="9"/>
      <c r="H1498" s="9"/>
      <c r="I1498" s="60" t="str">
        <f t="shared" si="5"/>
        <v/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60" t="str">
        <f t="shared" si="1"/>
        <v/>
      </c>
      <c r="B1499" s="9"/>
      <c r="C1499" s="9"/>
      <c r="D1499" s="133"/>
      <c r="E1499" s="133"/>
      <c r="F1499" s="69"/>
      <c r="G1499" s="9"/>
      <c r="H1499" s="9"/>
      <c r="I1499" s="60" t="str">
        <f t="shared" si="5"/>
        <v/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60" t="str">
        <f t="shared" si="1"/>
        <v/>
      </c>
      <c r="B1500" s="9"/>
      <c r="C1500" s="9"/>
      <c r="D1500" s="133"/>
      <c r="E1500" s="133"/>
      <c r="F1500" s="69"/>
      <c r="G1500" s="9"/>
      <c r="H1500" s="9"/>
      <c r="I1500" s="60" t="str">
        <f t="shared" si="5"/>
        <v/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60" t="str">
        <f t="shared" si="1"/>
        <v/>
      </c>
      <c r="B1501" s="9"/>
      <c r="C1501" s="9"/>
      <c r="D1501" s="133"/>
      <c r="E1501" s="133"/>
      <c r="F1501" s="69"/>
      <c r="G1501" s="9"/>
      <c r="H1501" s="9"/>
      <c r="I1501" s="60" t="str">
        <f t="shared" si="5"/>
        <v/>
      </c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60" t="str">
        <f t="shared" si="1"/>
        <v/>
      </c>
      <c r="B1502" s="9"/>
      <c r="C1502" s="9"/>
      <c r="D1502" s="133"/>
      <c r="E1502" s="133"/>
      <c r="F1502" s="69"/>
      <c r="G1502" s="9"/>
      <c r="H1502" s="9"/>
      <c r="I1502" s="60" t="str">
        <f t="shared" si="5"/>
        <v/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60" t="str">
        <f t="shared" si="1"/>
        <v/>
      </c>
      <c r="B1503" s="9"/>
      <c r="C1503" s="9"/>
      <c r="D1503" s="133"/>
      <c r="E1503" s="133"/>
      <c r="F1503" s="69"/>
      <c r="G1503" s="9"/>
      <c r="H1503" s="9"/>
      <c r="I1503" s="60" t="str">
        <f t="shared" si="5"/>
        <v/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60" t="str">
        <f t="shared" si="1"/>
        <v/>
      </c>
      <c r="B1504" s="9"/>
      <c r="C1504" s="9"/>
      <c r="D1504" s="133"/>
      <c r="E1504" s="133"/>
      <c r="F1504" s="69"/>
      <c r="G1504" s="9"/>
      <c r="H1504" s="9"/>
      <c r="I1504" s="60" t="str">
        <f t="shared" si="5"/>
        <v/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60" t="str">
        <f t="shared" si="1"/>
        <v/>
      </c>
      <c r="B1505" s="9"/>
      <c r="C1505" s="9"/>
      <c r="D1505" s="133"/>
      <c r="E1505" s="133"/>
      <c r="F1505" s="69"/>
      <c r="G1505" s="9"/>
      <c r="H1505" s="9"/>
      <c r="I1505" s="60" t="str">
        <f t="shared" si="5"/>
        <v/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60" t="str">
        <f t="shared" si="1"/>
        <v/>
      </c>
      <c r="B1506" s="9"/>
      <c r="C1506" s="9"/>
      <c r="D1506" s="133"/>
      <c r="E1506" s="133"/>
      <c r="F1506" s="69"/>
      <c r="G1506" s="9"/>
      <c r="H1506" s="9"/>
      <c r="I1506" s="60" t="str">
        <f t="shared" si="5"/>
        <v/>
      </c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60" t="str">
        <f t="shared" si="1"/>
        <v/>
      </c>
      <c r="B1507" s="9"/>
      <c r="C1507" s="9"/>
      <c r="D1507" s="133"/>
      <c r="E1507" s="133"/>
      <c r="F1507" s="69"/>
      <c r="G1507" s="9"/>
      <c r="H1507" s="9"/>
      <c r="I1507" s="60" t="str">
        <f t="shared" si="5"/>
        <v/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60" t="str">
        <f t="shared" si="1"/>
        <v/>
      </c>
      <c r="B1508" s="9"/>
      <c r="C1508" s="9"/>
      <c r="D1508" s="133"/>
      <c r="E1508" s="133"/>
      <c r="F1508" s="69"/>
      <c r="G1508" s="9"/>
      <c r="H1508" s="9"/>
      <c r="I1508" s="60" t="str">
        <f t="shared" si="5"/>
        <v/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60" t="str">
        <f t="shared" si="1"/>
        <v/>
      </c>
      <c r="B1509" s="9"/>
      <c r="C1509" s="9"/>
      <c r="D1509" s="133"/>
      <c r="E1509" s="133"/>
      <c r="F1509" s="69"/>
      <c r="G1509" s="9"/>
      <c r="H1509" s="9"/>
      <c r="I1509" s="60" t="str">
        <f t="shared" si="5"/>
        <v/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60" t="str">
        <f t="shared" si="1"/>
        <v/>
      </c>
      <c r="B1510" s="9"/>
      <c r="C1510" s="9"/>
      <c r="D1510" s="133"/>
      <c r="E1510" s="133"/>
      <c r="F1510" s="69"/>
      <c r="G1510" s="9"/>
      <c r="H1510" s="9"/>
      <c r="I1510" s="60" t="str">
        <f t="shared" si="5"/>
        <v/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60" t="str">
        <f t="shared" si="1"/>
        <v/>
      </c>
      <c r="B1511" s="9"/>
      <c r="C1511" s="9"/>
      <c r="D1511" s="133"/>
      <c r="E1511" s="133"/>
      <c r="F1511" s="69"/>
      <c r="G1511" s="9"/>
      <c r="H1511" s="9"/>
      <c r="I1511" s="60" t="str">
        <f t="shared" si="5"/>
        <v/>
      </c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60" t="str">
        <f t="shared" si="1"/>
        <v/>
      </c>
      <c r="B1512" s="9"/>
      <c r="C1512" s="9"/>
      <c r="D1512" s="133"/>
      <c r="E1512" s="133"/>
      <c r="F1512" s="69"/>
      <c r="G1512" s="9"/>
      <c r="H1512" s="9"/>
      <c r="I1512" s="60" t="str">
        <f t="shared" si="5"/>
        <v/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60" t="str">
        <f t="shared" si="1"/>
        <v/>
      </c>
      <c r="B1513" s="9"/>
      <c r="C1513" s="9"/>
      <c r="D1513" s="133"/>
      <c r="E1513" s="133"/>
      <c r="F1513" s="69"/>
      <c r="G1513" s="9"/>
      <c r="H1513" s="9"/>
      <c r="I1513" s="60" t="str">
        <f t="shared" si="5"/>
        <v/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60" t="str">
        <f t="shared" si="1"/>
        <v/>
      </c>
      <c r="B1514" s="9"/>
      <c r="C1514" s="9"/>
      <c r="D1514" s="133"/>
      <c r="E1514" s="133"/>
      <c r="F1514" s="69"/>
      <c r="G1514" s="9"/>
      <c r="H1514" s="9"/>
      <c r="I1514" s="60" t="str">
        <f t="shared" si="5"/>
        <v/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60" t="str">
        <f t="shared" si="1"/>
        <v/>
      </c>
      <c r="B1515" s="9"/>
      <c r="C1515" s="9"/>
      <c r="D1515" s="133"/>
      <c r="E1515" s="133"/>
      <c r="F1515" s="69"/>
      <c r="G1515" s="9"/>
      <c r="H1515" s="9"/>
      <c r="I1515" s="60" t="str">
        <f t="shared" si="5"/>
        <v/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60" t="str">
        <f t="shared" si="1"/>
        <v/>
      </c>
      <c r="B1516" s="9"/>
      <c r="C1516" s="9"/>
      <c r="D1516" s="133"/>
      <c r="E1516" s="133"/>
      <c r="F1516" s="69"/>
      <c r="G1516" s="9"/>
      <c r="H1516" s="9"/>
      <c r="I1516" s="60" t="str">
        <f t="shared" si="5"/>
        <v/>
      </c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60" t="str">
        <f t="shared" si="1"/>
        <v/>
      </c>
      <c r="B1517" s="9"/>
      <c r="C1517" s="9"/>
      <c r="D1517" s="133"/>
      <c r="E1517" s="133"/>
      <c r="F1517" s="69"/>
      <c r="G1517" s="9"/>
      <c r="H1517" s="9"/>
      <c r="I1517" s="60" t="str">
        <f t="shared" si="5"/>
        <v/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60" t="str">
        <f t="shared" si="1"/>
        <v/>
      </c>
      <c r="B1518" s="9"/>
      <c r="C1518" s="9"/>
      <c r="D1518" s="133"/>
      <c r="E1518" s="133"/>
      <c r="F1518" s="69"/>
      <c r="G1518" s="9"/>
      <c r="H1518" s="9"/>
      <c r="I1518" s="60" t="str">
        <f t="shared" si="5"/>
        <v/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60" t="str">
        <f t="shared" si="1"/>
        <v/>
      </c>
      <c r="B1519" s="9"/>
      <c r="C1519" s="9"/>
      <c r="D1519" s="133"/>
      <c r="E1519" s="133"/>
      <c r="F1519" s="69"/>
      <c r="G1519" s="9"/>
      <c r="H1519" s="9"/>
      <c r="I1519" s="60" t="str">
        <f t="shared" si="5"/>
        <v/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60" t="str">
        <f t="shared" si="1"/>
        <v/>
      </c>
      <c r="B1520" s="9"/>
      <c r="C1520" s="9"/>
      <c r="D1520" s="133"/>
      <c r="E1520" s="133"/>
      <c r="F1520" s="69"/>
      <c r="G1520" s="9"/>
      <c r="H1520" s="9"/>
      <c r="I1520" s="60" t="str">
        <f t="shared" si="5"/>
        <v/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60" t="str">
        <f t="shared" si="1"/>
        <v/>
      </c>
      <c r="B1521" s="9"/>
      <c r="C1521" s="9"/>
      <c r="D1521" s="133"/>
      <c r="E1521" s="133"/>
      <c r="F1521" s="69"/>
      <c r="G1521" s="9"/>
      <c r="H1521" s="9"/>
      <c r="I1521" s="60" t="str">
        <f t="shared" si="5"/>
        <v/>
      </c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60" t="str">
        <f t="shared" si="1"/>
        <v/>
      </c>
      <c r="B1522" s="9"/>
      <c r="C1522" s="9"/>
      <c r="D1522" s="133"/>
      <c r="E1522" s="133"/>
      <c r="F1522" s="69"/>
      <c r="G1522" s="9"/>
      <c r="H1522" s="9"/>
      <c r="I1522" s="60" t="str">
        <f t="shared" si="5"/>
        <v/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60" t="str">
        <f t="shared" si="1"/>
        <v/>
      </c>
      <c r="B1523" s="9"/>
      <c r="C1523" s="9"/>
      <c r="D1523" s="133"/>
      <c r="E1523" s="133"/>
      <c r="F1523" s="69"/>
      <c r="G1523" s="9"/>
      <c r="H1523" s="9"/>
      <c r="I1523" s="60" t="str">
        <f t="shared" si="5"/>
        <v/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60" t="str">
        <f t="shared" si="1"/>
        <v/>
      </c>
      <c r="B1524" s="9"/>
      <c r="C1524" s="9"/>
      <c r="D1524" s="133"/>
      <c r="E1524" s="133"/>
      <c r="F1524" s="69"/>
      <c r="G1524" s="9"/>
      <c r="H1524" s="9"/>
      <c r="I1524" s="60" t="str">
        <f t="shared" si="5"/>
        <v/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60" t="str">
        <f t="shared" si="1"/>
        <v/>
      </c>
      <c r="B1525" s="9"/>
      <c r="C1525" s="9"/>
      <c r="D1525" s="133"/>
      <c r="E1525" s="133"/>
      <c r="F1525" s="69"/>
      <c r="G1525" s="9"/>
      <c r="H1525" s="9"/>
      <c r="I1525" s="60" t="str">
        <f t="shared" si="5"/>
        <v/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60" t="str">
        <f t="shared" si="1"/>
        <v/>
      </c>
      <c r="B1526" s="9"/>
      <c r="C1526" s="9"/>
      <c r="D1526" s="133"/>
      <c r="E1526" s="133"/>
      <c r="F1526" s="69"/>
      <c r="G1526" s="9"/>
      <c r="H1526" s="9"/>
      <c r="I1526" s="60" t="str">
        <f t="shared" si="5"/>
        <v/>
      </c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60" t="str">
        <f t="shared" si="1"/>
        <v/>
      </c>
      <c r="B1527" s="9"/>
      <c r="C1527" s="9"/>
      <c r="D1527" s="133"/>
      <c r="E1527" s="133"/>
      <c r="F1527" s="69"/>
      <c r="G1527" s="9"/>
      <c r="H1527" s="9"/>
      <c r="I1527" s="60" t="str">
        <f t="shared" si="5"/>
        <v/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60" t="str">
        <f t="shared" si="1"/>
        <v/>
      </c>
      <c r="B1528" s="9"/>
      <c r="C1528" s="9"/>
      <c r="D1528" s="133"/>
      <c r="E1528" s="133"/>
      <c r="F1528" s="69"/>
      <c r="G1528" s="9"/>
      <c r="H1528" s="9"/>
      <c r="I1528" s="60" t="str">
        <f t="shared" si="5"/>
        <v/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60" t="str">
        <f t="shared" si="1"/>
        <v/>
      </c>
      <c r="B1529" s="9"/>
      <c r="C1529" s="9"/>
      <c r="D1529" s="133"/>
      <c r="E1529" s="133"/>
      <c r="F1529" s="69"/>
      <c r="G1529" s="9"/>
      <c r="H1529" s="9"/>
      <c r="I1529" s="60" t="str">
        <f t="shared" si="5"/>
        <v/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60" t="str">
        <f t="shared" si="1"/>
        <v/>
      </c>
      <c r="B1530" s="9"/>
      <c r="C1530" s="9"/>
      <c r="D1530" s="133"/>
      <c r="E1530" s="133"/>
      <c r="F1530" s="69"/>
      <c r="G1530" s="9"/>
      <c r="H1530" s="9"/>
      <c r="I1530" s="60" t="str">
        <f t="shared" si="5"/>
        <v/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60" t="str">
        <f t="shared" si="1"/>
        <v/>
      </c>
      <c r="B1531" s="9"/>
      <c r="C1531" s="9"/>
      <c r="D1531" s="133"/>
      <c r="E1531" s="133"/>
      <c r="F1531" s="69"/>
      <c r="G1531" s="9"/>
      <c r="H1531" s="9"/>
      <c r="I1531" s="60" t="str">
        <f t="shared" si="5"/>
        <v/>
      </c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60" t="str">
        <f t="shared" si="1"/>
        <v/>
      </c>
      <c r="B1532" s="9"/>
      <c r="C1532" s="9"/>
      <c r="D1532" s="133"/>
      <c r="E1532" s="133"/>
      <c r="F1532" s="69"/>
      <c r="G1532" s="9"/>
      <c r="H1532" s="9"/>
      <c r="I1532" s="60" t="str">
        <f t="shared" si="5"/>
        <v/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60" t="str">
        <f t="shared" si="1"/>
        <v/>
      </c>
      <c r="B1533" s="9"/>
      <c r="C1533" s="9"/>
      <c r="D1533" s="133"/>
      <c r="E1533" s="133"/>
      <c r="F1533" s="69"/>
      <c r="G1533" s="9"/>
      <c r="H1533" s="9"/>
      <c r="I1533" s="60" t="str">
        <f t="shared" si="5"/>
        <v/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60" t="str">
        <f t="shared" si="1"/>
        <v/>
      </c>
      <c r="B1534" s="9"/>
      <c r="C1534" s="9"/>
      <c r="D1534" s="133"/>
      <c r="E1534" s="133"/>
      <c r="F1534" s="69"/>
      <c r="G1534" s="9"/>
      <c r="H1534" s="9"/>
      <c r="I1534" s="60" t="str">
        <f t="shared" si="5"/>
        <v/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60" t="str">
        <f t="shared" si="1"/>
        <v/>
      </c>
      <c r="B1535" s="9"/>
      <c r="C1535" s="9"/>
      <c r="D1535" s="133"/>
      <c r="E1535" s="133"/>
      <c r="F1535" s="69"/>
      <c r="G1535" s="9"/>
      <c r="H1535" s="9"/>
      <c r="I1535" s="60" t="str">
        <f t="shared" si="5"/>
        <v/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60" t="str">
        <f t="shared" si="1"/>
        <v/>
      </c>
      <c r="B1536" s="9"/>
      <c r="C1536" s="9"/>
      <c r="D1536" s="133"/>
      <c r="E1536" s="133"/>
      <c r="F1536" s="69"/>
      <c r="G1536" s="9"/>
      <c r="H1536" s="9"/>
      <c r="I1536" s="60" t="str">
        <f t="shared" si="5"/>
        <v/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60" t="str">
        <f t="shared" si="1"/>
        <v/>
      </c>
      <c r="B1537" s="9"/>
      <c r="C1537" s="9"/>
      <c r="D1537" s="133"/>
      <c r="E1537" s="133"/>
      <c r="F1537" s="69"/>
      <c r="G1537" s="9"/>
      <c r="H1537" s="9"/>
      <c r="I1537" s="60" t="str">
        <f t="shared" si="5"/>
        <v/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60" t="str">
        <f t="shared" si="1"/>
        <v/>
      </c>
      <c r="B1538" s="9"/>
      <c r="C1538" s="9"/>
      <c r="D1538" s="133"/>
      <c r="E1538" s="133"/>
      <c r="F1538" s="69"/>
      <c r="G1538" s="9"/>
      <c r="H1538" s="9"/>
      <c r="I1538" s="60" t="str">
        <f t="shared" si="5"/>
        <v/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60" t="str">
        <f t="shared" si="1"/>
        <v/>
      </c>
      <c r="B1539" s="9"/>
      <c r="C1539" s="9"/>
      <c r="D1539" s="133"/>
      <c r="E1539" s="133"/>
      <c r="F1539" s="69"/>
      <c r="G1539" s="9"/>
      <c r="H1539" s="9"/>
      <c r="I1539" s="60" t="str">
        <f t="shared" si="5"/>
        <v/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60" t="str">
        <f t="shared" si="1"/>
        <v/>
      </c>
      <c r="B1540" s="9"/>
      <c r="C1540" s="9"/>
      <c r="D1540" s="133"/>
      <c r="E1540" s="133"/>
      <c r="F1540" s="69"/>
      <c r="G1540" s="9"/>
      <c r="H1540" s="9"/>
      <c r="I1540" s="60" t="str">
        <f t="shared" si="5"/>
        <v/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60" t="str">
        <f t="shared" si="1"/>
        <v/>
      </c>
      <c r="B1541" s="9"/>
      <c r="C1541" s="9"/>
      <c r="D1541" s="133"/>
      <c r="E1541" s="133"/>
      <c r="F1541" s="69"/>
      <c r="G1541" s="9"/>
      <c r="H1541" s="9"/>
      <c r="I1541" s="60" t="str">
        <f t="shared" si="5"/>
        <v/>
      </c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60" t="str">
        <f t="shared" si="1"/>
        <v/>
      </c>
      <c r="B1542" s="9"/>
      <c r="C1542" s="9"/>
      <c r="D1542" s="133"/>
      <c r="E1542" s="133"/>
      <c r="F1542" s="69"/>
      <c r="G1542" s="9"/>
      <c r="H1542" s="9"/>
      <c r="I1542" s="60" t="str">
        <f t="shared" si="5"/>
        <v/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60" t="str">
        <f t="shared" si="1"/>
        <v/>
      </c>
      <c r="B1543" s="9"/>
      <c r="C1543" s="9"/>
      <c r="D1543" s="133"/>
      <c r="E1543" s="133"/>
      <c r="F1543" s="69"/>
      <c r="G1543" s="9"/>
      <c r="H1543" s="9"/>
      <c r="I1543" s="60" t="str">
        <f t="shared" si="5"/>
        <v/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60" t="str">
        <f t="shared" si="1"/>
        <v/>
      </c>
      <c r="B1544" s="9"/>
      <c r="C1544" s="9"/>
      <c r="D1544" s="133"/>
      <c r="E1544" s="133"/>
      <c r="F1544" s="69"/>
      <c r="G1544" s="9"/>
      <c r="H1544" s="9"/>
      <c r="I1544" s="60" t="str">
        <f t="shared" si="5"/>
        <v/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60" t="str">
        <f t="shared" si="1"/>
        <v/>
      </c>
      <c r="B1545" s="9"/>
      <c r="C1545" s="9"/>
      <c r="D1545" s="133"/>
      <c r="E1545" s="133"/>
      <c r="F1545" s="69"/>
      <c r="G1545" s="9"/>
      <c r="H1545" s="9"/>
      <c r="I1545" s="60" t="str">
        <f t="shared" si="5"/>
        <v/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60" t="str">
        <f t="shared" si="1"/>
        <v/>
      </c>
      <c r="B1546" s="9"/>
      <c r="C1546" s="9"/>
      <c r="D1546" s="133"/>
      <c r="E1546" s="133"/>
      <c r="F1546" s="69"/>
      <c r="G1546" s="9"/>
      <c r="H1546" s="9"/>
      <c r="I1546" s="60" t="str">
        <f t="shared" si="5"/>
        <v/>
      </c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60" t="str">
        <f t="shared" si="1"/>
        <v/>
      </c>
      <c r="B1547" s="9"/>
      <c r="C1547" s="9"/>
      <c r="D1547" s="133"/>
      <c r="E1547" s="133"/>
      <c r="F1547" s="69"/>
      <c r="G1547" s="9"/>
      <c r="H1547" s="9"/>
      <c r="I1547" s="60" t="str">
        <f t="shared" si="5"/>
        <v/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60" t="str">
        <f t="shared" si="1"/>
        <v/>
      </c>
      <c r="B1548" s="9"/>
      <c r="C1548" s="9"/>
      <c r="D1548" s="133"/>
      <c r="E1548" s="133"/>
      <c r="F1548" s="69"/>
      <c r="G1548" s="9"/>
      <c r="H1548" s="9"/>
      <c r="I1548" s="60" t="str">
        <f t="shared" si="5"/>
        <v/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60" t="str">
        <f t="shared" si="1"/>
        <v/>
      </c>
      <c r="B1549" s="9"/>
      <c r="C1549" s="9"/>
      <c r="D1549" s="133"/>
      <c r="E1549" s="133"/>
      <c r="F1549" s="69"/>
      <c r="G1549" s="9"/>
      <c r="H1549" s="9"/>
      <c r="I1549" s="60" t="str">
        <f t="shared" si="5"/>
        <v/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60" t="str">
        <f t="shared" si="1"/>
        <v/>
      </c>
      <c r="B1550" s="9"/>
      <c r="C1550" s="9"/>
      <c r="D1550" s="133"/>
      <c r="E1550" s="133"/>
      <c r="F1550" s="69"/>
      <c r="G1550" s="9"/>
      <c r="H1550" s="9"/>
      <c r="I1550" s="60" t="str">
        <f t="shared" si="5"/>
        <v/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60" t="str">
        <f t="shared" si="1"/>
        <v/>
      </c>
      <c r="B1551" s="9"/>
      <c r="C1551" s="9"/>
      <c r="D1551" s="133"/>
      <c r="E1551" s="133"/>
      <c r="F1551" s="69"/>
      <c r="G1551" s="9"/>
      <c r="H1551" s="9"/>
      <c r="I1551" s="60" t="str">
        <f t="shared" si="5"/>
        <v/>
      </c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60" t="str">
        <f t="shared" si="1"/>
        <v/>
      </c>
      <c r="B1552" s="9"/>
      <c r="C1552" s="9"/>
      <c r="D1552" s="133"/>
      <c r="E1552" s="133"/>
      <c r="F1552" s="69"/>
      <c r="G1552" s="9"/>
      <c r="H1552" s="9"/>
      <c r="I1552" s="60" t="str">
        <f t="shared" si="5"/>
        <v/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60" t="str">
        <f t="shared" si="1"/>
        <v/>
      </c>
      <c r="B1553" s="9"/>
      <c r="C1553" s="9"/>
      <c r="D1553" s="133"/>
      <c r="E1553" s="133"/>
      <c r="F1553" s="69"/>
      <c r="G1553" s="9"/>
      <c r="H1553" s="9"/>
      <c r="I1553" s="60" t="str">
        <f t="shared" si="5"/>
        <v/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60" t="str">
        <f t="shared" si="1"/>
        <v/>
      </c>
      <c r="B1554" s="9"/>
      <c r="C1554" s="9"/>
      <c r="D1554" s="133"/>
      <c r="E1554" s="133"/>
      <c r="F1554" s="69"/>
      <c r="G1554" s="9"/>
      <c r="H1554" s="9"/>
      <c r="I1554" s="60" t="str">
        <f t="shared" si="5"/>
        <v/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60" t="str">
        <f t="shared" si="1"/>
        <v/>
      </c>
      <c r="B1555" s="9"/>
      <c r="C1555" s="9"/>
      <c r="D1555" s="133"/>
      <c r="E1555" s="133"/>
      <c r="F1555" s="69"/>
      <c r="G1555" s="9"/>
      <c r="H1555" s="9"/>
      <c r="I1555" s="60" t="str">
        <f t="shared" si="5"/>
        <v/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60" t="str">
        <f t="shared" si="1"/>
        <v/>
      </c>
      <c r="B1556" s="9"/>
      <c r="C1556" s="9"/>
      <c r="D1556" s="133"/>
      <c r="E1556" s="133"/>
      <c r="F1556" s="69"/>
      <c r="G1556" s="9"/>
      <c r="H1556" s="9"/>
      <c r="I1556" s="60" t="str">
        <f t="shared" si="5"/>
        <v/>
      </c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60" t="str">
        <f t="shared" si="1"/>
        <v/>
      </c>
      <c r="B1557" s="9"/>
      <c r="C1557" s="9"/>
      <c r="D1557" s="133"/>
      <c r="E1557" s="133"/>
      <c r="F1557" s="69"/>
      <c r="G1557" s="9"/>
      <c r="H1557" s="9"/>
      <c r="I1557" s="60" t="str">
        <f t="shared" si="5"/>
        <v/>
      </c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60" t="str">
        <f t="shared" si="1"/>
        <v/>
      </c>
      <c r="B1558" s="9"/>
      <c r="C1558" s="9"/>
      <c r="D1558" s="133"/>
      <c r="E1558" s="133"/>
      <c r="F1558" s="69"/>
      <c r="G1558" s="9"/>
      <c r="H1558" s="9"/>
      <c r="I1558" s="60" t="str">
        <f t="shared" si="5"/>
        <v/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60" t="str">
        <f t="shared" si="1"/>
        <v/>
      </c>
      <c r="B1559" s="9"/>
      <c r="C1559" s="9"/>
      <c r="D1559" s="133"/>
      <c r="E1559" s="133"/>
      <c r="F1559" s="69"/>
      <c r="G1559" s="9"/>
      <c r="H1559" s="9"/>
      <c r="I1559" s="60" t="str">
        <f t="shared" si="5"/>
        <v/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60" t="str">
        <f t="shared" si="1"/>
        <v/>
      </c>
      <c r="B1560" s="9"/>
      <c r="C1560" s="9"/>
      <c r="D1560" s="133"/>
      <c r="E1560" s="133"/>
      <c r="F1560" s="69"/>
      <c r="G1560" s="9"/>
      <c r="H1560" s="9"/>
      <c r="I1560" s="60" t="str">
        <f t="shared" si="5"/>
        <v/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60" t="str">
        <f t="shared" si="1"/>
        <v/>
      </c>
      <c r="B1561" s="9"/>
      <c r="C1561" s="9"/>
      <c r="D1561" s="133"/>
      <c r="E1561" s="133"/>
      <c r="F1561" s="69"/>
      <c r="G1561" s="9"/>
      <c r="H1561" s="9"/>
      <c r="I1561" s="60" t="str">
        <f t="shared" si="5"/>
        <v/>
      </c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60" t="str">
        <f t="shared" si="1"/>
        <v/>
      </c>
      <c r="B1562" s="9"/>
      <c r="C1562" s="9"/>
      <c r="D1562" s="133"/>
      <c r="E1562" s="133"/>
      <c r="F1562" s="69"/>
      <c r="G1562" s="9"/>
      <c r="H1562" s="9"/>
      <c r="I1562" s="60" t="str">
        <f t="shared" si="5"/>
        <v/>
      </c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60" t="str">
        <f t="shared" si="1"/>
        <v/>
      </c>
      <c r="B1563" s="9"/>
      <c r="C1563" s="9"/>
      <c r="D1563" s="133"/>
      <c r="E1563" s="133"/>
      <c r="F1563" s="69"/>
      <c r="G1563" s="9"/>
      <c r="H1563" s="9"/>
      <c r="I1563" s="60" t="str">
        <f t="shared" si="5"/>
        <v/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60" t="str">
        <f t="shared" si="1"/>
        <v/>
      </c>
      <c r="B1564" s="9"/>
      <c r="C1564" s="9"/>
      <c r="D1564" s="133"/>
      <c r="E1564" s="133"/>
      <c r="F1564" s="69"/>
      <c r="G1564" s="9"/>
      <c r="H1564" s="9"/>
      <c r="I1564" s="60" t="str">
        <f t="shared" si="5"/>
        <v/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60" t="str">
        <f t="shared" si="1"/>
        <v/>
      </c>
      <c r="B1565" s="9"/>
      <c r="C1565" s="9"/>
      <c r="D1565" s="133"/>
      <c r="E1565" s="133"/>
      <c r="F1565" s="69"/>
      <c r="G1565" s="9"/>
      <c r="H1565" s="9"/>
      <c r="I1565" s="60" t="str">
        <f t="shared" si="5"/>
        <v/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60" t="str">
        <f t="shared" si="1"/>
        <v/>
      </c>
      <c r="B1566" s="9"/>
      <c r="C1566" s="9"/>
      <c r="D1566" s="133"/>
      <c r="E1566" s="133"/>
      <c r="F1566" s="69"/>
      <c r="G1566" s="9"/>
      <c r="H1566" s="9"/>
      <c r="I1566" s="60" t="str">
        <f t="shared" si="5"/>
        <v/>
      </c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60" t="str">
        <f t="shared" si="1"/>
        <v/>
      </c>
      <c r="B1567" s="9"/>
      <c r="C1567" s="9"/>
      <c r="D1567" s="133"/>
      <c r="E1567" s="133"/>
      <c r="F1567" s="69"/>
      <c r="G1567" s="9"/>
      <c r="H1567" s="9"/>
      <c r="I1567" s="60" t="str">
        <f t="shared" si="5"/>
        <v/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60" t="str">
        <f t="shared" si="1"/>
        <v/>
      </c>
      <c r="B1568" s="9"/>
      <c r="C1568" s="9"/>
      <c r="D1568" s="133"/>
      <c r="E1568" s="133"/>
      <c r="F1568" s="69"/>
      <c r="G1568" s="9"/>
      <c r="H1568" s="9"/>
      <c r="I1568" s="60" t="str">
        <f t="shared" si="5"/>
        <v/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60" t="str">
        <f t="shared" si="1"/>
        <v/>
      </c>
      <c r="B1569" s="9"/>
      <c r="C1569" s="9"/>
      <c r="D1569" s="133"/>
      <c r="E1569" s="133"/>
      <c r="F1569" s="69"/>
      <c r="G1569" s="9"/>
      <c r="H1569" s="9"/>
      <c r="I1569" s="60" t="str">
        <f t="shared" si="5"/>
        <v/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60" t="str">
        <f t="shared" si="1"/>
        <v/>
      </c>
      <c r="B1570" s="9"/>
      <c r="C1570" s="9"/>
      <c r="D1570" s="133"/>
      <c r="E1570" s="133"/>
      <c r="F1570" s="69"/>
      <c r="G1570" s="9"/>
      <c r="H1570" s="9"/>
      <c r="I1570" s="60" t="str">
        <f t="shared" si="5"/>
        <v/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60" t="str">
        <f t="shared" si="1"/>
        <v/>
      </c>
      <c r="B1571" s="9"/>
      <c r="C1571" s="9"/>
      <c r="D1571" s="133"/>
      <c r="E1571" s="133"/>
      <c r="F1571" s="69"/>
      <c r="G1571" s="9"/>
      <c r="H1571" s="9"/>
      <c r="I1571" s="60" t="str">
        <f t="shared" si="5"/>
        <v/>
      </c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60" t="str">
        <f t="shared" si="1"/>
        <v/>
      </c>
      <c r="B1572" s="9"/>
      <c r="C1572" s="9"/>
      <c r="D1572" s="133"/>
      <c r="E1572" s="133"/>
      <c r="F1572" s="69"/>
      <c r="G1572" s="9"/>
      <c r="H1572" s="9"/>
      <c r="I1572" s="60" t="str">
        <f t="shared" si="5"/>
        <v/>
      </c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60" t="str">
        <f t="shared" si="1"/>
        <v/>
      </c>
      <c r="B1573" s="9"/>
      <c r="C1573" s="9"/>
      <c r="D1573" s="133"/>
      <c r="E1573" s="133"/>
      <c r="F1573" s="69"/>
      <c r="G1573" s="9"/>
      <c r="H1573" s="9"/>
      <c r="I1573" s="60" t="str">
        <f t="shared" si="5"/>
        <v/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60" t="str">
        <f t="shared" si="1"/>
        <v/>
      </c>
      <c r="B1574" s="9"/>
      <c r="C1574" s="9"/>
      <c r="D1574" s="133"/>
      <c r="E1574" s="133"/>
      <c r="F1574" s="69"/>
      <c r="G1574" s="9"/>
      <c r="H1574" s="9"/>
      <c r="I1574" s="60" t="str">
        <f t="shared" si="5"/>
        <v/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60" t="str">
        <f t="shared" si="1"/>
        <v/>
      </c>
      <c r="B1575" s="9"/>
      <c r="C1575" s="9"/>
      <c r="D1575" s="133"/>
      <c r="E1575" s="133"/>
      <c r="F1575" s="69"/>
      <c r="G1575" s="9"/>
      <c r="H1575" s="9"/>
      <c r="I1575" s="60" t="str">
        <f t="shared" si="5"/>
        <v/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60" t="str">
        <f t="shared" si="1"/>
        <v/>
      </c>
      <c r="B1576" s="9"/>
      <c r="C1576" s="9"/>
      <c r="D1576" s="133"/>
      <c r="E1576" s="133"/>
      <c r="F1576" s="69"/>
      <c r="G1576" s="9"/>
      <c r="H1576" s="9"/>
      <c r="I1576" s="60" t="str">
        <f t="shared" si="5"/>
        <v/>
      </c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60" t="str">
        <f t="shared" si="1"/>
        <v/>
      </c>
      <c r="B1577" s="9"/>
      <c r="C1577" s="9"/>
      <c r="D1577" s="133"/>
      <c r="E1577" s="133"/>
      <c r="F1577" s="69"/>
      <c r="G1577" s="9"/>
      <c r="H1577" s="9"/>
      <c r="I1577" s="60" t="str">
        <f t="shared" si="5"/>
        <v/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60" t="str">
        <f t="shared" si="1"/>
        <v/>
      </c>
      <c r="B1578" s="9"/>
      <c r="C1578" s="9"/>
      <c r="D1578" s="133"/>
      <c r="E1578" s="133"/>
      <c r="F1578" s="69"/>
      <c r="G1578" s="9"/>
      <c r="H1578" s="9"/>
      <c r="I1578" s="60" t="str">
        <f t="shared" si="5"/>
        <v/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60" t="str">
        <f t="shared" si="1"/>
        <v/>
      </c>
      <c r="B1579" s="9"/>
      <c r="C1579" s="9"/>
      <c r="D1579" s="133"/>
      <c r="E1579" s="133"/>
      <c r="F1579" s="69"/>
      <c r="G1579" s="9"/>
      <c r="H1579" s="9"/>
      <c r="I1579" s="60" t="str">
        <f t="shared" si="5"/>
        <v/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60" t="str">
        <f t="shared" si="1"/>
        <v/>
      </c>
      <c r="B1580" s="9"/>
      <c r="C1580" s="9"/>
      <c r="D1580" s="133"/>
      <c r="E1580" s="133"/>
      <c r="F1580" s="69"/>
      <c r="G1580" s="9"/>
      <c r="H1580" s="9"/>
      <c r="I1580" s="60" t="str">
        <f t="shared" si="5"/>
        <v/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60" t="str">
        <f t="shared" si="1"/>
        <v/>
      </c>
      <c r="B1581" s="9"/>
      <c r="C1581" s="9"/>
      <c r="D1581" s="133"/>
      <c r="E1581" s="133"/>
      <c r="F1581" s="69"/>
      <c r="G1581" s="9"/>
      <c r="H1581" s="9"/>
      <c r="I1581" s="60" t="str">
        <f t="shared" si="5"/>
        <v/>
      </c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60" t="str">
        <f t="shared" si="1"/>
        <v/>
      </c>
      <c r="B1582" s="9"/>
      <c r="C1582" s="9"/>
      <c r="D1582" s="133"/>
      <c r="E1582" s="133"/>
      <c r="F1582" s="69"/>
      <c r="G1582" s="9"/>
      <c r="H1582" s="9"/>
      <c r="I1582" s="60" t="str">
        <f t="shared" si="5"/>
        <v/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60" t="str">
        <f t="shared" si="1"/>
        <v/>
      </c>
      <c r="B1583" s="9"/>
      <c r="C1583" s="9"/>
      <c r="D1583" s="133"/>
      <c r="E1583" s="133"/>
      <c r="F1583" s="69"/>
      <c r="G1583" s="9"/>
      <c r="H1583" s="9"/>
      <c r="I1583" s="60" t="str">
        <f t="shared" si="5"/>
        <v/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60" t="str">
        <f t="shared" si="1"/>
        <v/>
      </c>
      <c r="B1584" s="9"/>
      <c r="C1584" s="9"/>
      <c r="D1584" s="133"/>
      <c r="E1584" s="133"/>
      <c r="F1584" s="69"/>
      <c r="G1584" s="9"/>
      <c r="H1584" s="9"/>
      <c r="I1584" s="60" t="str">
        <f t="shared" si="5"/>
        <v/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60" t="str">
        <f t="shared" si="1"/>
        <v/>
      </c>
      <c r="B1585" s="9"/>
      <c r="C1585" s="9"/>
      <c r="D1585" s="133"/>
      <c r="E1585" s="133"/>
      <c r="F1585" s="69"/>
      <c r="G1585" s="9"/>
      <c r="H1585" s="9"/>
      <c r="I1585" s="60" t="str">
        <f t="shared" si="5"/>
        <v/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60" t="str">
        <f t="shared" si="1"/>
        <v/>
      </c>
      <c r="B1586" s="9"/>
      <c r="C1586" s="9"/>
      <c r="D1586" s="133"/>
      <c r="E1586" s="133"/>
      <c r="F1586" s="69"/>
      <c r="G1586" s="9"/>
      <c r="H1586" s="9"/>
      <c r="I1586" s="60" t="str">
        <f t="shared" si="5"/>
        <v/>
      </c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60" t="str">
        <f t="shared" si="1"/>
        <v/>
      </c>
      <c r="B1587" s="9"/>
      <c r="C1587" s="9"/>
      <c r="D1587" s="133"/>
      <c r="E1587" s="133"/>
      <c r="F1587" s="69"/>
      <c r="G1587" s="9"/>
      <c r="H1587" s="9"/>
      <c r="I1587" s="60" t="str">
        <f t="shared" si="5"/>
        <v/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60" t="str">
        <f t="shared" si="1"/>
        <v/>
      </c>
      <c r="B1588" s="9"/>
      <c r="C1588" s="9"/>
      <c r="D1588" s="133"/>
      <c r="E1588" s="133"/>
      <c r="F1588" s="69"/>
      <c r="G1588" s="9"/>
      <c r="H1588" s="9"/>
      <c r="I1588" s="60" t="str">
        <f t="shared" si="5"/>
        <v/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60" t="str">
        <f t="shared" si="1"/>
        <v/>
      </c>
      <c r="B1589" s="9"/>
      <c r="C1589" s="9"/>
      <c r="D1589" s="133"/>
      <c r="E1589" s="133"/>
      <c r="F1589" s="69"/>
      <c r="G1589" s="9"/>
      <c r="H1589" s="9"/>
      <c r="I1589" s="60" t="str">
        <f t="shared" si="5"/>
        <v/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60" t="str">
        <f t="shared" si="1"/>
        <v/>
      </c>
      <c r="B1590" s="9"/>
      <c r="C1590" s="9"/>
      <c r="D1590" s="133"/>
      <c r="E1590" s="133"/>
      <c r="F1590" s="69"/>
      <c r="G1590" s="9"/>
      <c r="H1590" s="9"/>
      <c r="I1590" s="60" t="str">
        <f t="shared" si="5"/>
        <v/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60" t="str">
        <f t="shared" si="1"/>
        <v/>
      </c>
      <c r="B1591" s="9"/>
      <c r="C1591" s="9"/>
      <c r="D1591" s="133"/>
      <c r="E1591" s="133"/>
      <c r="F1591" s="69"/>
      <c r="G1591" s="9"/>
      <c r="H1591" s="9"/>
      <c r="I1591" s="60" t="str">
        <f t="shared" si="5"/>
        <v/>
      </c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60" t="str">
        <f t="shared" si="1"/>
        <v/>
      </c>
      <c r="B1592" s="9"/>
      <c r="C1592" s="9"/>
      <c r="D1592" s="133"/>
      <c r="E1592" s="133"/>
      <c r="F1592" s="69"/>
      <c r="G1592" s="9"/>
      <c r="H1592" s="9"/>
      <c r="I1592" s="60" t="str">
        <f t="shared" si="5"/>
        <v/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60" t="str">
        <f t="shared" si="1"/>
        <v/>
      </c>
      <c r="B1593" s="9"/>
      <c r="C1593" s="9"/>
      <c r="D1593" s="133"/>
      <c r="E1593" s="133"/>
      <c r="F1593" s="69"/>
      <c r="G1593" s="9"/>
      <c r="H1593" s="9"/>
      <c r="I1593" s="60" t="str">
        <f t="shared" si="5"/>
        <v/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60" t="str">
        <f t="shared" si="1"/>
        <v/>
      </c>
      <c r="B1594" s="9"/>
      <c r="C1594" s="9"/>
      <c r="D1594" s="133"/>
      <c r="E1594" s="133"/>
      <c r="F1594" s="69"/>
      <c r="G1594" s="9"/>
      <c r="H1594" s="9"/>
      <c r="I1594" s="60" t="str">
        <f t="shared" si="5"/>
        <v/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60" t="str">
        <f t="shared" si="1"/>
        <v/>
      </c>
      <c r="B1595" s="9"/>
      <c r="C1595" s="9"/>
      <c r="D1595" s="133"/>
      <c r="E1595" s="133"/>
      <c r="F1595" s="69"/>
      <c r="G1595" s="9"/>
      <c r="H1595" s="9"/>
      <c r="I1595" s="60" t="str">
        <f t="shared" si="5"/>
        <v/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60" t="str">
        <f t="shared" si="1"/>
        <v/>
      </c>
      <c r="B1596" s="9"/>
      <c r="C1596" s="9"/>
      <c r="D1596" s="133"/>
      <c r="E1596" s="133"/>
      <c r="F1596" s="69"/>
      <c r="G1596" s="9"/>
      <c r="H1596" s="9"/>
      <c r="I1596" s="60" t="str">
        <f t="shared" si="5"/>
        <v/>
      </c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60" t="str">
        <f t="shared" si="1"/>
        <v/>
      </c>
      <c r="B1597" s="9"/>
      <c r="C1597" s="9"/>
      <c r="D1597" s="133"/>
      <c r="E1597" s="133"/>
      <c r="F1597" s="69"/>
      <c r="G1597" s="9"/>
      <c r="H1597" s="9"/>
      <c r="I1597" s="60" t="str">
        <f t="shared" si="5"/>
        <v/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60" t="str">
        <f t="shared" si="1"/>
        <v/>
      </c>
      <c r="B1598" s="9"/>
      <c r="C1598" s="9"/>
      <c r="D1598" s="133"/>
      <c r="E1598" s="133"/>
      <c r="F1598" s="69"/>
      <c r="G1598" s="9"/>
      <c r="H1598" s="9"/>
      <c r="I1598" s="60" t="str">
        <f t="shared" si="5"/>
        <v/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60" t="str">
        <f t="shared" si="1"/>
        <v/>
      </c>
      <c r="B1599" s="9"/>
      <c r="C1599" s="9"/>
      <c r="D1599" s="133"/>
      <c r="E1599" s="133"/>
      <c r="F1599" s="69"/>
      <c r="G1599" s="9"/>
      <c r="H1599" s="9"/>
      <c r="I1599" s="60" t="str">
        <f t="shared" si="5"/>
        <v/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60" t="str">
        <f t="shared" si="1"/>
        <v/>
      </c>
      <c r="B1600" s="9"/>
      <c r="C1600" s="9"/>
      <c r="D1600" s="133"/>
      <c r="E1600" s="133"/>
      <c r="F1600" s="69"/>
      <c r="G1600" s="9"/>
      <c r="H1600" s="9"/>
      <c r="I1600" s="60" t="str">
        <f t="shared" si="5"/>
        <v/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60" t="str">
        <f t="shared" si="1"/>
        <v/>
      </c>
      <c r="B1601" s="9"/>
      <c r="C1601" s="9"/>
      <c r="D1601" s="133"/>
      <c r="E1601" s="133"/>
      <c r="F1601" s="69"/>
      <c r="G1601" s="9"/>
      <c r="H1601" s="9"/>
      <c r="I1601" s="60" t="str">
        <f t="shared" si="5"/>
        <v/>
      </c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60" t="str">
        <f t="shared" si="1"/>
        <v/>
      </c>
      <c r="B1602" s="9"/>
      <c r="C1602" s="9"/>
      <c r="D1602" s="133"/>
      <c r="E1602" s="133"/>
      <c r="F1602" s="69"/>
      <c r="G1602" s="9"/>
      <c r="H1602" s="9"/>
      <c r="I1602" s="60" t="str">
        <f t="shared" si="5"/>
        <v/>
      </c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60" t="str">
        <f t="shared" si="1"/>
        <v/>
      </c>
      <c r="B1603" s="9"/>
      <c r="C1603" s="9"/>
      <c r="D1603" s="133"/>
      <c r="E1603" s="133"/>
      <c r="F1603" s="69"/>
      <c r="G1603" s="9"/>
      <c r="H1603" s="9"/>
      <c r="I1603" s="60" t="str">
        <f t="shared" si="5"/>
        <v/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60" t="str">
        <f t="shared" si="1"/>
        <v/>
      </c>
      <c r="B1604" s="9"/>
      <c r="C1604" s="9"/>
      <c r="D1604" s="133"/>
      <c r="E1604" s="133"/>
      <c r="F1604" s="69"/>
      <c r="G1604" s="9"/>
      <c r="H1604" s="9"/>
      <c r="I1604" s="60" t="str">
        <f t="shared" si="5"/>
        <v/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60" t="str">
        <f t="shared" si="1"/>
        <v/>
      </c>
      <c r="B1605" s="9"/>
      <c r="C1605" s="9"/>
      <c r="D1605" s="133"/>
      <c r="E1605" s="133"/>
      <c r="F1605" s="69"/>
      <c r="G1605" s="9"/>
      <c r="H1605" s="9"/>
      <c r="I1605" s="60" t="str">
        <f t="shared" si="5"/>
        <v/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60" t="str">
        <f t="shared" si="1"/>
        <v/>
      </c>
      <c r="B1606" s="9"/>
      <c r="C1606" s="9"/>
      <c r="D1606" s="133"/>
      <c r="E1606" s="133"/>
      <c r="F1606" s="69"/>
      <c r="G1606" s="9"/>
      <c r="H1606" s="9"/>
      <c r="I1606" s="60" t="str">
        <f t="shared" si="5"/>
        <v/>
      </c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60" t="str">
        <f t="shared" si="1"/>
        <v/>
      </c>
      <c r="B1607" s="9"/>
      <c r="C1607" s="9"/>
      <c r="D1607" s="133"/>
      <c r="E1607" s="133"/>
      <c r="F1607" s="69"/>
      <c r="G1607" s="9"/>
      <c r="H1607" s="9"/>
      <c r="I1607" s="60" t="str">
        <f t="shared" si="5"/>
        <v/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60" t="str">
        <f t="shared" si="1"/>
        <v/>
      </c>
      <c r="B1608" s="9"/>
      <c r="C1608" s="9"/>
      <c r="D1608" s="133"/>
      <c r="E1608" s="133"/>
      <c r="F1608" s="69"/>
      <c r="G1608" s="9"/>
      <c r="H1608" s="9"/>
      <c r="I1608" s="60" t="str">
        <f t="shared" si="5"/>
        <v/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60" t="str">
        <f t="shared" si="1"/>
        <v/>
      </c>
      <c r="B1609" s="9"/>
      <c r="C1609" s="9"/>
      <c r="D1609" s="133"/>
      <c r="E1609" s="133"/>
      <c r="F1609" s="69"/>
      <c r="G1609" s="9"/>
      <c r="H1609" s="9"/>
      <c r="I1609" s="60" t="str">
        <f t="shared" si="5"/>
        <v/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60" t="str">
        <f t="shared" si="1"/>
        <v/>
      </c>
      <c r="B1610" s="9"/>
      <c r="C1610" s="9"/>
      <c r="D1610" s="133"/>
      <c r="E1610" s="133"/>
      <c r="F1610" s="69"/>
      <c r="G1610" s="9"/>
      <c r="H1610" s="9"/>
      <c r="I1610" s="60" t="str">
        <f t="shared" si="5"/>
        <v/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60" t="str">
        <f t="shared" si="1"/>
        <v/>
      </c>
      <c r="B1611" s="9"/>
      <c r="C1611" s="9"/>
      <c r="D1611" s="133"/>
      <c r="E1611" s="133"/>
      <c r="F1611" s="69"/>
      <c r="G1611" s="9"/>
      <c r="H1611" s="9"/>
      <c r="I1611" s="60" t="str">
        <f t="shared" si="5"/>
        <v/>
      </c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60" t="str">
        <f t="shared" si="1"/>
        <v/>
      </c>
      <c r="B1612" s="9"/>
      <c r="C1612" s="9"/>
      <c r="D1612" s="133"/>
      <c r="E1612" s="133"/>
      <c r="F1612" s="69"/>
      <c r="G1612" s="9"/>
      <c r="H1612" s="9"/>
      <c r="I1612" s="60" t="str">
        <f t="shared" si="5"/>
        <v/>
      </c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60" t="str">
        <f t="shared" si="1"/>
        <v/>
      </c>
      <c r="B1613" s="9"/>
      <c r="C1613" s="9"/>
      <c r="D1613" s="133"/>
      <c r="E1613" s="133"/>
      <c r="F1613" s="69"/>
      <c r="G1613" s="9"/>
      <c r="H1613" s="9"/>
      <c r="I1613" s="60" t="str">
        <f t="shared" si="5"/>
        <v/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60" t="str">
        <f t="shared" si="1"/>
        <v/>
      </c>
      <c r="B1614" s="9"/>
      <c r="C1614" s="9"/>
      <c r="D1614" s="133"/>
      <c r="E1614" s="133"/>
      <c r="F1614" s="69"/>
      <c r="G1614" s="9"/>
      <c r="H1614" s="9"/>
      <c r="I1614" s="60" t="str">
        <f t="shared" si="5"/>
        <v/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60" t="str">
        <f t="shared" si="1"/>
        <v/>
      </c>
      <c r="B1615" s="9"/>
      <c r="C1615" s="9"/>
      <c r="D1615" s="133"/>
      <c r="E1615" s="133"/>
      <c r="F1615" s="69"/>
      <c r="G1615" s="9"/>
      <c r="H1615" s="9"/>
      <c r="I1615" s="60" t="str">
        <f t="shared" si="5"/>
        <v/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60" t="str">
        <f t="shared" si="1"/>
        <v/>
      </c>
      <c r="B1616" s="9"/>
      <c r="C1616" s="9"/>
      <c r="D1616" s="133"/>
      <c r="E1616" s="133"/>
      <c r="F1616" s="69"/>
      <c r="G1616" s="9"/>
      <c r="H1616" s="9"/>
      <c r="I1616" s="60" t="str">
        <f t="shared" si="5"/>
        <v/>
      </c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60" t="str">
        <f t="shared" si="1"/>
        <v/>
      </c>
      <c r="B1617" s="9"/>
      <c r="C1617" s="9"/>
      <c r="D1617" s="133"/>
      <c r="E1617" s="133"/>
      <c r="F1617" s="69"/>
      <c r="G1617" s="9"/>
      <c r="H1617" s="9"/>
      <c r="I1617" s="60" t="str">
        <f t="shared" si="5"/>
        <v/>
      </c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60" t="str">
        <f t="shared" si="1"/>
        <v/>
      </c>
      <c r="B1618" s="9"/>
      <c r="C1618" s="9"/>
      <c r="D1618" s="133"/>
      <c r="E1618" s="133"/>
      <c r="F1618" s="69"/>
      <c r="G1618" s="9"/>
      <c r="H1618" s="9"/>
      <c r="I1618" s="60" t="str">
        <f t="shared" si="5"/>
        <v/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60" t="str">
        <f t="shared" si="1"/>
        <v/>
      </c>
      <c r="B1619" s="9"/>
      <c r="C1619" s="9"/>
      <c r="D1619" s="133"/>
      <c r="E1619" s="133"/>
      <c r="F1619" s="69"/>
      <c r="G1619" s="9"/>
      <c r="H1619" s="9"/>
      <c r="I1619" s="60" t="str">
        <f t="shared" si="5"/>
        <v/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60" t="str">
        <f t="shared" si="1"/>
        <v/>
      </c>
      <c r="B1620" s="9"/>
      <c r="C1620" s="9"/>
      <c r="D1620" s="133"/>
      <c r="E1620" s="133"/>
      <c r="F1620" s="69"/>
      <c r="G1620" s="9"/>
      <c r="H1620" s="9"/>
      <c r="I1620" s="60" t="str">
        <f t="shared" si="5"/>
        <v/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60" t="str">
        <f t="shared" si="1"/>
        <v/>
      </c>
      <c r="B1621" s="9"/>
      <c r="C1621" s="9"/>
      <c r="D1621" s="133"/>
      <c r="E1621" s="133"/>
      <c r="F1621" s="69"/>
      <c r="G1621" s="9"/>
      <c r="H1621" s="9"/>
      <c r="I1621" s="60" t="str">
        <f t="shared" si="5"/>
        <v/>
      </c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60" t="str">
        <f t="shared" si="1"/>
        <v/>
      </c>
      <c r="B1622" s="9"/>
      <c r="C1622" s="9"/>
      <c r="D1622" s="133"/>
      <c r="E1622" s="133"/>
      <c r="F1622" s="69"/>
      <c r="G1622" s="9"/>
      <c r="H1622" s="9"/>
      <c r="I1622" s="60" t="str">
        <f t="shared" si="5"/>
        <v/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60" t="str">
        <f t="shared" si="1"/>
        <v/>
      </c>
      <c r="B1623" s="9"/>
      <c r="C1623" s="9"/>
      <c r="D1623" s="133"/>
      <c r="E1623" s="133"/>
      <c r="F1623" s="69"/>
      <c r="G1623" s="9"/>
      <c r="H1623" s="9"/>
      <c r="I1623" s="60" t="str">
        <f t="shared" si="5"/>
        <v/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60" t="str">
        <f t="shared" si="1"/>
        <v/>
      </c>
      <c r="B1624" s="9"/>
      <c r="C1624" s="9"/>
      <c r="D1624" s="133"/>
      <c r="E1624" s="133"/>
      <c r="F1624" s="69"/>
      <c r="G1624" s="9"/>
      <c r="H1624" s="9"/>
      <c r="I1624" s="60" t="str">
        <f t="shared" si="5"/>
        <v/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60" t="str">
        <f t="shared" si="1"/>
        <v/>
      </c>
      <c r="B1625" s="9"/>
      <c r="C1625" s="9"/>
      <c r="D1625" s="133"/>
      <c r="E1625" s="133"/>
      <c r="F1625" s="69"/>
      <c r="G1625" s="9"/>
      <c r="H1625" s="9"/>
      <c r="I1625" s="60" t="str">
        <f t="shared" si="5"/>
        <v/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60" t="str">
        <f t="shared" si="1"/>
        <v/>
      </c>
      <c r="B1626" s="9"/>
      <c r="C1626" s="9"/>
      <c r="D1626" s="133"/>
      <c r="E1626" s="133"/>
      <c r="F1626" s="69"/>
      <c r="G1626" s="9"/>
      <c r="H1626" s="9"/>
      <c r="I1626" s="60" t="str">
        <f t="shared" si="5"/>
        <v/>
      </c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60" t="str">
        <f t="shared" si="1"/>
        <v/>
      </c>
      <c r="B1627" s="9"/>
      <c r="C1627" s="9"/>
      <c r="D1627" s="133"/>
      <c r="E1627" s="133"/>
      <c r="F1627" s="69"/>
      <c r="G1627" s="9"/>
      <c r="H1627" s="9"/>
      <c r="I1627" s="60" t="str">
        <f t="shared" si="5"/>
        <v/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60" t="str">
        <f t="shared" si="1"/>
        <v/>
      </c>
      <c r="B1628" s="9"/>
      <c r="C1628" s="9"/>
      <c r="D1628" s="133"/>
      <c r="E1628" s="133"/>
      <c r="F1628" s="69"/>
      <c r="G1628" s="9"/>
      <c r="H1628" s="9"/>
      <c r="I1628" s="60" t="str">
        <f t="shared" si="5"/>
        <v/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60" t="str">
        <f t="shared" si="1"/>
        <v/>
      </c>
      <c r="B1629" s="9"/>
      <c r="C1629" s="9"/>
      <c r="D1629" s="133"/>
      <c r="E1629" s="133"/>
      <c r="F1629" s="69"/>
      <c r="G1629" s="9"/>
      <c r="H1629" s="9"/>
      <c r="I1629" s="60" t="str">
        <f t="shared" si="5"/>
        <v/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60" t="str">
        <f t="shared" si="1"/>
        <v/>
      </c>
      <c r="B1630" s="9"/>
      <c r="C1630" s="9"/>
      <c r="D1630" s="133"/>
      <c r="E1630" s="133"/>
      <c r="F1630" s="69"/>
      <c r="G1630" s="9"/>
      <c r="H1630" s="9"/>
      <c r="I1630" s="60" t="str">
        <f t="shared" si="5"/>
        <v/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60" t="str">
        <f t="shared" si="1"/>
        <v/>
      </c>
      <c r="B1631" s="9"/>
      <c r="C1631" s="9"/>
      <c r="D1631" s="133"/>
      <c r="E1631" s="133"/>
      <c r="F1631" s="69"/>
      <c r="G1631" s="9"/>
      <c r="H1631" s="9"/>
      <c r="I1631" s="60" t="str">
        <f t="shared" si="5"/>
        <v/>
      </c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60" t="str">
        <f t="shared" si="1"/>
        <v/>
      </c>
      <c r="B1632" s="9"/>
      <c r="C1632" s="9"/>
      <c r="D1632" s="133"/>
      <c r="E1632" s="133"/>
      <c r="F1632" s="69"/>
      <c r="G1632" s="9"/>
      <c r="H1632" s="9"/>
      <c r="I1632" s="60" t="str">
        <f t="shared" si="5"/>
        <v/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60" t="str">
        <f t="shared" si="1"/>
        <v/>
      </c>
      <c r="B1633" s="9"/>
      <c r="C1633" s="9"/>
      <c r="D1633" s="133"/>
      <c r="E1633" s="133"/>
      <c r="F1633" s="69"/>
      <c r="G1633" s="9"/>
      <c r="H1633" s="9"/>
      <c r="I1633" s="60" t="str">
        <f t="shared" si="5"/>
        <v/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60" t="str">
        <f t="shared" si="1"/>
        <v/>
      </c>
      <c r="B1634" s="9"/>
      <c r="C1634" s="9"/>
      <c r="D1634" s="133"/>
      <c r="E1634" s="133"/>
      <c r="F1634" s="69"/>
      <c r="G1634" s="9"/>
      <c r="H1634" s="9"/>
      <c r="I1634" s="60" t="str">
        <f t="shared" si="5"/>
        <v/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60" t="str">
        <f t="shared" si="1"/>
        <v/>
      </c>
      <c r="B1635" s="9"/>
      <c r="C1635" s="9"/>
      <c r="D1635" s="133"/>
      <c r="E1635" s="133"/>
      <c r="F1635" s="69"/>
      <c r="G1635" s="9"/>
      <c r="H1635" s="9"/>
      <c r="I1635" s="60" t="str">
        <f t="shared" si="5"/>
        <v/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60" t="str">
        <f t="shared" si="1"/>
        <v/>
      </c>
      <c r="B1636" s="9"/>
      <c r="C1636" s="9"/>
      <c r="D1636" s="133"/>
      <c r="E1636" s="133"/>
      <c r="F1636" s="69"/>
      <c r="G1636" s="9"/>
      <c r="H1636" s="9"/>
      <c r="I1636" s="60" t="str">
        <f t="shared" si="5"/>
        <v/>
      </c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60" t="str">
        <f t="shared" si="1"/>
        <v/>
      </c>
      <c r="B1637" s="9"/>
      <c r="C1637" s="9"/>
      <c r="D1637" s="133"/>
      <c r="E1637" s="133"/>
      <c r="F1637" s="69"/>
      <c r="G1637" s="9"/>
      <c r="H1637" s="9"/>
      <c r="I1637" s="60" t="str">
        <f t="shared" si="5"/>
        <v/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60" t="str">
        <f t="shared" si="1"/>
        <v/>
      </c>
      <c r="B1638" s="9"/>
      <c r="C1638" s="9"/>
      <c r="D1638" s="133"/>
      <c r="E1638" s="133"/>
      <c r="F1638" s="69"/>
      <c r="G1638" s="9"/>
      <c r="H1638" s="9"/>
      <c r="I1638" s="60" t="str">
        <f t="shared" si="5"/>
        <v/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60" t="str">
        <f t="shared" si="1"/>
        <v/>
      </c>
      <c r="B1639" s="9"/>
      <c r="C1639" s="9"/>
      <c r="D1639" s="133"/>
      <c r="E1639" s="133"/>
      <c r="F1639" s="69"/>
      <c r="G1639" s="9"/>
      <c r="H1639" s="9"/>
      <c r="I1639" s="60" t="str">
        <f t="shared" si="5"/>
        <v/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60" t="str">
        <f t="shared" si="1"/>
        <v/>
      </c>
      <c r="B1640" s="9"/>
      <c r="C1640" s="9"/>
      <c r="D1640" s="133"/>
      <c r="E1640" s="133"/>
      <c r="F1640" s="69"/>
      <c r="G1640" s="9"/>
      <c r="H1640" s="9"/>
      <c r="I1640" s="60" t="str">
        <f t="shared" si="5"/>
        <v/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60" t="str">
        <f t="shared" si="1"/>
        <v/>
      </c>
      <c r="B1641" s="9"/>
      <c r="C1641" s="9"/>
      <c r="D1641" s="133"/>
      <c r="E1641" s="133"/>
      <c r="F1641" s="69"/>
      <c r="G1641" s="9"/>
      <c r="H1641" s="9"/>
      <c r="I1641" s="60" t="str">
        <f t="shared" si="5"/>
        <v/>
      </c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60" t="str">
        <f t="shared" si="1"/>
        <v/>
      </c>
      <c r="B1642" s="9"/>
      <c r="C1642" s="9"/>
      <c r="D1642" s="133"/>
      <c r="E1642" s="133"/>
      <c r="F1642" s="69"/>
      <c r="G1642" s="9"/>
      <c r="H1642" s="9"/>
      <c r="I1642" s="60" t="str">
        <f t="shared" si="5"/>
        <v/>
      </c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60" t="str">
        <f t="shared" si="1"/>
        <v/>
      </c>
      <c r="B1643" s="9"/>
      <c r="C1643" s="9"/>
      <c r="D1643" s="133"/>
      <c r="E1643" s="133"/>
      <c r="F1643" s="69"/>
      <c r="G1643" s="9"/>
      <c r="H1643" s="9"/>
      <c r="I1643" s="60" t="str">
        <f t="shared" si="5"/>
        <v/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60" t="str">
        <f t="shared" si="1"/>
        <v/>
      </c>
      <c r="B1644" s="9"/>
      <c r="C1644" s="9"/>
      <c r="D1644" s="133"/>
      <c r="E1644" s="133"/>
      <c r="F1644" s="69"/>
      <c r="G1644" s="9"/>
      <c r="H1644" s="9"/>
      <c r="I1644" s="60" t="str">
        <f t="shared" si="5"/>
        <v/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60" t="str">
        <f t="shared" si="1"/>
        <v/>
      </c>
      <c r="B1645" s="9"/>
      <c r="C1645" s="9"/>
      <c r="D1645" s="133"/>
      <c r="E1645" s="133"/>
      <c r="F1645" s="69"/>
      <c r="G1645" s="9"/>
      <c r="H1645" s="9"/>
      <c r="I1645" s="60" t="str">
        <f t="shared" si="5"/>
        <v/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60" t="str">
        <f t="shared" si="1"/>
        <v/>
      </c>
      <c r="B1646" s="9"/>
      <c r="C1646" s="9"/>
      <c r="D1646" s="133"/>
      <c r="E1646" s="133"/>
      <c r="F1646" s="69"/>
      <c r="G1646" s="9"/>
      <c r="H1646" s="9"/>
      <c r="I1646" s="60" t="str">
        <f t="shared" si="5"/>
        <v/>
      </c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60" t="str">
        <f t="shared" si="1"/>
        <v/>
      </c>
      <c r="B1647" s="9"/>
      <c r="C1647" s="9"/>
      <c r="D1647" s="133"/>
      <c r="E1647" s="133"/>
      <c r="F1647" s="69"/>
      <c r="G1647" s="9"/>
      <c r="H1647" s="9"/>
      <c r="I1647" s="60" t="str">
        <f t="shared" si="5"/>
        <v/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60" t="str">
        <f t="shared" si="1"/>
        <v/>
      </c>
      <c r="B1648" s="9"/>
      <c r="C1648" s="9"/>
      <c r="D1648" s="133"/>
      <c r="E1648" s="133"/>
      <c r="F1648" s="69"/>
      <c r="G1648" s="9"/>
      <c r="H1648" s="9"/>
      <c r="I1648" s="60" t="str">
        <f t="shared" si="5"/>
        <v/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60" t="str">
        <f t="shared" si="1"/>
        <v/>
      </c>
      <c r="B1649" s="9"/>
      <c r="C1649" s="9"/>
      <c r="D1649" s="133"/>
      <c r="E1649" s="133"/>
      <c r="F1649" s="69"/>
      <c r="G1649" s="9"/>
      <c r="H1649" s="9"/>
      <c r="I1649" s="60" t="str">
        <f t="shared" si="5"/>
        <v/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60" t="str">
        <f t="shared" si="1"/>
        <v/>
      </c>
      <c r="B1650" s="9"/>
      <c r="C1650" s="9"/>
      <c r="D1650" s="133"/>
      <c r="E1650" s="133"/>
      <c r="F1650" s="69"/>
      <c r="G1650" s="9"/>
      <c r="H1650" s="9"/>
      <c r="I1650" s="60" t="str">
        <f t="shared" si="5"/>
        <v/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60" t="str">
        <f t="shared" si="1"/>
        <v/>
      </c>
      <c r="B1651" s="9"/>
      <c r="C1651" s="9"/>
      <c r="D1651" s="133"/>
      <c r="E1651" s="133"/>
      <c r="F1651" s="69"/>
      <c r="G1651" s="9"/>
      <c r="H1651" s="9"/>
      <c r="I1651" s="60" t="str">
        <f t="shared" si="5"/>
        <v/>
      </c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60" t="str">
        <f t="shared" si="1"/>
        <v/>
      </c>
      <c r="B1652" s="9"/>
      <c r="C1652" s="9"/>
      <c r="D1652" s="133"/>
      <c r="E1652" s="133"/>
      <c r="F1652" s="69"/>
      <c r="G1652" s="9"/>
      <c r="H1652" s="9"/>
      <c r="I1652" s="60" t="str">
        <f t="shared" si="5"/>
        <v/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60" t="str">
        <f t="shared" si="1"/>
        <v/>
      </c>
      <c r="B1653" s="9"/>
      <c r="C1653" s="9"/>
      <c r="D1653" s="133"/>
      <c r="E1653" s="133"/>
      <c r="F1653" s="69"/>
      <c r="G1653" s="9"/>
      <c r="H1653" s="9"/>
      <c r="I1653" s="60" t="str">
        <f t="shared" si="5"/>
        <v/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60" t="str">
        <f t="shared" si="1"/>
        <v/>
      </c>
      <c r="B1654" s="9"/>
      <c r="C1654" s="9"/>
      <c r="D1654" s="133"/>
      <c r="E1654" s="133"/>
      <c r="F1654" s="69"/>
      <c r="G1654" s="9"/>
      <c r="H1654" s="9"/>
      <c r="I1654" s="60" t="str">
        <f t="shared" si="5"/>
        <v/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60" t="str">
        <f t="shared" si="1"/>
        <v/>
      </c>
      <c r="B1655" s="9"/>
      <c r="C1655" s="9"/>
      <c r="D1655" s="133"/>
      <c r="E1655" s="133"/>
      <c r="F1655" s="69"/>
      <c r="G1655" s="9"/>
      <c r="H1655" s="9"/>
      <c r="I1655" s="60" t="str">
        <f t="shared" si="5"/>
        <v/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60" t="str">
        <f t="shared" si="1"/>
        <v/>
      </c>
      <c r="B1656" s="9"/>
      <c r="C1656" s="9"/>
      <c r="D1656" s="133"/>
      <c r="E1656" s="133"/>
      <c r="F1656" s="69"/>
      <c r="G1656" s="9"/>
      <c r="H1656" s="9"/>
      <c r="I1656" s="60" t="str">
        <f t="shared" si="5"/>
        <v/>
      </c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60" t="str">
        <f t="shared" si="1"/>
        <v/>
      </c>
      <c r="B1657" s="9"/>
      <c r="C1657" s="9"/>
      <c r="D1657" s="133"/>
      <c r="E1657" s="133"/>
      <c r="F1657" s="69"/>
      <c r="G1657" s="9"/>
      <c r="H1657" s="9"/>
      <c r="I1657" s="60" t="str">
        <f t="shared" si="5"/>
        <v/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60" t="str">
        <f t="shared" si="1"/>
        <v/>
      </c>
      <c r="B1658" s="9"/>
      <c r="C1658" s="9"/>
      <c r="D1658" s="133"/>
      <c r="E1658" s="133"/>
      <c r="F1658" s="69"/>
      <c r="G1658" s="9"/>
      <c r="H1658" s="9"/>
      <c r="I1658" s="60" t="str">
        <f t="shared" si="5"/>
        <v/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60" t="str">
        <f t="shared" si="1"/>
        <v/>
      </c>
      <c r="B1659" s="9"/>
      <c r="C1659" s="9"/>
      <c r="D1659" s="133"/>
      <c r="E1659" s="133"/>
      <c r="F1659" s="69"/>
      <c r="G1659" s="9"/>
      <c r="H1659" s="9"/>
      <c r="I1659" s="60" t="str">
        <f t="shared" si="5"/>
        <v/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60" t="str">
        <f t="shared" si="1"/>
        <v/>
      </c>
      <c r="B1660" s="9"/>
      <c r="C1660" s="9"/>
      <c r="D1660" s="133"/>
      <c r="E1660" s="133"/>
      <c r="F1660" s="69"/>
      <c r="G1660" s="9"/>
      <c r="H1660" s="9"/>
      <c r="I1660" s="60" t="str">
        <f t="shared" si="5"/>
        <v/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60" t="str">
        <f t="shared" si="1"/>
        <v/>
      </c>
      <c r="B1661" s="9"/>
      <c r="C1661" s="9"/>
      <c r="D1661" s="133"/>
      <c r="E1661" s="133"/>
      <c r="F1661" s="69"/>
      <c r="G1661" s="9"/>
      <c r="H1661" s="9"/>
      <c r="I1661" s="60" t="str">
        <f t="shared" si="5"/>
        <v/>
      </c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60" t="str">
        <f t="shared" si="1"/>
        <v/>
      </c>
      <c r="B1662" s="9"/>
      <c r="C1662" s="9"/>
      <c r="D1662" s="133"/>
      <c r="E1662" s="133"/>
      <c r="F1662" s="69"/>
      <c r="G1662" s="9"/>
      <c r="H1662" s="9"/>
      <c r="I1662" s="60" t="str">
        <f t="shared" si="5"/>
        <v/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60" t="str">
        <f t="shared" si="1"/>
        <v/>
      </c>
      <c r="B1663" s="9"/>
      <c r="C1663" s="9"/>
      <c r="D1663" s="133"/>
      <c r="E1663" s="133"/>
      <c r="F1663" s="69"/>
      <c r="G1663" s="9"/>
      <c r="H1663" s="9"/>
      <c r="I1663" s="60" t="str">
        <f t="shared" si="5"/>
        <v/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60" t="str">
        <f t="shared" si="1"/>
        <v/>
      </c>
      <c r="B1664" s="9"/>
      <c r="C1664" s="9"/>
      <c r="D1664" s="133"/>
      <c r="E1664" s="133"/>
      <c r="F1664" s="69"/>
      <c r="G1664" s="9"/>
      <c r="H1664" s="9"/>
      <c r="I1664" s="60" t="str">
        <f t="shared" si="5"/>
        <v/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60" t="str">
        <f t="shared" si="1"/>
        <v/>
      </c>
      <c r="B1665" s="9"/>
      <c r="C1665" s="9"/>
      <c r="D1665" s="133"/>
      <c r="E1665" s="133"/>
      <c r="F1665" s="69"/>
      <c r="G1665" s="9"/>
      <c r="H1665" s="9"/>
      <c r="I1665" s="60" t="str">
        <f t="shared" si="5"/>
        <v/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60" t="str">
        <f t="shared" si="1"/>
        <v/>
      </c>
      <c r="B1666" s="9"/>
      <c r="C1666" s="9"/>
      <c r="D1666" s="133"/>
      <c r="E1666" s="133"/>
      <c r="F1666" s="69"/>
      <c r="G1666" s="9"/>
      <c r="H1666" s="9"/>
      <c r="I1666" s="60" t="str">
        <f t="shared" si="5"/>
        <v/>
      </c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60" t="str">
        <f t="shared" si="1"/>
        <v/>
      </c>
      <c r="B1667" s="9"/>
      <c r="C1667" s="9"/>
      <c r="D1667" s="133"/>
      <c r="E1667" s="133"/>
      <c r="F1667" s="69"/>
      <c r="G1667" s="9"/>
      <c r="H1667" s="9"/>
      <c r="I1667" s="60" t="str">
        <f t="shared" si="5"/>
        <v/>
      </c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60" t="str">
        <f t="shared" si="1"/>
        <v/>
      </c>
      <c r="B1668" s="9"/>
      <c r="C1668" s="9"/>
      <c r="D1668" s="133"/>
      <c r="E1668" s="133"/>
      <c r="F1668" s="69"/>
      <c r="G1668" s="9"/>
      <c r="H1668" s="9"/>
      <c r="I1668" s="60" t="str">
        <f t="shared" si="5"/>
        <v/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60" t="str">
        <f t="shared" si="1"/>
        <v/>
      </c>
      <c r="B1669" s="9"/>
      <c r="C1669" s="9"/>
      <c r="D1669" s="133"/>
      <c r="E1669" s="133"/>
      <c r="F1669" s="69"/>
      <c r="G1669" s="9"/>
      <c r="H1669" s="9"/>
      <c r="I1669" s="60" t="str">
        <f t="shared" si="5"/>
        <v/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60" t="str">
        <f t="shared" si="1"/>
        <v/>
      </c>
      <c r="B1670" s="9"/>
      <c r="C1670" s="9"/>
      <c r="D1670" s="133"/>
      <c r="E1670" s="133"/>
      <c r="F1670" s="69"/>
      <c r="G1670" s="9"/>
      <c r="H1670" s="9"/>
      <c r="I1670" s="60" t="str">
        <f t="shared" si="5"/>
        <v/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60" t="str">
        <f t="shared" si="1"/>
        <v/>
      </c>
      <c r="B1671" s="9"/>
      <c r="C1671" s="9"/>
      <c r="D1671" s="133"/>
      <c r="E1671" s="133"/>
      <c r="F1671" s="69"/>
      <c r="G1671" s="9"/>
      <c r="H1671" s="9"/>
      <c r="I1671" s="60" t="str">
        <f t="shared" si="5"/>
        <v/>
      </c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60" t="str">
        <f t="shared" si="1"/>
        <v/>
      </c>
      <c r="B1672" s="9"/>
      <c r="C1672" s="9"/>
      <c r="D1672" s="133"/>
      <c r="E1672" s="133"/>
      <c r="F1672" s="69"/>
      <c r="G1672" s="9"/>
      <c r="H1672" s="9"/>
      <c r="I1672" s="60" t="str">
        <f t="shared" si="5"/>
        <v/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60" t="str">
        <f t="shared" si="1"/>
        <v/>
      </c>
      <c r="B1673" s="9"/>
      <c r="C1673" s="9"/>
      <c r="D1673" s="133"/>
      <c r="E1673" s="133"/>
      <c r="F1673" s="69"/>
      <c r="G1673" s="9"/>
      <c r="H1673" s="9"/>
      <c r="I1673" s="60" t="str">
        <f t="shared" si="5"/>
        <v/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60" t="str">
        <f t="shared" si="1"/>
        <v/>
      </c>
      <c r="B1674" s="9"/>
      <c r="C1674" s="9"/>
      <c r="D1674" s="133"/>
      <c r="E1674" s="133"/>
      <c r="F1674" s="69"/>
      <c r="G1674" s="9"/>
      <c r="H1674" s="9"/>
      <c r="I1674" s="60" t="str">
        <f t="shared" si="5"/>
        <v/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60" t="str">
        <f t="shared" si="1"/>
        <v/>
      </c>
      <c r="B1675" s="9"/>
      <c r="C1675" s="9"/>
      <c r="D1675" s="133"/>
      <c r="E1675" s="133"/>
      <c r="F1675" s="69"/>
      <c r="G1675" s="9"/>
      <c r="H1675" s="9"/>
      <c r="I1675" s="60" t="str">
        <f t="shared" si="5"/>
        <v/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60" t="str">
        <f t="shared" si="1"/>
        <v/>
      </c>
      <c r="B1676" s="9"/>
      <c r="C1676" s="9"/>
      <c r="D1676" s="133"/>
      <c r="E1676" s="133"/>
      <c r="F1676" s="69"/>
      <c r="G1676" s="9"/>
      <c r="H1676" s="9"/>
      <c r="I1676" s="60" t="str">
        <f t="shared" si="5"/>
        <v/>
      </c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60" t="str">
        <f t="shared" si="1"/>
        <v/>
      </c>
      <c r="B1677" s="9"/>
      <c r="C1677" s="9"/>
      <c r="D1677" s="133"/>
      <c r="E1677" s="133"/>
      <c r="F1677" s="69"/>
      <c r="G1677" s="9"/>
      <c r="H1677" s="9"/>
      <c r="I1677" s="60" t="str">
        <f t="shared" si="5"/>
        <v/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60" t="str">
        <f t="shared" si="1"/>
        <v/>
      </c>
      <c r="B1678" s="9"/>
      <c r="C1678" s="9"/>
      <c r="D1678" s="133"/>
      <c r="E1678" s="133"/>
      <c r="F1678" s="69"/>
      <c r="G1678" s="9"/>
      <c r="H1678" s="9"/>
      <c r="I1678" s="60" t="str">
        <f t="shared" si="5"/>
        <v/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60" t="str">
        <f t="shared" si="1"/>
        <v/>
      </c>
      <c r="B1679" s="9"/>
      <c r="C1679" s="9"/>
      <c r="D1679" s="133"/>
      <c r="E1679" s="133"/>
      <c r="F1679" s="69"/>
      <c r="G1679" s="9"/>
      <c r="H1679" s="9"/>
      <c r="I1679" s="60" t="str">
        <f t="shared" si="5"/>
        <v/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60" t="str">
        <f t="shared" si="1"/>
        <v/>
      </c>
      <c r="B1680" s="9"/>
      <c r="C1680" s="9"/>
      <c r="D1680" s="133"/>
      <c r="E1680" s="133"/>
      <c r="F1680" s="69"/>
      <c r="G1680" s="9"/>
      <c r="H1680" s="9"/>
      <c r="I1680" s="60" t="str">
        <f t="shared" si="5"/>
        <v/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60" t="str">
        <f t="shared" si="1"/>
        <v/>
      </c>
      <c r="B1681" s="9"/>
      <c r="C1681" s="9"/>
      <c r="D1681" s="133"/>
      <c r="E1681" s="133"/>
      <c r="F1681" s="69"/>
      <c r="G1681" s="9"/>
      <c r="H1681" s="9"/>
      <c r="I1681" s="60" t="str">
        <f t="shared" si="5"/>
        <v/>
      </c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60" t="str">
        <f t="shared" si="1"/>
        <v/>
      </c>
      <c r="B1682" s="9"/>
      <c r="C1682" s="9"/>
      <c r="D1682" s="133"/>
      <c r="E1682" s="133"/>
      <c r="F1682" s="69"/>
      <c r="G1682" s="9"/>
      <c r="H1682" s="9"/>
      <c r="I1682" s="60" t="str">
        <f t="shared" si="5"/>
        <v/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60" t="str">
        <f t="shared" si="1"/>
        <v/>
      </c>
      <c r="B1683" s="9"/>
      <c r="C1683" s="9"/>
      <c r="D1683" s="133"/>
      <c r="E1683" s="133"/>
      <c r="F1683" s="69"/>
      <c r="G1683" s="9"/>
      <c r="H1683" s="9"/>
      <c r="I1683" s="60" t="str">
        <f t="shared" si="5"/>
        <v/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60" t="str">
        <f t="shared" si="1"/>
        <v/>
      </c>
      <c r="B1684" s="9"/>
      <c r="C1684" s="9"/>
      <c r="D1684" s="133"/>
      <c r="E1684" s="133"/>
      <c r="F1684" s="69"/>
      <c r="G1684" s="9"/>
      <c r="H1684" s="9"/>
      <c r="I1684" s="60" t="str">
        <f t="shared" si="5"/>
        <v/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60" t="str">
        <f t="shared" si="1"/>
        <v/>
      </c>
      <c r="B1685" s="9"/>
      <c r="C1685" s="9"/>
      <c r="D1685" s="133"/>
      <c r="E1685" s="133"/>
      <c r="F1685" s="69"/>
      <c r="G1685" s="9"/>
      <c r="H1685" s="9"/>
      <c r="I1685" s="60" t="str">
        <f t="shared" si="5"/>
        <v/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60" t="str">
        <f t="shared" si="1"/>
        <v/>
      </c>
      <c r="B1686" s="9"/>
      <c r="C1686" s="9"/>
      <c r="D1686" s="133"/>
      <c r="E1686" s="133"/>
      <c r="F1686" s="69"/>
      <c r="G1686" s="9"/>
      <c r="H1686" s="9"/>
      <c r="I1686" s="60" t="str">
        <f t="shared" si="5"/>
        <v/>
      </c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60" t="str">
        <f t="shared" si="1"/>
        <v/>
      </c>
      <c r="B1687" s="9"/>
      <c r="C1687" s="9"/>
      <c r="D1687" s="133"/>
      <c r="E1687" s="133"/>
      <c r="F1687" s="69"/>
      <c r="G1687" s="9"/>
      <c r="H1687" s="9"/>
      <c r="I1687" s="60" t="str">
        <f t="shared" si="5"/>
        <v/>
      </c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60" t="str">
        <f t="shared" si="1"/>
        <v/>
      </c>
      <c r="B1688" s="9"/>
      <c r="C1688" s="9"/>
      <c r="D1688" s="133"/>
      <c r="E1688" s="133"/>
      <c r="F1688" s="69"/>
      <c r="G1688" s="9"/>
      <c r="H1688" s="9"/>
      <c r="I1688" s="60" t="str">
        <f t="shared" si="5"/>
        <v/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60" t="str">
        <f t="shared" si="1"/>
        <v/>
      </c>
      <c r="B1689" s="9"/>
      <c r="C1689" s="9"/>
      <c r="D1689" s="133"/>
      <c r="E1689" s="133"/>
      <c r="F1689" s="69"/>
      <c r="G1689" s="9"/>
      <c r="H1689" s="9"/>
      <c r="I1689" s="60" t="str">
        <f t="shared" si="5"/>
        <v/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60" t="str">
        <f t="shared" si="1"/>
        <v/>
      </c>
      <c r="B1690" s="9"/>
      <c r="C1690" s="9"/>
      <c r="D1690" s="133"/>
      <c r="E1690" s="133"/>
      <c r="F1690" s="69"/>
      <c r="G1690" s="9"/>
      <c r="H1690" s="9"/>
      <c r="I1690" s="60" t="str">
        <f t="shared" si="5"/>
        <v/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60" t="str">
        <f t="shared" si="1"/>
        <v/>
      </c>
      <c r="B1691" s="9"/>
      <c r="C1691" s="9"/>
      <c r="D1691" s="133"/>
      <c r="E1691" s="133"/>
      <c r="F1691" s="69"/>
      <c r="G1691" s="9"/>
      <c r="H1691" s="9"/>
      <c r="I1691" s="60" t="str">
        <f t="shared" si="5"/>
        <v/>
      </c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60" t="str">
        <f t="shared" si="1"/>
        <v/>
      </c>
      <c r="B1692" s="9"/>
      <c r="C1692" s="9"/>
      <c r="D1692" s="133"/>
      <c r="E1692" s="133"/>
      <c r="F1692" s="69"/>
      <c r="G1692" s="9"/>
      <c r="H1692" s="9"/>
      <c r="I1692" s="60" t="str">
        <f t="shared" si="5"/>
        <v/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60" t="str">
        <f t="shared" si="1"/>
        <v/>
      </c>
      <c r="B1693" s="9"/>
      <c r="C1693" s="9"/>
      <c r="D1693" s="133"/>
      <c r="E1693" s="133"/>
      <c r="F1693" s="69"/>
      <c r="G1693" s="9"/>
      <c r="H1693" s="9"/>
      <c r="I1693" s="60" t="str">
        <f t="shared" si="5"/>
        <v/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60" t="str">
        <f t="shared" si="1"/>
        <v/>
      </c>
      <c r="B1694" s="9"/>
      <c r="C1694" s="9"/>
      <c r="D1694" s="133"/>
      <c r="E1694" s="133"/>
      <c r="F1694" s="69"/>
      <c r="G1694" s="9"/>
      <c r="H1694" s="9"/>
      <c r="I1694" s="60" t="str">
        <f t="shared" si="5"/>
        <v/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60" t="str">
        <f t="shared" si="1"/>
        <v/>
      </c>
      <c r="B1695" s="9"/>
      <c r="C1695" s="9"/>
      <c r="D1695" s="133"/>
      <c r="E1695" s="133"/>
      <c r="F1695" s="69"/>
      <c r="G1695" s="9"/>
      <c r="H1695" s="9"/>
      <c r="I1695" s="60" t="str">
        <f t="shared" si="5"/>
        <v/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60" t="str">
        <f t="shared" si="1"/>
        <v/>
      </c>
      <c r="B1696" s="9"/>
      <c r="C1696" s="9"/>
      <c r="D1696" s="133"/>
      <c r="E1696" s="133"/>
      <c r="F1696" s="69"/>
      <c r="G1696" s="9"/>
      <c r="H1696" s="9"/>
      <c r="I1696" s="60" t="str">
        <f t="shared" si="5"/>
        <v/>
      </c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60" t="str">
        <f t="shared" si="1"/>
        <v/>
      </c>
      <c r="B1697" s="9"/>
      <c r="C1697" s="9"/>
      <c r="D1697" s="133"/>
      <c r="E1697" s="133"/>
      <c r="F1697" s="69"/>
      <c r="G1697" s="9"/>
      <c r="H1697" s="9"/>
      <c r="I1697" s="60" t="str">
        <f t="shared" si="5"/>
        <v/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60" t="str">
        <f t="shared" si="1"/>
        <v/>
      </c>
      <c r="B1698" s="9"/>
      <c r="C1698" s="9"/>
      <c r="D1698" s="133"/>
      <c r="E1698" s="133"/>
      <c r="F1698" s="69"/>
      <c r="G1698" s="9"/>
      <c r="H1698" s="9"/>
      <c r="I1698" s="60" t="str">
        <f t="shared" si="5"/>
        <v/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60" t="str">
        <f t="shared" si="1"/>
        <v/>
      </c>
      <c r="B1699" s="9"/>
      <c r="C1699" s="9"/>
      <c r="D1699" s="133"/>
      <c r="E1699" s="133"/>
      <c r="F1699" s="69"/>
      <c r="G1699" s="9"/>
      <c r="H1699" s="9"/>
      <c r="I1699" s="60" t="str">
        <f t="shared" si="5"/>
        <v/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60" t="str">
        <f t="shared" si="1"/>
        <v/>
      </c>
      <c r="B1700" s="9"/>
      <c r="C1700" s="9"/>
      <c r="D1700" s="133"/>
      <c r="E1700" s="133"/>
      <c r="F1700" s="69"/>
      <c r="G1700" s="9"/>
      <c r="H1700" s="9"/>
      <c r="I1700" s="60" t="str">
        <f t="shared" si="5"/>
        <v/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60" t="str">
        <f t="shared" si="1"/>
        <v/>
      </c>
      <c r="B1701" s="9"/>
      <c r="C1701" s="9"/>
      <c r="D1701" s="133"/>
      <c r="E1701" s="133"/>
      <c r="F1701" s="69"/>
      <c r="G1701" s="9"/>
      <c r="H1701" s="9"/>
      <c r="I1701" s="60" t="str">
        <f t="shared" si="5"/>
        <v/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60" t="str">
        <f t="shared" si="1"/>
        <v/>
      </c>
      <c r="B1702" s="9"/>
      <c r="C1702" s="9"/>
      <c r="D1702" s="133"/>
      <c r="E1702" s="133"/>
      <c r="F1702" s="69"/>
      <c r="G1702" s="9"/>
      <c r="H1702" s="9"/>
      <c r="I1702" s="60" t="str">
        <f t="shared" si="5"/>
        <v/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60" t="str">
        <f t="shared" si="1"/>
        <v/>
      </c>
      <c r="B1703" s="9"/>
      <c r="C1703" s="9"/>
      <c r="D1703" s="133"/>
      <c r="E1703" s="133"/>
      <c r="F1703" s="69"/>
      <c r="G1703" s="9"/>
      <c r="H1703" s="9"/>
      <c r="I1703" s="60" t="str">
        <f t="shared" si="5"/>
        <v/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60" t="str">
        <f t="shared" si="1"/>
        <v/>
      </c>
      <c r="B1704" s="9"/>
      <c r="C1704" s="9"/>
      <c r="D1704" s="133"/>
      <c r="E1704" s="133"/>
      <c r="F1704" s="69"/>
      <c r="G1704" s="9"/>
      <c r="H1704" s="9"/>
      <c r="I1704" s="60" t="str">
        <f t="shared" si="5"/>
        <v/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60" t="str">
        <f t="shared" si="1"/>
        <v/>
      </c>
      <c r="B1705" s="9"/>
      <c r="C1705" s="9"/>
      <c r="D1705" s="133"/>
      <c r="E1705" s="133"/>
      <c r="F1705" s="69"/>
      <c r="G1705" s="9"/>
      <c r="H1705" s="9"/>
      <c r="I1705" s="60" t="str">
        <f t="shared" si="5"/>
        <v/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60" t="str">
        <f t="shared" si="1"/>
        <v/>
      </c>
      <c r="B1706" s="9"/>
      <c r="C1706" s="9"/>
      <c r="D1706" s="133"/>
      <c r="E1706" s="133"/>
      <c r="F1706" s="69"/>
      <c r="G1706" s="9"/>
      <c r="H1706" s="9"/>
      <c r="I1706" s="60" t="str">
        <f t="shared" si="5"/>
        <v/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60" t="str">
        <f t="shared" si="1"/>
        <v/>
      </c>
      <c r="B1707" s="9"/>
      <c r="C1707" s="9"/>
      <c r="D1707" s="133"/>
      <c r="E1707" s="133"/>
      <c r="F1707" s="69"/>
      <c r="G1707" s="9"/>
      <c r="H1707" s="9"/>
      <c r="I1707" s="60" t="str">
        <f t="shared" si="5"/>
        <v/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60" t="str">
        <f t="shared" si="1"/>
        <v/>
      </c>
      <c r="B1708" s="9"/>
      <c r="C1708" s="9"/>
      <c r="D1708" s="133"/>
      <c r="E1708" s="133"/>
      <c r="F1708" s="69"/>
      <c r="G1708" s="9"/>
      <c r="H1708" s="9"/>
      <c r="I1708" s="60" t="str">
        <f t="shared" si="5"/>
        <v/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60" t="str">
        <f t="shared" si="1"/>
        <v/>
      </c>
      <c r="B1709" s="9"/>
      <c r="C1709" s="9"/>
      <c r="D1709" s="133"/>
      <c r="E1709" s="133"/>
      <c r="F1709" s="69"/>
      <c r="G1709" s="9"/>
      <c r="H1709" s="9"/>
      <c r="I1709" s="60" t="str">
        <f t="shared" si="5"/>
        <v/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60" t="str">
        <f t="shared" si="1"/>
        <v/>
      </c>
      <c r="B1710" s="9"/>
      <c r="C1710" s="9"/>
      <c r="D1710" s="133"/>
      <c r="E1710" s="133"/>
      <c r="F1710" s="69"/>
      <c r="G1710" s="9"/>
      <c r="H1710" s="9"/>
      <c r="I1710" s="60" t="str">
        <f t="shared" si="5"/>
        <v/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60" t="str">
        <f t="shared" si="1"/>
        <v/>
      </c>
      <c r="B1711" s="9"/>
      <c r="C1711" s="9"/>
      <c r="D1711" s="133"/>
      <c r="E1711" s="133"/>
      <c r="F1711" s="69"/>
      <c r="G1711" s="9"/>
      <c r="H1711" s="9"/>
      <c r="I1711" s="60" t="str">
        <f t="shared" si="5"/>
        <v/>
      </c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60" t="str">
        <f t="shared" si="1"/>
        <v/>
      </c>
      <c r="B1712" s="9"/>
      <c r="C1712" s="9"/>
      <c r="D1712" s="133"/>
      <c r="E1712" s="133"/>
      <c r="F1712" s="69"/>
      <c r="G1712" s="9"/>
      <c r="H1712" s="9"/>
      <c r="I1712" s="60" t="str">
        <f t="shared" si="5"/>
        <v/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60" t="str">
        <f t="shared" si="1"/>
        <v/>
      </c>
      <c r="B1713" s="9"/>
      <c r="C1713" s="9"/>
      <c r="D1713" s="133"/>
      <c r="E1713" s="133"/>
      <c r="F1713" s="69"/>
      <c r="G1713" s="9"/>
      <c r="H1713" s="9"/>
      <c r="I1713" s="60" t="str">
        <f t="shared" si="5"/>
        <v/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60" t="str">
        <f t="shared" si="1"/>
        <v/>
      </c>
      <c r="B1714" s="9"/>
      <c r="C1714" s="9"/>
      <c r="D1714" s="133"/>
      <c r="E1714" s="133"/>
      <c r="F1714" s="69"/>
      <c r="G1714" s="9"/>
      <c r="H1714" s="9"/>
      <c r="I1714" s="60" t="str">
        <f t="shared" si="5"/>
        <v/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60" t="str">
        <f t="shared" si="1"/>
        <v/>
      </c>
      <c r="B1715" s="9"/>
      <c r="C1715" s="9"/>
      <c r="D1715" s="133"/>
      <c r="E1715" s="133"/>
      <c r="F1715" s="69"/>
      <c r="G1715" s="9"/>
      <c r="H1715" s="9"/>
      <c r="I1715" s="60" t="str">
        <f t="shared" si="5"/>
        <v/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60" t="str">
        <f t="shared" si="1"/>
        <v/>
      </c>
      <c r="B1716" s="9"/>
      <c r="C1716" s="9"/>
      <c r="D1716" s="133"/>
      <c r="E1716" s="133"/>
      <c r="F1716" s="69"/>
      <c r="G1716" s="9"/>
      <c r="H1716" s="9"/>
      <c r="I1716" s="60" t="str">
        <f t="shared" si="5"/>
        <v/>
      </c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60" t="str">
        <f t="shared" si="1"/>
        <v/>
      </c>
      <c r="B1717" s="9"/>
      <c r="C1717" s="9"/>
      <c r="D1717" s="133"/>
      <c r="E1717" s="133"/>
      <c r="F1717" s="69"/>
      <c r="G1717" s="9"/>
      <c r="H1717" s="9"/>
      <c r="I1717" s="60" t="str">
        <f t="shared" si="5"/>
        <v/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60" t="str">
        <f t="shared" si="1"/>
        <v/>
      </c>
      <c r="B1718" s="9"/>
      <c r="C1718" s="9"/>
      <c r="D1718" s="133"/>
      <c r="E1718" s="133"/>
      <c r="F1718" s="69"/>
      <c r="G1718" s="9"/>
      <c r="H1718" s="9"/>
      <c r="I1718" s="60" t="str">
        <f t="shared" si="5"/>
        <v/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60" t="str">
        <f t="shared" si="1"/>
        <v/>
      </c>
      <c r="B1719" s="9"/>
      <c r="C1719" s="9"/>
      <c r="D1719" s="133"/>
      <c r="E1719" s="133"/>
      <c r="F1719" s="69"/>
      <c r="G1719" s="9"/>
      <c r="H1719" s="9"/>
      <c r="I1719" s="60" t="str">
        <f t="shared" si="5"/>
        <v/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60" t="str">
        <f t="shared" si="1"/>
        <v/>
      </c>
      <c r="B1720" s="9"/>
      <c r="C1720" s="9"/>
      <c r="D1720" s="133"/>
      <c r="E1720" s="133"/>
      <c r="F1720" s="69"/>
      <c r="G1720" s="9"/>
      <c r="H1720" s="9"/>
      <c r="I1720" s="60" t="str">
        <f t="shared" si="5"/>
        <v/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60" t="str">
        <f t="shared" si="1"/>
        <v/>
      </c>
      <c r="B1721" s="9"/>
      <c r="C1721" s="9"/>
      <c r="D1721" s="133"/>
      <c r="E1721" s="133"/>
      <c r="F1721" s="69"/>
      <c r="G1721" s="9"/>
      <c r="H1721" s="9"/>
      <c r="I1721" s="60" t="str">
        <f t="shared" si="5"/>
        <v/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60" t="str">
        <f t="shared" si="1"/>
        <v/>
      </c>
      <c r="B1722" s="9"/>
      <c r="C1722" s="9"/>
      <c r="D1722" s="133"/>
      <c r="E1722" s="133"/>
      <c r="F1722" s="69"/>
      <c r="G1722" s="9"/>
      <c r="H1722" s="9"/>
      <c r="I1722" s="60" t="str">
        <f t="shared" si="5"/>
        <v/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60" t="str">
        <f t="shared" si="1"/>
        <v/>
      </c>
      <c r="B1723" s="9"/>
      <c r="C1723" s="9"/>
      <c r="D1723" s="133"/>
      <c r="E1723" s="133"/>
      <c r="F1723" s="69"/>
      <c r="G1723" s="9"/>
      <c r="H1723" s="9"/>
      <c r="I1723" s="60" t="str">
        <f t="shared" si="5"/>
        <v/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60" t="str">
        <f t="shared" si="1"/>
        <v/>
      </c>
      <c r="B1724" s="9"/>
      <c r="C1724" s="9"/>
      <c r="D1724" s="133"/>
      <c r="E1724" s="133"/>
      <c r="F1724" s="69"/>
      <c r="G1724" s="9"/>
      <c r="H1724" s="9"/>
      <c r="I1724" s="60" t="str">
        <f t="shared" si="5"/>
        <v/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60" t="str">
        <f t="shared" si="1"/>
        <v/>
      </c>
      <c r="B1725" s="9"/>
      <c r="C1725" s="9"/>
      <c r="D1725" s="133"/>
      <c r="E1725" s="133"/>
      <c r="F1725" s="69"/>
      <c r="G1725" s="9"/>
      <c r="H1725" s="9"/>
      <c r="I1725" s="60" t="str">
        <f t="shared" si="5"/>
        <v/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60" t="str">
        <f t="shared" si="1"/>
        <v/>
      </c>
      <c r="B1726" s="9"/>
      <c r="C1726" s="9"/>
      <c r="D1726" s="133"/>
      <c r="E1726" s="133"/>
      <c r="F1726" s="69"/>
      <c r="G1726" s="9"/>
      <c r="H1726" s="9"/>
      <c r="I1726" s="60" t="str">
        <f t="shared" si="5"/>
        <v/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60" t="str">
        <f t="shared" si="1"/>
        <v/>
      </c>
      <c r="B1727" s="9"/>
      <c r="C1727" s="9"/>
      <c r="D1727" s="133"/>
      <c r="E1727" s="133"/>
      <c r="F1727" s="69"/>
      <c r="G1727" s="9"/>
      <c r="H1727" s="9"/>
      <c r="I1727" s="60" t="str">
        <f t="shared" si="5"/>
        <v/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60" t="str">
        <f t="shared" si="1"/>
        <v/>
      </c>
      <c r="B1728" s="9"/>
      <c r="C1728" s="9"/>
      <c r="D1728" s="133"/>
      <c r="E1728" s="133"/>
      <c r="F1728" s="69"/>
      <c r="G1728" s="9"/>
      <c r="H1728" s="9"/>
      <c r="I1728" s="60" t="str">
        <f t="shared" si="5"/>
        <v/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60" t="str">
        <f t="shared" si="1"/>
        <v/>
      </c>
      <c r="B1729" s="9"/>
      <c r="C1729" s="9"/>
      <c r="D1729" s="133"/>
      <c r="E1729" s="133"/>
      <c r="F1729" s="69"/>
      <c r="G1729" s="9"/>
      <c r="H1729" s="9"/>
      <c r="I1729" s="60" t="str">
        <f t="shared" si="5"/>
        <v/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60" t="str">
        <f t="shared" si="1"/>
        <v/>
      </c>
      <c r="B1730" s="9"/>
      <c r="C1730" s="9"/>
      <c r="D1730" s="133"/>
      <c r="E1730" s="133"/>
      <c r="F1730" s="69"/>
      <c r="G1730" s="9"/>
      <c r="H1730" s="9"/>
      <c r="I1730" s="60" t="str">
        <f t="shared" si="5"/>
        <v/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60" t="str">
        <f t="shared" si="1"/>
        <v/>
      </c>
      <c r="B1731" s="9"/>
      <c r="C1731" s="9"/>
      <c r="D1731" s="133"/>
      <c r="E1731" s="133"/>
      <c r="F1731" s="69"/>
      <c r="G1731" s="9"/>
      <c r="H1731" s="9"/>
      <c r="I1731" s="60" t="str">
        <f t="shared" si="5"/>
        <v/>
      </c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60" t="str">
        <f t="shared" si="1"/>
        <v/>
      </c>
      <c r="B1732" s="9"/>
      <c r="C1732" s="9"/>
      <c r="D1732" s="133"/>
      <c r="E1732" s="133"/>
      <c r="F1732" s="69"/>
      <c r="G1732" s="9"/>
      <c r="H1732" s="9"/>
      <c r="I1732" s="60" t="str">
        <f t="shared" si="5"/>
        <v/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60" t="str">
        <f t="shared" si="1"/>
        <v/>
      </c>
      <c r="B1733" s="9"/>
      <c r="C1733" s="9"/>
      <c r="D1733" s="133"/>
      <c r="E1733" s="133"/>
      <c r="F1733" s="69"/>
      <c r="G1733" s="9"/>
      <c r="H1733" s="9"/>
      <c r="I1733" s="60" t="str">
        <f t="shared" si="5"/>
        <v/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60" t="str">
        <f t="shared" si="1"/>
        <v/>
      </c>
      <c r="B1734" s="9"/>
      <c r="C1734" s="9"/>
      <c r="D1734" s="133"/>
      <c r="E1734" s="133"/>
      <c r="F1734" s="69"/>
      <c r="G1734" s="9"/>
      <c r="H1734" s="9"/>
      <c r="I1734" s="60" t="str">
        <f t="shared" si="5"/>
        <v/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60" t="str">
        <f t="shared" si="1"/>
        <v/>
      </c>
      <c r="B1735" s="9"/>
      <c r="C1735" s="9"/>
      <c r="D1735" s="133"/>
      <c r="E1735" s="133"/>
      <c r="F1735" s="69"/>
      <c r="G1735" s="9"/>
      <c r="H1735" s="9"/>
      <c r="I1735" s="60" t="str">
        <f t="shared" si="5"/>
        <v/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60" t="str">
        <f t="shared" si="1"/>
        <v/>
      </c>
      <c r="B1736" s="9"/>
      <c r="C1736" s="9"/>
      <c r="D1736" s="133"/>
      <c r="E1736" s="133"/>
      <c r="F1736" s="69"/>
      <c r="G1736" s="9"/>
      <c r="H1736" s="9"/>
      <c r="I1736" s="60" t="str">
        <f t="shared" si="5"/>
        <v/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60" t="str">
        <f t="shared" si="1"/>
        <v/>
      </c>
      <c r="B1737" s="9"/>
      <c r="C1737" s="9"/>
      <c r="D1737" s="133"/>
      <c r="E1737" s="133"/>
      <c r="F1737" s="69"/>
      <c r="G1737" s="9"/>
      <c r="H1737" s="9"/>
      <c r="I1737" s="60" t="str">
        <f t="shared" si="5"/>
        <v/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60" t="str">
        <f t="shared" si="1"/>
        <v/>
      </c>
      <c r="B1738" s="9"/>
      <c r="C1738" s="9"/>
      <c r="D1738" s="133"/>
      <c r="E1738" s="133"/>
      <c r="F1738" s="69"/>
      <c r="G1738" s="9"/>
      <c r="H1738" s="9"/>
      <c r="I1738" s="60" t="str">
        <f t="shared" si="5"/>
        <v/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60" t="str">
        <f t="shared" si="1"/>
        <v/>
      </c>
      <c r="B1739" s="9"/>
      <c r="C1739" s="9"/>
      <c r="D1739" s="133"/>
      <c r="E1739" s="133"/>
      <c r="F1739" s="69"/>
      <c r="G1739" s="9"/>
      <c r="H1739" s="9"/>
      <c r="I1739" s="60" t="str">
        <f t="shared" si="5"/>
        <v/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60" t="str">
        <f t="shared" si="1"/>
        <v/>
      </c>
      <c r="B1740" s="9"/>
      <c r="C1740" s="9"/>
      <c r="D1740" s="133"/>
      <c r="E1740" s="133"/>
      <c r="F1740" s="69"/>
      <c r="G1740" s="9"/>
      <c r="H1740" s="9"/>
      <c r="I1740" s="60" t="str">
        <f t="shared" si="5"/>
        <v/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60" t="str">
        <f t="shared" si="1"/>
        <v/>
      </c>
      <c r="B1741" s="9"/>
      <c r="C1741" s="9"/>
      <c r="D1741" s="133"/>
      <c r="E1741" s="133"/>
      <c r="F1741" s="69"/>
      <c r="G1741" s="9"/>
      <c r="H1741" s="9"/>
      <c r="I1741" s="60" t="str">
        <f t="shared" si="5"/>
        <v/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60" t="str">
        <f t="shared" si="1"/>
        <v/>
      </c>
      <c r="B1742" s="9"/>
      <c r="C1742" s="9"/>
      <c r="D1742" s="133"/>
      <c r="E1742" s="133"/>
      <c r="F1742" s="69"/>
      <c r="G1742" s="9"/>
      <c r="H1742" s="9"/>
      <c r="I1742" s="60" t="str">
        <f t="shared" si="5"/>
        <v/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60" t="str">
        <f t="shared" si="1"/>
        <v/>
      </c>
      <c r="B1743" s="9"/>
      <c r="C1743" s="9"/>
      <c r="D1743" s="133"/>
      <c r="E1743" s="133"/>
      <c r="F1743" s="69"/>
      <c r="G1743" s="9"/>
      <c r="H1743" s="9"/>
      <c r="I1743" s="60" t="str">
        <f t="shared" si="5"/>
        <v/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60" t="str">
        <f t="shared" si="1"/>
        <v/>
      </c>
      <c r="B1744" s="9"/>
      <c r="C1744" s="9"/>
      <c r="D1744" s="133"/>
      <c r="E1744" s="133"/>
      <c r="F1744" s="69"/>
      <c r="G1744" s="9"/>
      <c r="H1744" s="9"/>
      <c r="I1744" s="60" t="str">
        <f t="shared" si="5"/>
        <v/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60" t="str">
        <f t="shared" si="1"/>
        <v/>
      </c>
      <c r="B1745" s="9"/>
      <c r="C1745" s="9"/>
      <c r="D1745" s="133"/>
      <c r="E1745" s="133"/>
      <c r="F1745" s="69"/>
      <c r="G1745" s="9"/>
      <c r="H1745" s="9"/>
      <c r="I1745" s="60" t="str">
        <f t="shared" si="5"/>
        <v/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60" t="str">
        <f t="shared" si="1"/>
        <v/>
      </c>
      <c r="B1746" s="9"/>
      <c r="C1746" s="9"/>
      <c r="D1746" s="133"/>
      <c r="E1746" s="133"/>
      <c r="F1746" s="69"/>
      <c r="G1746" s="9"/>
      <c r="H1746" s="9"/>
      <c r="I1746" s="60" t="str">
        <f t="shared" si="5"/>
        <v/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60" t="str">
        <f t="shared" si="1"/>
        <v/>
      </c>
      <c r="B1747" s="9"/>
      <c r="C1747" s="9"/>
      <c r="D1747" s="133"/>
      <c r="E1747" s="133"/>
      <c r="F1747" s="69"/>
      <c r="G1747" s="9"/>
      <c r="H1747" s="9"/>
      <c r="I1747" s="60" t="str">
        <f t="shared" si="5"/>
        <v/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60" t="str">
        <f t="shared" si="1"/>
        <v/>
      </c>
      <c r="B1748" s="9"/>
      <c r="C1748" s="9"/>
      <c r="D1748" s="133"/>
      <c r="E1748" s="133"/>
      <c r="F1748" s="69"/>
      <c r="G1748" s="9"/>
      <c r="H1748" s="9"/>
      <c r="I1748" s="60" t="str">
        <f t="shared" si="5"/>
        <v/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60" t="str">
        <f t="shared" si="1"/>
        <v/>
      </c>
      <c r="B1749" s="9"/>
      <c r="C1749" s="9"/>
      <c r="D1749" s="133"/>
      <c r="E1749" s="133"/>
      <c r="F1749" s="69"/>
      <c r="G1749" s="9"/>
      <c r="H1749" s="9"/>
      <c r="I1749" s="60" t="str">
        <f t="shared" si="5"/>
        <v/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60" t="str">
        <f t="shared" si="1"/>
        <v/>
      </c>
      <c r="B1750" s="9"/>
      <c r="C1750" s="9"/>
      <c r="D1750" s="133"/>
      <c r="E1750" s="133"/>
      <c r="F1750" s="69"/>
      <c r="G1750" s="9"/>
      <c r="H1750" s="9"/>
      <c r="I1750" s="60" t="str">
        <f t="shared" si="5"/>
        <v/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60" t="str">
        <f t="shared" si="1"/>
        <v/>
      </c>
      <c r="B1751" s="9"/>
      <c r="C1751" s="9"/>
      <c r="D1751" s="133"/>
      <c r="E1751" s="133"/>
      <c r="F1751" s="69"/>
      <c r="G1751" s="9"/>
      <c r="H1751" s="9"/>
      <c r="I1751" s="60" t="str">
        <f t="shared" si="5"/>
        <v/>
      </c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60" t="str">
        <f t="shared" si="1"/>
        <v/>
      </c>
      <c r="B1752" s="9"/>
      <c r="C1752" s="9"/>
      <c r="D1752" s="133"/>
      <c r="E1752" s="133"/>
      <c r="F1752" s="69"/>
      <c r="G1752" s="9"/>
      <c r="H1752" s="9"/>
      <c r="I1752" s="60" t="str">
        <f t="shared" si="5"/>
        <v/>
      </c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60" t="str">
        <f t="shared" si="1"/>
        <v/>
      </c>
      <c r="B1753" s="9"/>
      <c r="C1753" s="9"/>
      <c r="D1753" s="133"/>
      <c r="E1753" s="133"/>
      <c r="F1753" s="69"/>
      <c r="G1753" s="9"/>
      <c r="H1753" s="9"/>
      <c r="I1753" s="60" t="str">
        <f t="shared" si="5"/>
        <v/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60" t="str">
        <f t="shared" si="1"/>
        <v/>
      </c>
      <c r="B1754" s="9"/>
      <c r="C1754" s="9"/>
      <c r="D1754" s="133"/>
      <c r="E1754" s="133"/>
      <c r="F1754" s="69"/>
      <c r="G1754" s="9"/>
      <c r="H1754" s="9"/>
      <c r="I1754" s="60" t="str">
        <f t="shared" si="5"/>
        <v/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60" t="str">
        <f t="shared" si="1"/>
        <v/>
      </c>
      <c r="B1755" s="9"/>
      <c r="C1755" s="9"/>
      <c r="D1755" s="133"/>
      <c r="E1755" s="133"/>
      <c r="F1755" s="69"/>
      <c r="G1755" s="9"/>
      <c r="H1755" s="9"/>
      <c r="I1755" s="60" t="str">
        <f t="shared" si="5"/>
        <v/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60" t="str">
        <f t="shared" si="1"/>
        <v/>
      </c>
      <c r="B1756" s="9"/>
      <c r="C1756" s="9"/>
      <c r="D1756" s="133"/>
      <c r="E1756" s="133"/>
      <c r="F1756" s="69"/>
      <c r="G1756" s="9"/>
      <c r="H1756" s="9"/>
      <c r="I1756" s="60" t="str">
        <f t="shared" si="5"/>
        <v/>
      </c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60" t="str">
        <f t="shared" si="1"/>
        <v/>
      </c>
      <c r="B1757" s="9"/>
      <c r="C1757" s="9"/>
      <c r="D1757" s="133"/>
      <c r="E1757" s="133"/>
      <c r="F1757" s="69"/>
      <c r="G1757" s="9"/>
      <c r="H1757" s="9"/>
      <c r="I1757" s="60" t="str">
        <f t="shared" si="5"/>
        <v/>
      </c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60" t="str">
        <f t="shared" si="1"/>
        <v/>
      </c>
      <c r="B1758" s="9"/>
      <c r="C1758" s="9"/>
      <c r="D1758" s="133"/>
      <c r="E1758" s="133"/>
      <c r="F1758" s="69"/>
      <c r="G1758" s="9"/>
      <c r="H1758" s="9"/>
      <c r="I1758" s="60" t="str">
        <f t="shared" si="5"/>
        <v/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60" t="str">
        <f t="shared" si="1"/>
        <v/>
      </c>
      <c r="B1759" s="9"/>
      <c r="C1759" s="9"/>
      <c r="D1759" s="133"/>
      <c r="E1759" s="133"/>
      <c r="F1759" s="69"/>
      <c r="G1759" s="9"/>
      <c r="H1759" s="9"/>
      <c r="I1759" s="60" t="str">
        <f t="shared" si="5"/>
        <v/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60" t="str">
        <f t="shared" si="1"/>
        <v/>
      </c>
      <c r="B1760" s="9"/>
      <c r="C1760" s="9"/>
      <c r="D1760" s="133"/>
      <c r="E1760" s="133"/>
      <c r="F1760" s="69"/>
      <c r="G1760" s="9"/>
      <c r="H1760" s="9"/>
      <c r="I1760" s="60" t="str">
        <f t="shared" si="5"/>
        <v/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60" t="str">
        <f t="shared" si="1"/>
        <v/>
      </c>
      <c r="B1761" s="9"/>
      <c r="C1761" s="9"/>
      <c r="D1761" s="133"/>
      <c r="E1761" s="133"/>
      <c r="F1761" s="69"/>
      <c r="G1761" s="9"/>
      <c r="H1761" s="9"/>
      <c r="I1761" s="60" t="str">
        <f t="shared" si="5"/>
        <v/>
      </c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60" t="str">
        <f t="shared" si="1"/>
        <v/>
      </c>
      <c r="B1762" s="9"/>
      <c r="C1762" s="9"/>
      <c r="D1762" s="133"/>
      <c r="E1762" s="133"/>
      <c r="F1762" s="69"/>
      <c r="G1762" s="9"/>
      <c r="H1762" s="9"/>
      <c r="I1762" s="60" t="str">
        <f t="shared" si="5"/>
        <v/>
      </c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60" t="str">
        <f t="shared" si="1"/>
        <v/>
      </c>
      <c r="B1763" s="9"/>
      <c r="C1763" s="9"/>
      <c r="D1763" s="133"/>
      <c r="E1763" s="133"/>
      <c r="F1763" s="69"/>
      <c r="G1763" s="9"/>
      <c r="H1763" s="9"/>
      <c r="I1763" s="60" t="str">
        <f t="shared" si="5"/>
        <v/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60" t="str">
        <f t="shared" si="1"/>
        <v/>
      </c>
      <c r="B1764" s="9"/>
      <c r="C1764" s="9"/>
      <c r="D1764" s="133"/>
      <c r="E1764" s="133"/>
      <c r="F1764" s="69"/>
      <c r="G1764" s="9"/>
      <c r="H1764" s="9"/>
      <c r="I1764" s="60" t="str">
        <f t="shared" si="5"/>
        <v/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60" t="str">
        <f t="shared" si="1"/>
        <v/>
      </c>
      <c r="B1765" s="9"/>
      <c r="C1765" s="9"/>
      <c r="D1765" s="133"/>
      <c r="E1765" s="133"/>
      <c r="F1765" s="69"/>
      <c r="G1765" s="9"/>
      <c r="H1765" s="9"/>
      <c r="I1765" s="60" t="str">
        <f t="shared" si="5"/>
        <v/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60" t="str">
        <f t="shared" si="1"/>
        <v/>
      </c>
      <c r="B1766" s="9"/>
      <c r="C1766" s="9"/>
      <c r="D1766" s="133"/>
      <c r="E1766" s="133"/>
      <c r="F1766" s="69"/>
      <c r="G1766" s="9"/>
      <c r="H1766" s="9"/>
      <c r="I1766" s="60" t="str">
        <f t="shared" si="5"/>
        <v/>
      </c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60" t="str">
        <f t="shared" si="1"/>
        <v/>
      </c>
      <c r="B1767" s="9"/>
      <c r="C1767" s="9"/>
      <c r="D1767" s="133"/>
      <c r="E1767" s="133"/>
      <c r="F1767" s="69"/>
      <c r="G1767" s="9"/>
      <c r="H1767" s="9"/>
      <c r="I1767" s="60" t="str">
        <f t="shared" si="5"/>
        <v/>
      </c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60" t="str">
        <f t="shared" si="1"/>
        <v/>
      </c>
      <c r="B1768" s="9"/>
      <c r="C1768" s="9"/>
      <c r="D1768" s="133"/>
      <c r="E1768" s="133"/>
      <c r="F1768" s="69"/>
      <c r="G1768" s="9"/>
      <c r="H1768" s="9"/>
      <c r="I1768" s="60" t="str">
        <f t="shared" si="5"/>
        <v/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60" t="str">
        <f t="shared" si="1"/>
        <v/>
      </c>
      <c r="B1769" s="9"/>
      <c r="C1769" s="9"/>
      <c r="D1769" s="133"/>
      <c r="E1769" s="133"/>
      <c r="F1769" s="69"/>
      <c r="G1769" s="9"/>
      <c r="H1769" s="9"/>
      <c r="I1769" s="60" t="str">
        <f t="shared" si="5"/>
        <v/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60" t="str">
        <f t="shared" si="1"/>
        <v/>
      </c>
      <c r="B1770" s="9"/>
      <c r="C1770" s="9"/>
      <c r="D1770" s="133"/>
      <c r="E1770" s="133"/>
      <c r="F1770" s="69"/>
      <c r="G1770" s="9"/>
      <c r="H1770" s="9"/>
      <c r="I1770" s="60" t="str">
        <f t="shared" si="5"/>
        <v/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60" t="str">
        <f t="shared" si="1"/>
        <v/>
      </c>
      <c r="B1771" s="9"/>
      <c r="C1771" s="9"/>
      <c r="D1771" s="133"/>
      <c r="E1771" s="133"/>
      <c r="F1771" s="69"/>
      <c r="G1771" s="9"/>
      <c r="H1771" s="9"/>
      <c r="I1771" s="60" t="str">
        <f t="shared" si="5"/>
        <v/>
      </c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60" t="str">
        <f t="shared" si="1"/>
        <v/>
      </c>
      <c r="B1772" s="9"/>
      <c r="C1772" s="9"/>
      <c r="D1772" s="133"/>
      <c r="E1772" s="133"/>
      <c r="F1772" s="69"/>
      <c r="G1772" s="9"/>
      <c r="H1772" s="9"/>
      <c r="I1772" s="60" t="str">
        <f t="shared" si="5"/>
        <v/>
      </c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60" t="str">
        <f t="shared" si="1"/>
        <v/>
      </c>
      <c r="B1773" s="9"/>
      <c r="C1773" s="9"/>
      <c r="D1773" s="133"/>
      <c r="E1773" s="133"/>
      <c r="F1773" s="69"/>
      <c r="G1773" s="9"/>
      <c r="H1773" s="9"/>
      <c r="I1773" s="60" t="str">
        <f t="shared" si="5"/>
        <v/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60" t="str">
        <f t="shared" si="1"/>
        <v/>
      </c>
      <c r="B1774" s="9"/>
      <c r="C1774" s="9"/>
      <c r="D1774" s="133"/>
      <c r="E1774" s="133"/>
      <c r="F1774" s="69"/>
      <c r="G1774" s="9"/>
      <c r="H1774" s="9"/>
      <c r="I1774" s="60" t="str">
        <f t="shared" si="5"/>
        <v/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60" t="str">
        <f t="shared" si="1"/>
        <v/>
      </c>
      <c r="B1775" s="9"/>
      <c r="C1775" s="9"/>
      <c r="D1775" s="133"/>
      <c r="E1775" s="133"/>
      <c r="F1775" s="69"/>
      <c r="G1775" s="9"/>
      <c r="H1775" s="9"/>
      <c r="I1775" s="60" t="str">
        <f t="shared" si="5"/>
        <v/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60" t="str">
        <f t="shared" si="1"/>
        <v/>
      </c>
      <c r="B1776" s="9"/>
      <c r="C1776" s="9"/>
      <c r="D1776" s="133"/>
      <c r="E1776" s="133"/>
      <c r="F1776" s="69"/>
      <c r="G1776" s="9"/>
      <c r="H1776" s="9"/>
      <c r="I1776" s="60" t="str">
        <f t="shared" si="5"/>
        <v/>
      </c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60" t="str">
        <f t="shared" si="1"/>
        <v/>
      </c>
      <c r="B1777" s="9"/>
      <c r="C1777" s="9"/>
      <c r="D1777" s="133"/>
      <c r="E1777" s="133"/>
      <c r="F1777" s="69"/>
      <c r="G1777" s="9"/>
      <c r="H1777" s="9"/>
      <c r="I1777" s="60" t="str">
        <f t="shared" si="5"/>
        <v/>
      </c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60" t="str">
        <f t="shared" si="1"/>
        <v/>
      </c>
      <c r="B1778" s="9"/>
      <c r="C1778" s="9"/>
      <c r="D1778" s="133"/>
      <c r="E1778" s="133"/>
      <c r="F1778" s="69"/>
      <c r="G1778" s="9"/>
      <c r="H1778" s="9"/>
      <c r="I1778" s="60" t="str">
        <f t="shared" si="5"/>
        <v/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60" t="str">
        <f t="shared" si="1"/>
        <v/>
      </c>
      <c r="B1779" s="9"/>
      <c r="C1779" s="9"/>
      <c r="D1779" s="133"/>
      <c r="E1779" s="133"/>
      <c r="F1779" s="69"/>
      <c r="G1779" s="9"/>
      <c r="H1779" s="9"/>
      <c r="I1779" s="60" t="str">
        <f t="shared" si="5"/>
        <v/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60" t="str">
        <f t="shared" si="1"/>
        <v/>
      </c>
      <c r="B1780" s="9"/>
      <c r="C1780" s="9"/>
      <c r="D1780" s="133"/>
      <c r="E1780" s="133"/>
      <c r="F1780" s="69"/>
      <c r="G1780" s="9"/>
      <c r="H1780" s="9"/>
      <c r="I1780" s="60" t="str">
        <f t="shared" si="5"/>
        <v/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60" t="str">
        <f t="shared" si="1"/>
        <v/>
      </c>
      <c r="B1781" s="9"/>
      <c r="C1781" s="9"/>
      <c r="D1781" s="133"/>
      <c r="E1781" s="133"/>
      <c r="F1781" s="69"/>
      <c r="G1781" s="9"/>
      <c r="H1781" s="9"/>
      <c r="I1781" s="60" t="str">
        <f t="shared" si="5"/>
        <v/>
      </c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60" t="str">
        <f t="shared" si="1"/>
        <v/>
      </c>
      <c r="B1782" s="9"/>
      <c r="C1782" s="9"/>
      <c r="D1782" s="133"/>
      <c r="E1782" s="133"/>
      <c r="F1782" s="69"/>
      <c r="G1782" s="9"/>
      <c r="H1782" s="9"/>
      <c r="I1782" s="60" t="str">
        <f t="shared" si="5"/>
        <v/>
      </c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60" t="str">
        <f t="shared" si="1"/>
        <v/>
      </c>
      <c r="B1783" s="9"/>
      <c r="C1783" s="9"/>
      <c r="D1783" s="133"/>
      <c r="E1783" s="133"/>
      <c r="F1783" s="69"/>
      <c r="G1783" s="9"/>
      <c r="H1783" s="9"/>
      <c r="I1783" s="60" t="str">
        <f t="shared" si="5"/>
        <v/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60" t="str">
        <f t="shared" si="1"/>
        <v/>
      </c>
      <c r="B1784" s="9"/>
      <c r="C1784" s="9"/>
      <c r="D1784" s="133"/>
      <c r="E1784" s="133"/>
      <c r="F1784" s="69"/>
      <c r="G1784" s="9"/>
      <c r="H1784" s="9"/>
      <c r="I1784" s="60" t="str">
        <f t="shared" si="5"/>
        <v/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60" t="str">
        <f t="shared" si="1"/>
        <v/>
      </c>
      <c r="B1785" s="9"/>
      <c r="C1785" s="9"/>
      <c r="D1785" s="133"/>
      <c r="E1785" s="133"/>
      <c r="F1785" s="69"/>
      <c r="G1785" s="9"/>
      <c r="H1785" s="9"/>
      <c r="I1785" s="60" t="str">
        <f t="shared" si="5"/>
        <v/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60" t="str">
        <f t="shared" si="1"/>
        <v/>
      </c>
      <c r="B1786" s="9"/>
      <c r="C1786" s="9"/>
      <c r="D1786" s="133"/>
      <c r="E1786" s="133"/>
      <c r="F1786" s="69"/>
      <c r="G1786" s="9"/>
      <c r="H1786" s="9"/>
      <c r="I1786" s="60" t="str">
        <f t="shared" si="5"/>
        <v/>
      </c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60" t="str">
        <f t="shared" si="1"/>
        <v/>
      </c>
      <c r="B1787" s="9"/>
      <c r="C1787" s="9"/>
      <c r="D1787" s="133"/>
      <c r="E1787" s="133"/>
      <c r="F1787" s="69"/>
      <c r="G1787" s="9"/>
      <c r="H1787" s="9"/>
      <c r="I1787" s="60" t="str">
        <f t="shared" si="5"/>
        <v/>
      </c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60" t="str">
        <f t="shared" si="1"/>
        <v/>
      </c>
      <c r="B1788" s="9"/>
      <c r="C1788" s="9"/>
      <c r="D1788" s="133"/>
      <c r="E1788" s="133"/>
      <c r="F1788" s="69"/>
      <c r="G1788" s="9"/>
      <c r="H1788" s="9"/>
      <c r="I1788" s="60" t="str">
        <f t="shared" si="5"/>
        <v/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60" t="str">
        <f t="shared" si="1"/>
        <v/>
      </c>
      <c r="B1789" s="9"/>
      <c r="C1789" s="9"/>
      <c r="D1789" s="133"/>
      <c r="E1789" s="133"/>
      <c r="F1789" s="69"/>
      <c r="G1789" s="9"/>
      <c r="H1789" s="9"/>
      <c r="I1789" s="60" t="str">
        <f t="shared" si="5"/>
        <v/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60" t="str">
        <f t="shared" si="1"/>
        <v/>
      </c>
      <c r="B1790" s="9"/>
      <c r="C1790" s="9"/>
      <c r="D1790" s="133"/>
      <c r="E1790" s="133"/>
      <c r="F1790" s="69"/>
      <c r="G1790" s="9"/>
      <c r="H1790" s="9"/>
      <c r="I1790" s="60" t="str">
        <f t="shared" si="5"/>
        <v/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60" t="str">
        <f t="shared" si="1"/>
        <v/>
      </c>
      <c r="B1791" s="9"/>
      <c r="C1791" s="9"/>
      <c r="D1791" s="133"/>
      <c r="E1791" s="133"/>
      <c r="F1791" s="69"/>
      <c r="G1791" s="9"/>
      <c r="H1791" s="9"/>
      <c r="I1791" s="60" t="str">
        <f t="shared" si="5"/>
        <v/>
      </c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60" t="str">
        <f t="shared" si="1"/>
        <v/>
      </c>
      <c r="B1792" s="9"/>
      <c r="C1792" s="9"/>
      <c r="D1792" s="133"/>
      <c r="E1792" s="133"/>
      <c r="F1792" s="69"/>
      <c r="G1792" s="9"/>
      <c r="H1792" s="9"/>
      <c r="I1792" s="60" t="str">
        <f t="shared" si="5"/>
        <v/>
      </c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60" t="str">
        <f t="shared" si="1"/>
        <v/>
      </c>
      <c r="B1793" s="9"/>
      <c r="C1793" s="9"/>
      <c r="D1793" s="133"/>
      <c r="E1793" s="133"/>
      <c r="F1793" s="69"/>
      <c r="G1793" s="9"/>
      <c r="H1793" s="9"/>
      <c r="I1793" s="60" t="str">
        <f t="shared" si="5"/>
        <v/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60" t="str">
        <f t="shared" si="1"/>
        <v/>
      </c>
      <c r="B1794" s="9"/>
      <c r="C1794" s="9"/>
      <c r="D1794" s="133"/>
      <c r="E1794" s="133"/>
      <c r="F1794" s="69"/>
      <c r="G1794" s="9"/>
      <c r="H1794" s="9"/>
      <c r="I1794" s="60" t="str">
        <f t="shared" si="5"/>
        <v/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60" t="str">
        <f t="shared" si="1"/>
        <v/>
      </c>
      <c r="B1795" s="9"/>
      <c r="C1795" s="9"/>
      <c r="D1795" s="133"/>
      <c r="E1795" s="133"/>
      <c r="F1795" s="69"/>
      <c r="G1795" s="9"/>
      <c r="H1795" s="9"/>
      <c r="I1795" s="60" t="str">
        <f t="shared" si="5"/>
        <v/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60" t="str">
        <f t="shared" si="1"/>
        <v/>
      </c>
      <c r="B1796" s="9"/>
      <c r="C1796" s="9"/>
      <c r="D1796" s="133"/>
      <c r="E1796" s="133"/>
      <c r="F1796" s="69"/>
      <c r="G1796" s="9"/>
      <c r="H1796" s="9"/>
      <c r="I1796" s="60" t="str">
        <f t="shared" si="5"/>
        <v/>
      </c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60" t="str">
        <f t="shared" si="1"/>
        <v/>
      </c>
      <c r="B1797" s="9"/>
      <c r="C1797" s="9"/>
      <c r="D1797" s="133"/>
      <c r="E1797" s="133"/>
      <c r="F1797" s="69"/>
      <c r="G1797" s="9"/>
      <c r="H1797" s="9"/>
      <c r="I1797" s="60" t="str">
        <f t="shared" si="5"/>
        <v/>
      </c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60" t="str">
        <f t="shared" si="1"/>
        <v/>
      </c>
      <c r="B1798" s="9"/>
      <c r="C1798" s="9"/>
      <c r="D1798" s="133"/>
      <c r="E1798" s="133"/>
      <c r="F1798" s="69"/>
      <c r="G1798" s="9"/>
      <c r="H1798" s="9"/>
      <c r="I1798" s="60" t="str">
        <f t="shared" si="5"/>
        <v/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60" t="str">
        <f t="shared" si="1"/>
        <v/>
      </c>
      <c r="B1799" s="9"/>
      <c r="C1799" s="9"/>
      <c r="D1799" s="133"/>
      <c r="E1799" s="133"/>
      <c r="F1799" s="69"/>
      <c r="G1799" s="9"/>
      <c r="H1799" s="9"/>
      <c r="I1799" s="60" t="str">
        <f t="shared" si="5"/>
        <v/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60" t="str">
        <f t="shared" si="1"/>
        <v/>
      </c>
      <c r="B1800" s="9"/>
      <c r="C1800" s="9"/>
      <c r="D1800" s="133"/>
      <c r="E1800" s="133"/>
      <c r="F1800" s="69"/>
      <c r="G1800" s="9"/>
      <c r="H1800" s="9"/>
      <c r="I1800" s="60" t="str">
        <f t="shared" si="5"/>
        <v/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60" t="str">
        <f t="shared" si="1"/>
        <v/>
      </c>
      <c r="B1801" s="9"/>
      <c r="C1801" s="9"/>
      <c r="D1801" s="133"/>
      <c r="E1801" s="133"/>
      <c r="F1801" s="69"/>
      <c r="G1801" s="9"/>
      <c r="H1801" s="9"/>
      <c r="I1801" s="60" t="str">
        <f t="shared" si="5"/>
        <v/>
      </c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60" t="str">
        <f t="shared" si="1"/>
        <v/>
      </c>
      <c r="B1802" s="9"/>
      <c r="C1802" s="9"/>
      <c r="D1802" s="133"/>
      <c r="E1802" s="133"/>
      <c r="F1802" s="69"/>
      <c r="G1802" s="9"/>
      <c r="H1802" s="9"/>
      <c r="I1802" s="60" t="str">
        <f t="shared" si="5"/>
        <v/>
      </c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60" t="str">
        <f t="shared" si="1"/>
        <v/>
      </c>
      <c r="B1803" s="9"/>
      <c r="C1803" s="9"/>
      <c r="D1803" s="133"/>
      <c r="E1803" s="133"/>
      <c r="F1803" s="69"/>
      <c r="G1803" s="9"/>
      <c r="H1803" s="9"/>
      <c r="I1803" s="60" t="str">
        <f t="shared" si="5"/>
        <v/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60" t="str">
        <f t="shared" si="1"/>
        <v/>
      </c>
      <c r="B1804" s="9"/>
      <c r="C1804" s="9"/>
      <c r="D1804" s="133"/>
      <c r="E1804" s="133"/>
      <c r="F1804" s="69"/>
      <c r="G1804" s="9"/>
      <c r="H1804" s="9"/>
      <c r="I1804" s="60" t="str">
        <f t="shared" si="5"/>
        <v/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60" t="str">
        <f t="shared" si="1"/>
        <v/>
      </c>
      <c r="B1805" s="9"/>
      <c r="C1805" s="9"/>
      <c r="D1805" s="133"/>
      <c r="E1805" s="133"/>
      <c r="F1805" s="69"/>
      <c r="G1805" s="9"/>
      <c r="H1805" s="9"/>
      <c r="I1805" s="60" t="str">
        <f t="shared" si="5"/>
        <v/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60" t="str">
        <f t="shared" si="1"/>
        <v/>
      </c>
      <c r="B1806" s="9"/>
      <c r="C1806" s="9"/>
      <c r="D1806" s="133"/>
      <c r="E1806" s="133"/>
      <c r="F1806" s="69"/>
      <c r="G1806" s="9"/>
      <c r="H1806" s="9"/>
      <c r="I1806" s="60" t="str">
        <f t="shared" si="5"/>
        <v/>
      </c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60" t="str">
        <f t="shared" si="1"/>
        <v/>
      </c>
      <c r="B1807" s="9"/>
      <c r="C1807" s="9"/>
      <c r="D1807" s="133"/>
      <c r="E1807" s="133"/>
      <c r="F1807" s="69"/>
      <c r="G1807" s="9"/>
      <c r="H1807" s="9"/>
      <c r="I1807" s="60" t="str">
        <f t="shared" si="5"/>
        <v/>
      </c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60" t="str">
        <f t="shared" si="1"/>
        <v/>
      </c>
      <c r="B1808" s="9"/>
      <c r="C1808" s="9"/>
      <c r="D1808" s="133"/>
      <c r="E1808" s="133"/>
      <c r="F1808" s="69"/>
      <c r="G1808" s="9"/>
      <c r="H1808" s="9"/>
      <c r="I1808" s="60" t="str">
        <f t="shared" si="5"/>
        <v/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60" t="str">
        <f t="shared" si="1"/>
        <v/>
      </c>
      <c r="B1809" s="9"/>
      <c r="C1809" s="9"/>
      <c r="D1809" s="133"/>
      <c r="E1809" s="133"/>
      <c r="F1809" s="69"/>
      <c r="G1809" s="9"/>
      <c r="H1809" s="9"/>
      <c r="I1809" s="60" t="str">
        <f t="shared" si="5"/>
        <v/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60" t="str">
        <f t="shared" si="1"/>
        <v/>
      </c>
      <c r="B1810" s="9"/>
      <c r="C1810" s="9"/>
      <c r="D1810" s="133"/>
      <c r="E1810" s="133"/>
      <c r="F1810" s="69"/>
      <c r="G1810" s="9"/>
      <c r="H1810" s="9"/>
      <c r="I1810" s="60" t="str">
        <f t="shared" si="5"/>
        <v/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60" t="str">
        <f t="shared" si="1"/>
        <v/>
      </c>
      <c r="B1811" s="9"/>
      <c r="C1811" s="9"/>
      <c r="D1811" s="133"/>
      <c r="E1811" s="133"/>
      <c r="F1811" s="69"/>
      <c r="G1811" s="9"/>
      <c r="H1811" s="9"/>
      <c r="I1811" s="60" t="str">
        <f t="shared" si="5"/>
        <v/>
      </c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60" t="str">
        <f t="shared" si="1"/>
        <v/>
      </c>
      <c r="B1812" s="9"/>
      <c r="C1812" s="9"/>
      <c r="D1812" s="133"/>
      <c r="E1812" s="133"/>
      <c r="F1812" s="69"/>
      <c r="G1812" s="9"/>
      <c r="H1812" s="9"/>
      <c r="I1812" s="60" t="str">
        <f t="shared" si="5"/>
        <v/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60" t="str">
        <f t="shared" si="1"/>
        <v/>
      </c>
      <c r="B1813" s="9"/>
      <c r="C1813" s="9"/>
      <c r="D1813" s="133"/>
      <c r="E1813" s="133"/>
      <c r="F1813" s="69"/>
      <c r="G1813" s="9"/>
      <c r="H1813" s="9"/>
      <c r="I1813" s="60" t="str">
        <f t="shared" si="5"/>
        <v/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60" t="str">
        <f t="shared" si="1"/>
        <v/>
      </c>
      <c r="B1814" s="9"/>
      <c r="C1814" s="9"/>
      <c r="D1814" s="133"/>
      <c r="E1814" s="133"/>
      <c r="F1814" s="69"/>
      <c r="G1814" s="9"/>
      <c r="H1814" s="9"/>
      <c r="I1814" s="60" t="str">
        <f t="shared" si="5"/>
        <v/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60" t="str">
        <f t="shared" si="1"/>
        <v/>
      </c>
      <c r="B1815" s="9"/>
      <c r="C1815" s="9"/>
      <c r="D1815" s="133"/>
      <c r="E1815" s="133"/>
      <c r="F1815" s="69"/>
      <c r="G1815" s="9"/>
      <c r="H1815" s="9"/>
      <c r="I1815" s="60" t="str">
        <f t="shared" si="5"/>
        <v/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60" t="str">
        <f t="shared" si="1"/>
        <v/>
      </c>
      <c r="B1816" s="9"/>
      <c r="C1816" s="9"/>
      <c r="D1816" s="133"/>
      <c r="E1816" s="133"/>
      <c r="F1816" s="69"/>
      <c r="G1816" s="9"/>
      <c r="H1816" s="9"/>
      <c r="I1816" s="60" t="str">
        <f t="shared" si="5"/>
        <v/>
      </c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60" t="str">
        <f t="shared" si="1"/>
        <v/>
      </c>
      <c r="B1817" s="9"/>
      <c r="C1817" s="9"/>
      <c r="D1817" s="133"/>
      <c r="E1817" s="133"/>
      <c r="F1817" s="69"/>
      <c r="G1817" s="9"/>
      <c r="H1817" s="9"/>
      <c r="I1817" s="60" t="str">
        <f t="shared" si="5"/>
        <v/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60" t="str">
        <f t="shared" si="1"/>
        <v/>
      </c>
      <c r="B1818" s="9"/>
      <c r="C1818" s="9"/>
      <c r="D1818" s="133"/>
      <c r="E1818" s="133"/>
      <c r="F1818" s="69"/>
      <c r="G1818" s="9"/>
      <c r="H1818" s="9"/>
      <c r="I1818" s="60" t="str">
        <f t="shared" si="5"/>
        <v/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60" t="str">
        <f t="shared" si="1"/>
        <v/>
      </c>
      <c r="B1819" s="9"/>
      <c r="C1819" s="9"/>
      <c r="D1819" s="133"/>
      <c r="E1819" s="133"/>
      <c r="F1819" s="69"/>
      <c r="G1819" s="9"/>
      <c r="H1819" s="9"/>
      <c r="I1819" s="60" t="str">
        <f t="shared" si="5"/>
        <v/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60" t="str">
        <f t="shared" si="1"/>
        <v/>
      </c>
      <c r="B1820" s="9"/>
      <c r="C1820" s="9"/>
      <c r="D1820" s="133"/>
      <c r="E1820" s="133"/>
      <c r="F1820" s="69"/>
      <c r="G1820" s="9"/>
      <c r="H1820" s="9"/>
      <c r="I1820" s="60" t="str">
        <f t="shared" si="5"/>
        <v/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60" t="str">
        <f t="shared" si="1"/>
        <v/>
      </c>
      <c r="B1821" s="9"/>
      <c r="C1821" s="9"/>
      <c r="D1821" s="133"/>
      <c r="E1821" s="133"/>
      <c r="F1821" s="69"/>
      <c r="G1821" s="9"/>
      <c r="H1821" s="9"/>
      <c r="I1821" s="60" t="str">
        <f t="shared" si="5"/>
        <v/>
      </c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60" t="str">
        <f t="shared" si="1"/>
        <v/>
      </c>
      <c r="B1822" s="9"/>
      <c r="C1822" s="9"/>
      <c r="D1822" s="133"/>
      <c r="E1822" s="133"/>
      <c r="F1822" s="69"/>
      <c r="G1822" s="9"/>
      <c r="H1822" s="9"/>
      <c r="I1822" s="60" t="str">
        <f t="shared" si="5"/>
        <v/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60" t="str">
        <f t="shared" si="1"/>
        <v/>
      </c>
      <c r="B1823" s="9"/>
      <c r="C1823" s="9"/>
      <c r="D1823" s="133"/>
      <c r="E1823" s="133"/>
      <c r="F1823" s="69"/>
      <c r="G1823" s="9"/>
      <c r="H1823" s="9"/>
      <c r="I1823" s="60" t="str">
        <f t="shared" si="5"/>
        <v/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60" t="str">
        <f t="shared" si="1"/>
        <v/>
      </c>
      <c r="B1824" s="9"/>
      <c r="C1824" s="9"/>
      <c r="D1824" s="133"/>
      <c r="E1824" s="133"/>
      <c r="F1824" s="69"/>
      <c r="G1824" s="9"/>
      <c r="H1824" s="9"/>
      <c r="I1824" s="60" t="str">
        <f t="shared" si="5"/>
        <v/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60" t="str">
        <f t="shared" si="1"/>
        <v/>
      </c>
      <c r="B1825" s="9"/>
      <c r="C1825" s="9"/>
      <c r="D1825" s="133"/>
      <c r="E1825" s="133"/>
      <c r="F1825" s="69"/>
      <c r="G1825" s="9"/>
      <c r="H1825" s="9"/>
      <c r="I1825" s="60" t="str">
        <f t="shared" si="5"/>
        <v/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60" t="str">
        <f t="shared" si="1"/>
        <v/>
      </c>
      <c r="B1826" s="9"/>
      <c r="C1826" s="9"/>
      <c r="D1826" s="133"/>
      <c r="E1826" s="133"/>
      <c r="F1826" s="69"/>
      <c r="G1826" s="9"/>
      <c r="H1826" s="9"/>
      <c r="I1826" s="60" t="str">
        <f t="shared" si="5"/>
        <v/>
      </c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60" t="str">
        <f t="shared" si="1"/>
        <v/>
      </c>
      <c r="B1827" s="9"/>
      <c r="C1827" s="9"/>
      <c r="D1827" s="133"/>
      <c r="E1827" s="133"/>
      <c r="F1827" s="69"/>
      <c r="G1827" s="9"/>
      <c r="H1827" s="9"/>
      <c r="I1827" s="60" t="str">
        <f t="shared" si="5"/>
        <v/>
      </c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60" t="str">
        <f t="shared" si="1"/>
        <v/>
      </c>
      <c r="B1828" s="9"/>
      <c r="C1828" s="9"/>
      <c r="D1828" s="133"/>
      <c r="E1828" s="133"/>
      <c r="F1828" s="69"/>
      <c r="G1828" s="9"/>
      <c r="H1828" s="9"/>
      <c r="I1828" s="60" t="str">
        <f t="shared" si="5"/>
        <v/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60" t="str">
        <f t="shared" si="1"/>
        <v/>
      </c>
      <c r="B1829" s="9"/>
      <c r="C1829" s="9"/>
      <c r="D1829" s="133"/>
      <c r="E1829" s="133"/>
      <c r="F1829" s="69"/>
      <c r="G1829" s="9"/>
      <c r="H1829" s="9"/>
      <c r="I1829" s="60" t="str">
        <f t="shared" si="5"/>
        <v/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60" t="str">
        <f t="shared" si="1"/>
        <v/>
      </c>
      <c r="B1830" s="9"/>
      <c r="C1830" s="9"/>
      <c r="D1830" s="133"/>
      <c r="E1830" s="133"/>
      <c r="F1830" s="69"/>
      <c r="G1830" s="9"/>
      <c r="H1830" s="9"/>
      <c r="I1830" s="60" t="str">
        <f t="shared" si="5"/>
        <v/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60" t="str">
        <f t="shared" si="1"/>
        <v/>
      </c>
      <c r="B1831" s="9"/>
      <c r="C1831" s="9"/>
      <c r="D1831" s="133"/>
      <c r="E1831" s="133"/>
      <c r="F1831" s="69"/>
      <c r="G1831" s="9"/>
      <c r="H1831" s="9"/>
      <c r="I1831" s="60" t="str">
        <f t="shared" si="5"/>
        <v/>
      </c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60" t="str">
        <f t="shared" si="1"/>
        <v/>
      </c>
      <c r="B1832" s="9"/>
      <c r="C1832" s="9"/>
      <c r="D1832" s="133"/>
      <c r="E1832" s="133"/>
      <c r="F1832" s="69"/>
      <c r="G1832" s="9"/>
      <c r="H1832" s="9"/>
      <c r="I1832" s="60" t="str">
        <f t="shared" si="5"/>
        <v/>
      </c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60" t="str">
        <f t="shared" si="1"/>
        <v/>
      </c>
      <c r="B1833" s="9"/>
      <c r="C1833" s="9"/>
      <c r="D1833" s="133"/>
      <c r="E1833" s="133"/>
      <c r="F1833" s="69"/>
      <c r="G1833" s="9"/>
      <c r="H1833" s="9"/>
      <c r="I1833" s="60" t="str">
        <f t="shared" si="5"/>
        <v/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60" t="str">
        <f t="shared" si="1"/>
        <v/>
      </c>
      <c r="B1834" s="9"/>
      <c r="C1834" s="9"/>
      <c r="D1834" s="133"/>
      <c r="E1834" s="133"/>
      <c r="F1834" s="69"/>
      <c r="G1834" s="9"/>
      <c r="H1834" s="9"/>
      <c r="I1834" s="60" t="str">
        <f t="shared" si="5"/>
        <v/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60" t="str">
        <f t="shared" si="1"/>
        <v/>
      </c>
      <c r="B1835" s="9"/>
      <c r="C1835" s="9"/>
      <c r="D1835" s="133"/>
      <c r="E1835" s="133"/>
      <c r="F1835" s="69"/>
      <c r="G1835" s="9"/>
      <c r="H1835" s="9"/>
      <c r="I1835" s="60" t="str">
        <f t="shared" si="5"/>
        <v/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60" t="str">
        <f t="shared" si="1"/>
        <v/>
      </c>
      <c r="B1836" s="9"/>
      <c r="C1836" s="9"/>
      <c r="D1836" s="133"/>
      <c r="E1836" s="133"/>
      <c r="F1836" s="69"/>
      <c r="G1836" s="9"/>
      <c r="H1836" s="9"/>
      <c r="I1836" s="60" t="str">
        <f t="shared" si="5"/>
        <v/>
      </c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60" t="str">
        <f t="shared" si="1"/>
        <v/>
      </c>
      <c r="B1837" s="9"/>
      <c r="C1837" s="9"/>
      <c r="D1837" s="133"/>
      <c r="E1837" s="133"/>
      <c r="F1837" s="69"/>
      <c r="G1837" s="9"/>
      <c r="H1837" s="9"/>
      <c r="I1837" s="60" t="str">
        <f t="shared" si="5"/>
        <v/>
      </c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60" t="str">
        <f t="shared" si="1"/>
        <v/>
      </c>
      <c r="B1838" s="9"/>
      <c r="C1838" s="9"/>
      <c r="D1838" s="133"/>
      <c r="E1838" s="133"/>
      <c r="F1838" s="69"/>
      <c r="G1838" s="9"/>
      <c r="H1838" s="9"/>
      <c r="I1838" s="60" t="str">
        <f t="shared" si="5"/>
        <v/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60" t="str">
        <f t="shared" si="1"/>
        <v/>
      </c>
      <c r="B1839" s="9"/>
      <c r="C1839" s="9"/>
      <c r="D1839" s="133"/>
      <c r="E1839" s="133"/>
      <c r="F1839" s="69"/>
      <c r="G1839" s="9"/>
      <c r="H1839" s="9"/>
      <c r="I1839" s="60" t="str">
        <f t="shared" si="5"/>
        <v/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60" t="str">
        <f t="shared" si="1"/>
        <v/>
      </c>
      <c r="B1840" s="9"/>
      <c r="C1840" s="9"/>
      <c r="D1840" s="133"/>
      <c r="E1840" s="133"/>
      <c r="F1840" s="69"/>
      <c r="G1840" s="9"/>
      <c r="H1840" s="9"/>
      <c r="I1840" s="60" t="str">
        <f t="shared" si="5"/>
        <v/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60" t="str">
        <f t="shared" si="1"/>
        <v/>
      </c>
      <c r="B1841" s="9"/>
      <c r="C1841" s="9"/>
      <c r="D1841" s="133"/>
      <c r="E1841" s="133"/>
      <c r="F1841" s="69"/>
      <c r="G1841" s="9"/>
      <c r="H1841" s="9"/>
      <c r="I1841" s="60" t="str">
        <f t="shared" si="5"/>
        <v/>
      </c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60" t="str">
        <f t="shared" si="1"/>
        <v/>
      </c>
      <c r="B1842" s="9"/>
      <c r="C1842" s="9"/>
      <c r="D1842" s="133"/>
      <c r="E1842" s="133"/>
      <c r="F1842" s="69"/>
      <c r="G1842" s="9"/>
      <c r="H1842" s="9"/>
      <c r="I1842" s="60" t="str">
        <f t="shared" si="5"/>
        <v/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60" t="str">
        <f t="shared" si="1"/>
        <v/>
      </c>
      <c r="B1843" s="9"/>
      <c r="C1843" s="9"/>
      <c r="D1843" s="133"/>
      <c r="E1843" s="133"/>
      <c r="F1843" s="69"/>
      <c r="G1843" s="9"/>
      <c r="H1843" s="9"/>
      <c r="I1843" s="60" t="str">
        <f t="shared" si="5"/>
        <v/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60" t="str">
        <f t="shared" si="1"/>
        <v/>
      </c>
      <c r="B1844" s="9"/>
      <c r="C1844" s="9"/>
      <c r="D1844" s="133"/>
      <c r="E1844" s="133"/>
      <c r="F1844" s="69"/>
      <c r="G1844" s="9"/>
      <c r="H1844" s="9"/>
      <c r="I1844" s="60" t="str">
        <f t="shared" si="5"/>
        <v/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60" t="str">
        <f t="shared" si="1"/>
        <v/>
      </c>
      <c r="B1845" s="9"/>
      <c r="C1845" s="9"/>
      <c r="D1845" s="133"/>
      <c r="E1845" s="133"/>
      <c r="F1845" s="69"/>
      <c r="G1845" s="9"/>
      <c r="H1845" s="9"/>
      <c r="I1845" s="60" t="str">
        <f t="shared" si="5"/>
        <v/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60" t="str">
        <f t="shared" si="1"/>
        <v/>
      </c>
      <c r="B1846" s="9"/>
      <c r="C1846" s="9"/>
      <c r="D1846" s="133"/>
      <c r="E1846" s="133"/>
      <c r="F1846" s="69"/>
      <c r="G1846" s="9"/>
      <c r="H1846" s="9"/>
      <c r="I1846" s="60" t="str">
        <f t="shared" si="5"/>
        <v/>
      </c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60" t="str">
        <f t="shared" si="1"/>
        <v/>
      </c>
      <c r="B1847" s="9"/>
      <c r="C1847" s="9"/>
      <c r="D1847" s="133"/>
      <c r="E1847" s="133"/>
      <c r="F1847" s="69"/>
      <c r="G1847" s="9"/>
      <c r="H1847" s="9"/>
      <c r="I1847" s="60" t="str">
        <f t="shared" si="5"/>
        <v/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60" t="str">
        <f t="shared" si="1"/>
        <v/>
      </c>
      <c r="B1848" s="9"/>
      <c r="C1848" s="9"/>
      <c r="D1848" s="133"/>
      <c r="E1848" s="133"/>
      <c r="F1848" s="69"/>
      <c r="G1848" s="9"/>
      <c r="H1848" s="9"/>
      <c r="I1848" s="60" t="str">
        <f t="shared" si="5"/>
        <v/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60" t="str">
        <f t="shared" si="1"/>
        <v/>
      </c>
      <c r="B1849" s="9"/>
      <c r="C1849" s="9"/>
      <c r="D1849" s="133"/>
      <c r="E1849" s="133"/>
      <c r="F1849" s="69"/>
      <c r="G1849" s="9"/>
      <c r="H1849" s="9"/>
      <c r="I1849" s="60" t="str">
        <f t="shared" si="5"/>
        <v/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60" t="str">
        <f t="shared" si="1"/>
        <v/>
      </c>
      <c r="B1850" s="9"/>
      <c r="C1850" s="9"/>
      <c r="D1850" s="133"/>
      <c r="E1850" s="133"/>
      <c r="F1850" s="69"/>
      <c r="G1850" s="9"/>
      <c r="H1850" s="9"/>
      <c r="I1850" s="60" t="str">
        <f t="shared" si="5"/>
        <v/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60" t="str">
        <f t="shared" si="1"/>
        <v/>
      </c>
      <c r="B1851" s="9"/>
      <c r="C1851" s="9"/>
      <c r="D1851" s="133"/>
      <c r="E1851" s="133"/>
      <c r="F1851" s="69"/>
      <c r="G1851" s="9"/>
      <c r="H1851" s="9"/>
      <c r="I1851" s="60" t="str">
        <f t="shared" si="5"/>
        <v/>
      </c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60" t="str">
        <f t="shared" si="1"/>
        <v/>
      </c>
      <c r="B1852" s="9"/>
      <c r="C1852" s="9"/>
      <c r="D1852" s="133"/>
      <c r="E1852" s="133"/>
      <c r="F1852" s="69"/>
      <c r="G1852" s="9"/>
      <c r="H1852" s="9"/>
      <c r="I1852" s="60" t="str">
        <f t="shared" si="5"/>
        <v/>
      </c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60" t="str">
        <f t="shared" si="1"/>
        <v/>
      </c>
      <c r="B1853" s="9"/>
      <c r="C1853" s="9"/>
      <c r="D1853" s="133"/>
      <c r="E1853" s="133"/>
      <c r="F1853" s="69"/>
      <c r="G1853" s="9"/>
      <c r="H1853" s="9"/>
      <c r="I1853" s="60" t="str">
        <f t="shared" si="5"/>
        <v/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60" t="str">
        <f t="shared" si="1"/>
        <v/>
      </c>
      <c r="B1854" s="9"/>
      <c r="C1854" s="9"/>
      <c r="D1854" s="133"/>
      <c r="E1854" s="133"/>
      <c r="F1854" s="69"/>
      <c r="G1854" s="9"/>
      <c r="H1854" s="9"/>
      <c r="I1854" s="60" t="str">
        <f t="shared" si="5"/>
        <v/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60" t="str">
        <f t="shared" si="1"/>
        <v/>
      </c>
      <c r="B1855" s="9"/>
      <c r="C1855" s="9"/>
      <c r="D1855" s="133"/>
      <c r="E1855" s="133"/>
      <c r="F1855" s="69"/>
      <c r="G1855" s="9"/>
      <c r="H1855" s="9"/>
      <c r="I1855" s="60" t="str">
        <f t="shared" si="5"/>
        <v/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60" t="str">
        <f t="shared" si="1"/>
        <v/>
      </c>
      <c r="B1856" s="9"/>
      <c r="C1856" s="9"/>
      <c r="D1856" s="133"/>
      <c r="E1856" s="133"/>
      <c r="F1856" s="69"/>
      <c r="G1856" s="9"/>
      <c r="H1856" s="9"/>
      <c r="I1856" s="60" t="str">
        <f t="shared" si="5"/>
        <v/>
      </c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60" t="str">
        <f t="shared" si="1"/>
        <v/>
      </c>
      <c r="B1857" s="9"/>
      <c r="C1857" s="9"/>
      <c r="D1857" s="133"/>
      <c r="E1857" s="133"/>
      <c r="F1857" s="69"/>
      <c r="G1857" s="9"/>
      <c r="H1857" s="9"/>
      <c r="I1857" s="60" t="str">
        <f t="shared" si="5"/>
        <v/>
      </c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60" t="str">
        <f t="shared" si="1"/>
        <v/>
      </c>
      <c r="B1858" s="9"/>
      <c r="C1858" s="9"/>
      <c r="D1858" s="133"/>
      <c r="E1858" s="133"/>
      <c r="F1858" s="69"/>
      <c r="G1858" s="9"/>
      <c r="H1858" s="9"/>
      <c r="I1858" s="60" t="str">
        <f t="shared" si="5"/>
        <v/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60" t="str">
        <f t="shared" si="1"/>
        <v/>
      </c>
      <c r="B1859" s="9"/>
      <c r="C1859" s="9"/>
      <c r="D1859" s="133"/>
      <c r="E1859" s="133"/>
      <c r="F1859" s="69"/>
      <c r="G1859" s="9"/>
      <c r="H1859" s="9"/>
      <c r="I1859" s="60" t="str">
        <f t="shared" si="5"/>
        <v/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60" t="str">
        <f t="shared" si="1"/>
        <v/>
      </c>
      <c r="B1860" s="9"/>
      <c r="C1860" s="9"/>
      <c r="D1860" s="133"/>
      <c r="E1860" s="133"/>
      <c r="F1860" s="69"/>
      <c r="G1860" s="9"/>
      <c r="H1860" s="9"/>
      <c r="I1860" s="60" t="str">
        <f t="shared" si="5"/>
        <v/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60" t="str">
        <f t="shared" si="1"/>
        <v/>
      </c>
      <c r="B1861" s="9"/>
      <c r="C1861" s="9"/>
      <c r="D1861" s="133"/>
      <c r="E1861" s="133"/>
      <c r="F1861" s="69"/>
      <c r="G1861" s="9"/>
      <c r="H1861" s="9"/>
      <c r="I1861" s="60" t="str">
        <f t="shared" si="5"/>
        <v/>
      </c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60" t="str">
        <f t="shared" si="1"/>
        <v/>
      </c>
      <c r="B1862" s="9"/>
      <c r="C1862" s="9"/>
      <c r="D1862" s="133"/>
      <c r="E1862" s="133"/>
      <c r="F1862" s="69"/>
      <c r="G1862" s="9"/>
      <c r="H1862" s="9"/>
      <c r="I1862" s="60" t="str">
        <f t="shared" si="5"/>
        <v/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60" t="str">
        <f t="shared" si="1"/>
        <v/>
      </c>
      <c r="B1863" s="9"/>
      <c r="C1863" s="9"/>
      <c r="D1863" s="133"/>
      <c r="E1863" s="133"/>
      <c r="F1863" s="69"/>
      <c r="G1863" s="9"/>
      <c r="H1863" s="9"/>
      <c r="I1863" s="60" t="str">
        <f t="shared" si="5"/>
        <v/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60" t="str">
        <f t="shared" si="1"/>
        <v/>
      </c>
      <c r="B1864" s="9"/>
      <c r="C1864" s="9"/>
      <c r="D1864" s="133"/>
      <c r="E1864" s="133"/>
      <c r="F1864" s="69"/>
      <c r="G1864" s="9"/>
      <c r="H1864" s="9"/>
      <c r="I1864" s="60" t="str">
        <f t="shared" si="5"/>
        <v/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60" t="str">
        <f t="shared" si="1"/>
        <v/>
      </c>
      <c r="B1865" s="9"/>
      <c r="C1865" s="9"/>
      <c r="D1865" s="133"/>
      <c r="E1865" s="133"/>
      <c r="F1865" s="69"/>
      <c r="G1865" s="9"/>
      <c r="H1865" s="9"/>
      <c r="I1865" s="60" t="str">
        <f t="shared" si="5"/>
        <v/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60" t="str">
        <f t="shared" si="1"/>
        <v/>
      </c>
      <c r="B1866" s="9"/>
      <c r="C1866" s="9"/>
      <c r="D1866" s="133"/>
      <c r="E1866" s="133"/>
      <c r="F1866" s="69"/>
      <c r="G1866" s="9"/>
      <c r="H1866" s="9"/>
      <c r="I1866" s="60" t="str">
        <f t="shared" si="5"/>
        <v/>
      </c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60" t="str">
        <f t="shared" si="1"/>
        <v/>
      </c>
      <c r="B1867" s="9"/>
      <c r="C1867" s="9"/>
      <c r="D1867" s="133"/>
      <c r="E1867" s="133"/>
      <c r="F1867" s="69"/>
      <c r="G1867" s="9"/>
      <c r="H1867" s="9"/>
      <c r="I1867" s="60" t="str">
        <f t="shared" si="5"/>
        <v/>
      </c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60" t="str">
        <f t="shared" si="1"/>
        <v/>
      </c>
      <c r="B1868" s="9"/>
      <c r="C1868" s="9"/>
      <c r="D1868" s="133"/>
      <c r="E1868" s="133"/>
      <c r="F1868" s="69"/>
      <c r="G1868" s="9"/>
      <c r="H1868" s="9"/>
      <c r="I1868" s="60" t="str">
        <f t="shared" si="5"/>
        <v/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60" t="str">
        <f t="shared" si="1"/>
        <v/>
      </c>
      <c r="B1869" s="9"/>
      <c r="C1869" s="9"/>
      <c r="D1869" s="133"/>
      <c r="E1869" s="133"/>
      <c r="F1869" s="69"/>
      <c r="G1869" s="9"/>
      <c r="H1869" s="9"/>
      <c r="I1869" s="60" t="str">
        <f t="shared" si="5"/>
        <v/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60" t="str">
        <f t="shared" si="1"/>
        <v/>
      </c>
      <c r="B1870" s="9"/>
      <c r="C1870" s="9"/>
      <c r="D1870" s="133"/>
      <c r="E1870" s="133"/>
      <c r="F1870" s="69"/>
      <c r="G1870" s="9"/>
      <c r="H1870" s="9"/>
      <c r="I1870" s="60" t="str">
        <f t="shared" si="5"/>
        <v/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60" t="str">
        <f t="shared" si="1"/>
        <v/>
      </c>
      <c r="B1871" s="9"/>
      <c r="C1871" s="9"/>
      <c r="D1871" s="133"/>
      <c r="E1871" s="133"/>
      <c r="F1871" s="69"/>
      <c r="G1871" s="9"/>
      <c r="H1871" s="9"/>
      <c r="I1871" s="60" t="str">
        <f t="shared" si="5"/>
        <v/>
      </c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60" t="str">
        <f t="shared" si="1"/>
        <v/>
      </c>
      <c r="B1872" s="9"/>
      <c r="C1872" s="9"/>
      <c r="D1872" s="133"/>
      <c r="E1872" s="133"/>
      <c r="F1872" s="69"/>
      <c r="G1872" s="9"/>
      <c r="H1872" s="9"/>
      <c r="I1872" s="60" t="str">
        <f t="shared" si="5"/>
        <v/>
      </c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60" t="str">
        <f t="shared" si="1"/>
        <v/>
      </c>
      <c r="B1873" s="9"/>
      <c r="C1873" s="9"/>
      <c r="D1873" s="133"/>
      <c r="E1873" s="133"/>
      <c r="F1873" s="69"/>
      <c r="G1873" s="9"/>
      <c r="H1873" s="9"/>
      <c r="I1873" s="60" t="str">
        <f t="shared" si="5"/>
        <v/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60" t="str">
        <f t="shared" si="1"/>
        <v/>
      </c>
      <c r="B1874" s="9"/>
      <c r="C1874" s="9"/>
      <c r="D1874" s="133"/>
      <c r="E1874" s="133"/>
      <c r="F1874" s="69"/>
      <c r="G1874" s="9"/>
      <c r="H1874" s="9"/>
      <c r="I1874" s="60" t="str">
        <f t="shared" si="5"/>
        <v/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60" t="str">
        <f t="shared" si="1"/>
        <v/>
      </c>
      <c r="B1875" s="9"/>
      <c r="C1875" s="9"/>
      <c r="D1875" s="133"/>
      <c r="E1875" s="133"/>
      <c r="F1875" s="69"/>
      <c r="G1875" s="9"/>
      <c r="H1875" s="9"/>
      <c r="I1875" s="60" t="str">
        <f t="shared" si="5"/>
        <v/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60" t="str">
        <f t="shared" si="1"/>
        <v/>
      </c>
      <c r="B1876" s="9"/>
      <c r="C1876" s="9"/>
      <c r="D1876" s="133"/>
      <c r="E1876" s="133"/>
      <c r="F1876" s="69"/>
      <c r="G1876" s="9"/>
      <c r="H1876" s="9"/>
      <c r="I1876" s="60" t="str">
        <f t="shared" si="5"/>
        <v/>
      </c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60" t="str">
        <f t="shared" si="1"/>
        <v/>
      </c>
      <c r="B1877" s="9"/>
      <c r="C1877" s="9"/>
      <c r="D1877" s="133"/>
      <c r="E1877" s="133"/>
      <c r="F1877" s="69"/>
      <c r="G1877" s="9"/>
      <c r="H1877" s="9"/>
      <c r="I1877" s="60" t="str">
        <f t="shared" si="5"/>
        <v/>
      </c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60" t="str">
        <f t="shared" si="1"/>
        <v/>
      </c>
      <c r="B1878" s="9"/>
      <c r="C1878" s="9"/>
      <c r="D1878" s="133"/>
      <c r="E1878" s="133"/>
      <c r="F1878" s="69"/>
      <c r="G1878" s="9"/>
      <c r="H1878" s="9"/>
      <c r="I1878" s="60" t="str">
        <f t="shared" si="5"/>
        <v/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60" t="str">
        <f t="shared" si="1"/>
        <v/>
      </c>
      <c r="B1879" s="9"/>
      <c r="C1879" s="9"/>
      <c r="D1879" s="133"/>
      <c r="E1879" s="133"/>
      <c r="F1879" s="69"/>
      <c r="G1879" s="9"/>
      <c r="H1879" s="9"/>
      <c r="I1879" s="60" t="str">
        <f t="shared" si="5"/>
        <v/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60" t="str">
        <f t="shared" si="1"/>
        <v/>
      </c>
      <c r="B1880" s="9"/>
      <c r="C1880" s="9"/>
      <c r="D1880" s="133"/>
      <c r="E1880" s="133"/>
      <c r="F1880" s="69"/>
      <c r="G1880" s="9"/>
      <c r="H1880" s="9"/>
      <c r="I1880" s="60" t="str">
        <f t="shared" si="5"/>
        <v/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60" t="str">
        <f t="shared" si="1"/>
        <v/>
      </c>
      <c r="B1881" s="9"/>
      <c r="C1881" s="9"/>
      <c r="D1881" s="133"/>
      <c r="E1881" s="133"/>
      <c r="F1881" s="69"/>
      <c r="G1881" s="9"/>
      <c r="H1881" s="9"/>
      <c r="I1881" s="60" t="str">
        <f t="shared" si="5"/>
        <v/>
      </c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60" t="str">
        <f t="shared" si="1"/>
        <v/>
      </c>
      <c r="B1882" s="9"/>
      <c r="C1882" s="9"/>
      <c r="D1882" s="133"/>
      <c r="E1882" s="133"/>
      <c r="F1882" s="69"/>
      <c r="G1882" s="9"/>
      <c r="H1882" s="9"/>
      <c r="I1882" s="60" t="str">
        <f t="shared" si="5"/>
        <v/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60" t="str">
        <f t="shared" si="1"/>
        <v/>
      </c>
      <c r="B1883" s="9"/>
      <c r="C1883" s="9"/>
      <c r="D1883" s="133"/>
      <c r="E1883" s="133"/>
      <c r="F1883" s="69"/>
      <c r="G1883" s="9"/>
      <c r="H1883" s="9"/>
      <c r="I1883" s="60" t="str">
        <f t="shared" si="5"/>
        <v/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60" t="str">
        <f t="shared" si="1"/>
        <v/>
      </c>
      <c r="B1884" s="9"/>
      <c r="C1884" s="9"/>
      <c r="D1884" s="133"/>
      <c r="E1884" s="133"/>
      <c r="F1884" s="69"/>
      <c r="G1884" s="9"/>
      <c r="H1884" s="9"/>
      <c r="I1884" s="60" t="str">
        <f t="shared" si="5"/>
        <v/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60" t="str">
        <f t="shared" si="1"/>
        <v/>
      </c>
      <c r="B1885" s="9"/>
      <c r="C1885" s="9"/>
      <c r="D1885" s="133"/>
      <c r="E1885" s="133"/>
      <c r="F1885" s="69"/>
      <c r="G1885" s="9"/>
      <c r="H1885" s="9"/>
      <c r="I1885" s="60" t="str">
        <f t="shared" si="5"/>
        <v/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60" t="str">
        <f t="shared" si="1"/>
        <v/>
      </c>
      <c r="B1886" s="9"/>
      <c r="C1886" s="9"/>
      <c r="D1886" s="133"/>
      <c r="E1886" s="133"/>
      <c r="F1886" s="69"/>
      <c r="G1886" s="9"/>
      <c r="H1886" s="9"/>
      <c r="I1886" s="60" t="str">
        <f t="shared" si="5"/>
        <v/>
      </c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60" t="str">
        <f t="shared" si="1"/>
        <v/>
      </c>
      <c r="B1887" s="9"/>
      <c r="C1887" s="9"/>
      <c r="D1887" s="133"/>
      <c r="E1887" s="133"/>
      <c r="F1887" s="69"/>
      <c r="G1887" s="9"/>
      <c r="H1887" s="9"/>
      <c r="I1887" s="60" t="str">
        <f t="shared" si="5"/>
        <v/>
      </c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60" t="str">
        <f t="shared" si="1"/>
        <v/>
      </c>
      <c r="B1888" s="9"/>
      <c r="C1888" s="9"/>
      <c r="D1888" s="133"/>
      <c r="E1888" s="133"/>
      <c r="F1888" s="69"/>
      <c r="G1888" s="9"/>
      <c r="H1888" s="9"/>
      <c r="I1888" s="60" t="str">
        <f t="shared" si="5"/>
        <v/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60" t="str">
        <f t="shared" si="1"/>
        <v/>
      </c>
      <c r="B1889" s="9"/>
      <c r="C1889" s="9"/>
      <c r="D1889" s="133"/>
      <c r="E1889" s="133"/>
      <c r="F1889" s="69"/>
      <c r="G1889" s="9"/>
      <c r="H1889" s="9"/>
      <c r="I1889" s="60" t="str">
        <f t="shared" si="5"/>
        <v/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60" t="str">
        <f t="shared" si="1"/>
        <v/>
      </c>
      <c r="B1890" s="9"/>
      <c r="C1890" s="9"/>
      <c r="D1890" s="133"/>
      <c r="E1890" s="133"/>
      <c r="F1890" s="69"/>
      <c r="G1890" s="9"/>
      <c r="H1890" s="9"/>
      <c r="I1890" s="60" t="str">
        <f t="shared" si="5"/>
        <v/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60" t="str">
        <f t="shared" si="1"/>
        <v/>
      </c>
      <c r="B1891" s="9"/>
      <c r="C1891" s="9"/>
      <c r="D1891" s="133"/>
      <c r="E1891" s="133"/>
      <c r="F1891" s="69"/>
      <c r="G1891" s="9"/>
      <c r="H1891" s="9"/>
      <c r="I1891" s="60" t="str">
        <f t="shared" si="5"/>
        <v/>
      </c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60" t="str">
        <f t="shared" si="1"/>
        <v/>
      </c>
      <c r="B1892" s="9"/>
      <c r="C1892" s="9"/>
      <c r="D1892" s="133"/>
      <c r="E1892" s="133"/>
      <c r="F1892" s="69"/>
      <c r="G1892" s="9"/>
      <c r="H1892" s="9"/>
      <c r="I1892" s="60" t="str">
        <f t="shared" si="5"/>
        <v/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A1893" s="60" t="str">
        <f t="shared" si="1"/>
        <v/>
      </c>
      <c r="B1893" s="9"/>
      <c r="C1893" s="9"/>
      <c r="D1893" s="133"/>
      <c r="E1893" s="133"/>
      <c r="F1893" s="69"/>
      <c r="G1893" s="9"/>
      <c r="H1893" s="9"/>
      <c r="I1893" s="60" t="str">
        <f t="shared" si="5"/>
        <v/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60" t="str">
        <f t="shared" si="1"/>
        <v/>
      </c>
      <c r="B1894" s="9"/>
      <c r="C1894" s="9"/>
      <c r="D1894" s="133"/>
      <c r="E1894" s="133"/>
      <c r="F1894" s="69"/>
      <c r="G1894" s="9"/>
      <c r="H1894" s="9"/>
      <c r="I1894" s="60" t="str">
        <f t="shared" si="5"/>
        <v/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60" t="str">
        <f t="shared" si="1"/>
        <v/>
      </c>
      <c r="B1895" s="9"/>
      <c r="C1895" s="9"/>
      <c r="D1895" s="133"/>
      <c r="E1895" s="133"/>
      <c r="F1895" s="69"/>
      <c r="G1895" s="9"/>
      <c r="H1895" s="9"/>
      <c r="I1895" s="60" t="str">
        <f t="shared" si="5"/>
        <v/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60" t="str">
        <f t="shared" si="1"/>
        <v/>
      </c>
      <c r="B1896" s="9"/>
      <c r="C1896" s="9"/>
      <c r="D1896" s="133"/>
      <c r="E1896" s="133"/>
      <c r="F1896" s="69"/>
      <c r="G1896" s="9"/>
      <c r="H1896" s="9"/>
      <c r="I1896" s="60" t="str">
        <f t="shared" si="5"/>
        <v/>
      </c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60" t="str">
        <f t="shared" si="1"/>
        <v/>
      </c>
      <c r="B1897" s="9"/>
      <c r="C1897" s="9"/>
      <c r="D1897" s="133"/>
      <c r="E1897" s="133"/>
      <c r="F1897" s="69"/>
      <c r="G1897" s="9"/>
      <c r="H1897" s="9"/>
      <c r="I1897" s="60" t="str">
        <f t="shared" si="5"/>
        <v/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60" t="str">
        <f t="shared" si="1"/>
        <v/>
      </c>
      <c r="B1898" s="9"/>
      <c r="C1898" s="9"/>
      <c r="D1898" s="133"/>
      <c r="E1898" s="133"/>
      <c r="F1898" s="69"/>
      <c r="G1898" s="9"/>
      <c r="H1898" s="9"/>
      <c r="I1898" s="60" t="str">
        <f t="shared" si="5"/>
        <v/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60" t="str">
        <f t="shared" si="1"/>
        <v/>
      </c>
      <c r="B1899" s="9"/>
      <c r="C1899" s="9"/>
      <c r="D1899" s="133"/>
      <c r="E1899" s="133"/>
      <c r="F1899" s="69"/>
      <c r="G1899" s="9"/>
      <c r="H1899" s="9"/>
      <c r="I1899" s="60" t="str">
        <f t="shared" si="5"/>
        <v/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60" t="str">
        <f t="shared" si="1"/>
        <v/>
      </c>
      <c r="B1900" s="9"/>
      <c r="C1900" s="9"/>
      <c r="D1900" s="133"/>
      <c r="E1900" s="133"/>
      <c r="F1900" s="69"/>
      <c r="G1900" s="9"/>
      <c r="H1900" s="9"/>
      <c r="I1900" s="60" t="str">
        <f t="shared" si="5"/>
        <v/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60" t="str">
        <f t="shared" si="1"/>
        <v/>
      </c>
      <c r="B1901" s="9"/>
      <c r="C1901" s="9"/>
      <c r="D1901" s="133"/>
      <c r="E1901" s="133"/>
      <c r="F1901" s="69"/>
      <c r="G1901" s="9"/>
      <c r="H1901" s="9"/>
      <c r="I1901" s="60" t="str">
        <f t="shared" si="5"/>
        <v/>
      </c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60" t="str">
        <f t="shared" si="1"/>
        <v/>
      </c>
      <c r="B1902" s="9"/>
      <c r="C1902" s="9"/>
      <c r="D1902" s="133"/>
      <c r="E1902" s="133"/>
      <c r="F1902" s="69"/>
      <c r="G1902" s="9"/>
      <c r="H1902" s="9"/>
      <c r="I1902" s="60" t="str">
        <f t="shared" si="5"/>
        <v/>
      </c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60" t="str">
        <f t="shared" si="1"/>
        <v/>
      </c>
      <c r="B1903" s="9"/>
      <c r="C1903" s="9"/>
      <c r="D1903" s="133"/>
      <c r="E1903" s="133"/>
      <c r="F1903" s="69"/>
      <c r="G1903" s="9"/>
      <c r="H1903" s="9"/>
      <c r="I1903" s="60" t="str">
        <f t="shared" si="5"/>
        <v/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60" t="str">
        <f t="shared" si="1"/>
        <v/>
      </c>
      <c r="B1904" s="9"/>
      <c r="C1904" s="9"/>
      <c r="D1904" s="133"/>
      <c r="E1904" s="133"/>
      <c r="F1904" s="69"/>
      <c r="G1904" s="9"/>
      <c r="H1904" s="9"/>
      <c r="I1904" s="60" t="str">
        <f t="shared" si="5"/>
        <v/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60" t="str">
        <f t="shared" si="1"/>
        <v/>
      </c>
      <c r="B1905" s="9"/>
      <c r="C1905" s="9"/>
      <c r="D1905" s="133"/>
      <c r="E1905" s="133"/>
      <c r="F1905" s="69"/>
      <c r="G1905" s="9"/>
      <c r="H1905" s="9"/>
      <c r="I1905" s="60" t="str">
        <f t="shared" si="5"/>
        <v/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60" t="str">
        <f t="shared" si="1"/>
        <v/>
      </c>
      <c r="B1906" s="9"/>
      <c r="C1906" s="9"/>
      <c r="D1906" s="133"/>
      <c r="E1906" s="133"/>
      <c r="F1906" s="69"/>
      <c r="G1906" s="9"/>
      <c r="H1906" s="9"/>
      <c r="I1906" s="60" t="str">
        <f t="shared" si="5"/>
        <v/>
      </c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60" t="str">
        <f t="shared" si="1"/>
        <v/>
      </c>
      <c r="B1907" s="9"/>
      <c r="C1907" s="9"/>
      <c r="D1907" s="133"/>
      <c r="E1907" s="133"/>
      <c r="F1907" s="69"/>
      <c r="G1907" s="9"/>
      <c r="H1907" s="9"/>
      <c r="I1907" s="60" t="str">
        <f t="shared" si="5"/>
        <v/>
      </c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60" t="str">
        <f t="shared" si="1"/>
        <v/>
      </c>
      <c r="B1908" s="9"/>
      <c r="C1908" s="9"/>
      <c r="D1908" s="133"/>
      <c r="E1908" s="133"/>
      <c r="F1908" s="69"/>
      <c r="G1908" s="9"/>
      <c r="H1908" s="9"/>
      <c r="I1908" s="60" t="str">
        <f t="shared" si="5"/>
        <v/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60" t="str">
        <f t="shared" si="1"/>
        <v/>
      </c>
      <c r="B1909" s="9"/>
      <c r="C1909" s="9"/>
      <c r="D1909" s="133"/>
      <c r="E1909" s="133"/>
      <c r="F1909" s="69"/>
      <c r="G1909" s="9"/>
      <c r="H1909" s="9"/>
      <c r="I1909" s="60" t="str">
        <f t="shared" si="5"/>
        <v/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60" t="str">
        <f t="shared" si="1"/>
        <v/>
      </c>
      <c r="B1910" s="9"/>
      <c r="C1910" s="9"/>
      <c r="D1910" s="133"/>
      <c r="E1910" s="133"/>
      <c r="F1910" s="69"/>
      <c r="G1910" s="9"/>
      <c r="H1910" s="9"/>
      <c r="I1910" s="60" t="str">
        <f t="shared" si="5"/>
        <v/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60" t="str">
        <f t="shared" si="1"/>
        <v/>
      </c>
      <c r="B1911" s="9"/>
      <c r="C1911" s="9"/>
      <c r="D1911" s="133"/>
      <c r="E1911" s="133"/>
      <c r="F1911" s="69"/>
      <c r="G1911" s="9"/>
      <c r="H1911" s="9"/>
      <c r="I1911" s="60" t="str">
        <f t="shared" si="5"/>
        <v/>
      </c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60" t="str">
        <f t="shared" si="1"/>
        <v/>
      </c>
      <c r="B1912" s="9"/>
      <c r="C1912" s="9"/>
      <c r="D1912" s="133"/>
      <c r="E1912" s="133"/>
      <c r="F1912" s="69"/>
      <c r="G1912" s="9"/>
      <c r="H1912" s="9"/>
      <c r="I1912" s="60" t="str">
        <f t="shared" si="5"/>
        <v/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60" t="str">
        <f t="shared" si="1"/>
        <v/>
      </c>
      <c r="B1913" s="9"/>
      <c r="C1913" s="9"/>
      <c r="D1913" s="133"/>
      <c r="E1913" s="133"/>
      <c r="F1913" s="69"/>
      <c r="G1913" s="9"/>
      <c r="H1913" s="9"/>
      <c r="I1913" s="60" t="str">
        <f t="shared" si="5"/>
        <v/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60" t="str">
        <f t="shared" si="1"/>
        <v/>
      </c>
      <c r="B1914" s="9"/>
      <c r="C1914" s="9"/>
      <c r="D1914" s="133"/>
      <c r="E1914" s="133"/>
      <c r="F1914" s="69"/>
      <c r="G1914" s="9"/>
      <c r="H1914" s="9"/>
      <c r="I1914" s="60" t="str">
        <f t="shared" si="5"/>
        <v/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60" t="str">
        <f t="shared" si="1"/>
        <v/>
      </c>
      <c r="B1915" s="9"/>
      <c r="C1915" s="9"/>
      <c r="D1915" s="133"/>
      <c r="E1915" s="133"/>
      <c r="F1915" s="69"/>
      <c r="G1915" s="9"/>
      <c r="H1915" s="9"/>
      <c r="I1915" s="60" t="str">
        <f t="shared" si="5"/>
        <v/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60" t="str">
        <f t="shared" si="1"/>
        <v/>
      </c>
      <c r="B1916" s="9"/>
      <c r="C1916" s="9"/>
      <c r="D1916" s="133"/>
      <c r="E1916" s="133"/>
      <c r="F1916" s="69"/>
      <c r="G1916" s="9"/>
      <c r="H1916" s="9"/>
      <c r="I1916" s="60" t="str">
        <f t="shared" si="5"/>
        <v/>
      </c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60" t="str">
        <f t="shared" si="1"/>
        <v/>
      </c>
      <c r="B1917" s="9"/>
      <c r="C1917" s="9"/>
      <c r="D1917" s="133"/>
      <c r="E1917" s="133"/>
      <c r="F1917" s="69"/>
      <c r="G1917" s="9"/>
      <c r="H1917" s="9"/>
      <c r="I1917" s="60" t="str">
        <f t="shared" si="5"/>
        <v/>
      </c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60" t="str">
        <f t="shared" si="1"/>
        <v/>
      </c>
      <c r="B1918" s="9"/>
      <c r="C1918" s="9"/>
      <c r="D1918" s="133"/>
      <c r="E1918" s="133"/>
      <c r="F1918" s="69"/>
      <c r="G1918" s="9"/>
      <c r="H1918" s="9"/>
      <c r="I1918" s="60" t="str">
        <f t="shared" si="5"/>
        <v/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60" t="str">
        <f t="shared" si="1"/>
        <v/>
      </c>
      <c r="B1919" s="9"/>
      <c r="C1919" s="9"/>
      <c r="D1919" s="133"/>
      <c r="E1919" s="133"/>
      <c r="F1919" s="69"/>
      <c r="G1919" s="9"/>
      <c r="H1919" s="9"/>
      <c r="I1919" s="60" t="str">
        <f t="shared" si="5"/>
        <v/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60" t="str">
        <f t="shared" si="1"/>
        <v/>
      </c>
      <c r="B1920" s="9"/>
      <c r="C1920" s="9"/>
      <c r="D1920" s="133"/>
      <c r="E1920" s="133"/>
      <c r="F1920" s="69"/>
      <c r="G1920" s="9"/>
      <c r="H1920" s="9"/>
      <c r="I1920" s="60" t="str">
        <f t="shared" si="5"/>
        <v/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60" t="str">
        <f t="shared" si="1"/>
        <v/>
      </c>
      <c r="B1921" s="9"/>
      <c r="C1921" s="9"/>
      <c r="D1921" s="133"/>
      <c r="E1921" s="133"/>
      <c r="F1921" s="69"/>
      <c r="G1921" s="9"/>
      <c r="H1921" s="9"/>
      <c r="I1921" s="60" t="str">
        <f t="shared" si="5"/>
        <v/>
      </c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60" t="str">
        <f t="shared" si="1"/>
        <v/>
      </c>
      <c r="B1922" s="9"/>
      <c r="C1922" s="9"/>
      <c r="D1922" s="133"/>
      <c r="E1922" s="133"/>
      <c r="F1922" s="69"/>
      <c r="G1922" s="9"/>
      <c r="H1922" s="9"/>
      <c r="I1922" s="60" t="str">
        <f t="shared" si="5"/>
        <v/>
      </c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60" t="str">
        <f t="shared" si="1"/>
        <v/>
      </c>
      <c r="B1923" s="9"/>
      <c r="C1923" s="9"/>
      <c r="D1923" s="133"/>
      <c r="E1923" s="133"/>
      <c r="F1923" s="69"/>
      <c r="G1923" s="9"/>
      <c r="H1923" s="9"/>
      <c r="I1923" s="60" t="str">
        <f t="shared" si="5"/>
        <v/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60" t="str">
        <f t="shared" si="1"/>
        <v/>
      </c>
      <c r="B1924" s="9"/>
      <c r="C1924" s="9"/>
      <c r="D1924" s="133"/>
      <c r="E1924" s="133"/>
      <c r="F1924" s="69"/>
      <c r="G1924" s="9"/>
      <c r="H1924" s="9"/>
      <c r="I1924" s="60" t="str">
        <f t="shared" si="5"/>
        <v/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60" t="str">
        <f t="shared" si="1"/>
        <v/>
      </c>
      <c r="B1925" s="9"/>
      <c r="C1925" s="9"/>
      <c r="D1925" s="133"/>
      <c r="E1925" s="133"/>
      <c r="F1925" s="69"/>
      <c r="G1925" s="9"/>
      <c r="H1925" s="9"/>
      <c r="I1925" s="60" t="str">
        <f t="shared" si="5"/>
        <v/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60" t="str">
        <f t="shared" si="1"/>
        <v/>
      </c>
      <c r="B1926" s="9"/>
      <c r="C1926" s="9"/>
      <c r="D1926" s="133"/>
      <c r="E1926" s="133"/>
      <c r="F1926" s="69"/>
      <c r="G1926" s="9"/>
      <c r="H1926" s="9"/>
      <c r="I1926" s="60" t="str">
        <f t="shared" si="5"/>
        <v/>
      </c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60" t="str">
        <f t="shared" si="1"/>
        <v/>
      </c>
      <c r="B1927" s="9"/>
      <c r="C1927" s="9"/>
      <c r="D1927" s="133"/>
      <c r="E1927" s="133"/>
      <c r="F1927" s="69"/>
      <c r="G1927" s="9"/>
      <c r="H1927" s="9"/>
      <c r="I1927" s="60" t="str">
        <f t="shared" si="5"/>
        <v/>
      </c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60" t="str">
        <f t="shared" si="1"/>
        <v/>
      </c>
      <c r="B1928" s="9"/>
      <c r="C1928" s="9"/>
      <c r="D1928" s="133"/>
      <c r="E1928" s="133"/>
      <c r="F1928" s="69"/>
      <c r="G1928" s="9"/>
      <c r="H1928" s="9"/>
      <c r="I1928" s="60" t="str">
        <f t="shared" si="5"/>
        <v/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60" t="str">
        <f t="shared" si="1"/>
        <v/>
      </c>
      <c r="B1929" s="9"/>
      <c r="C1929" s="9"/>
      <c r="D1929" s="133"/>
      <c r="E1929" s="133"/>
      <c r="F1929" s="69"/>
      <c r="G1929" s="9"/>
      <c r="H1929" s="9"/>
      <c r="I1929" s="60" t="str">
        <f t="shared" si="5"/>
        <v/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60" t="str">
        <f t="shared" si="1"/>
        <v/>
      </c>
      <c r="B1930" s="9"/>
      <c r="C1930" s="9"/>
      <c r="D1930" s="133"/>
      <c r="E1930" s="133"/>
      <c r="F1930" s="69"/>
      <c r="G1930" s="9"/>
      <c r="H1930" s="9"/>
      <c r="I1930" s="60" t="str">
        <f t="shared" si="5"/>
        <v/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60" t="str">
        <f t="shared" si="1"/>
        <v/>
      </c>
      <c r="B1931" s="9"/>
      <c r="C1931" s="9"/>
      <c r="D1931" s="133"/>
      <c r="E1931" s="133"/>
      <c r="F1931" s="69"/>
      <c r="G1931" s="9"/>
      <c r="H1931" s="9"/>
      <c r="I1931" s="60" t="str">
        <f t="shared" si="5"/>
        <v/>
      </c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60" t="str">
        <f t="shared" si="1"/>
        <v/>
      </c>
      <c r="B1932" s="9"/>
      <c r="C1932" s="9"/>
      <c r="D1932" s="133"/>
      <c r="E1932" s="133"/>
      <c r="F1932" s="69"/>
      <c r="G1932" s="9"/>
      <c r="H1932" s="9"/>
      <c r="I1932" s="60" t="str">
        <f t="shared" si="5"/>
        <v/>
      </c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60" t="str">
        <f t="shared" si="1"/>
        <v/>
      </c>
      <c r="B1933" s="9"/>
      <c r="C1933" s="9"/>
      <c r="D1933" s="133"/>
      <c r="E1933" s="133"/>
      <c r="F1933" s="69"/>
      <c r="G1933" s="9"/>
      <c r="H1933" s="9"/>
      <c r="I1933" s="60" t="str">
        <f t="shared" si="5"/>
        <v/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60" t="str">
        <f t="shared" si="1"/>
        <v/>
      </c>
      <c r="B1934" s="9"/>
      <c r="C1934" s="9"/>
      <c r="D1934" s="133"/>
      <c r="E1934" s="133"/>
      <c r="F1934" s="69"/>
      <c r="G1934" s="9"/>
      <c r="H1934" s="9"/>
      <c r="I1934" s="60" t="str">
        <f t="shared" si="5"/>
        <v/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60" t="str">
        <f t="shared" si="1"/>
        <v/>
      </c>
      <c r="B1935" s="9"/>
      <c r="C1935" s="9"/>
      <c r="D1935" s="133"/>
      <c r="E1935" s="133"/>
      <c r="F1935" s="69"/>
      <c r="G1935" s="9"/>
      <c r="H1935" s="9"/>
      <c r="I1935" s="60" t="str">
        <f t="shared" si="5"/>
        <v/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60" t="str">
        <f t="shared" si="1"/>
        <v/>
      </c>
      <c r="B1936" s="9"/>
      <c r="C1936" s="9"/>
      <c r="D1936" s="133"/>
      <c r="E1936" s="133"/>
      <c r="F1936" s="69"/>
      <c r="G1936" s="9"/>
      <c r="H1936" s="9"/>
      <c r="I1936" s="60" t="str">
        <f t="shared" si="5"/>
        <v/>
      </c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60" t="str">
        <f t="shared" si="1"/>
        <v/>
      </c>
      <c r="B1937" s="9"/>
      <c r="C1937" s="9"/>
      <c r="D1937" s="133"/>
      <c r="E1937" s="133"/>
      <c r="F1937" s="69"/>
      <c r="G1937" s="9"/>
      <c r="H1937" s="9"/>
      <c r="I1937" s="60" t="str">
        <f t="shared" si="5"/>
        <v/>
      </c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60" t="str">
        <f t="shared" si="1"/>
        <v/>
      </c>
      <c r="B1938" s="9"/>
      <c r="C1938" s="9"/>
      <c r="D1938" s="133"/>
      <c r="E1938" s="133"/>
      <c r="F1938" s="69"/>
      <c r="G1938" s="9"/>
      <c r="H1938" s="9"/>
      <c r="I1938" s="60" t="str">
        <f t="shared" si="5"/>
        <v/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60" t="str">
        <f t="shared" si="1"/>
        <v/>
      </c>
      <c r="B1939" s="9"/>
      <c r="C1939" s="9"/>
      <c r="D1939" s="133"/>
      <c r="E1939" s="133"/>
      <c r="F1939" s="69"/>
      <c r="G1939" s="9"/>
      <c r="H1939" s="9"/>
      <c r="I1939" s="60" t="str">
        <f t="shared" si="5"/>
        <v/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60" t="str">
        <f t="shared" si="1"/>
        <v/>
      </c>
      <c r="B1940" s="9"/>
      <c r="C1940" s="9"/>
      <c r="D1940" s="133"/>
      <c r="E1940" s="133"/>
      <c r="F1940" s="69"/>
      <c r="G1940" s="9"/>
      <c r="H1940" s="9"/>
      <c r="I1940" s="60" t="str">
        <f t="shared" si="5"/>
        <v/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60" t="str">
        <f t="shared" si="1"/>
        <v/>
      </c>
      <c r="B1941" s="9"/>
      <c r="C1941" s="9"/>
      <c r="D1941" s="133"/>
      <c r="E1941" s="133"/>
      <c r="F1941" s="69"/>
      <c r="G1941" s="9"/>
      <c r="H1941" s="9"/>
      <c r="I1941" s="60" t="str">
        <f t="shared" si="5"/>
        <v/>
      </c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60" t="str">
        <f t="shared" si="1"/>
        <v/>
      </c>
      <c r="B1942" s="9"/>
      <c r="C1942" s="9"/>
      <c r="D1942" s="133"/>
      <c r="E1942" s="133"/>
      <c r="F1942" s="69"/>
      <c r="G1942" s="9"/>
      <c r="H1942" s="9"/>
      <c r="I1942" s="60" t="str">
        <f t="shared" si="5"/>
        <v/>
      </c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</sheetData>
  <mergeCells count="4">
    <mergeCell ref="B8:C8"/>
    <mergeCell ref="D8:E8"/>
    <mergeCell ref="J8:K8"/>
    <mergeCell ref="L8:M8"/>
  </mergeCells>
  <dataValidations>
    <dataValidation type="list" allowBlank="1" showErrorMessage="1" sqref="C5 K5">
      <formula1>"PH,R,N/A"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5"/>
    <col customWidth="1" min="2" max="2" width="27.88"/>
    <col customWidth="1" min="3" max="3" width="22.38"/>
    <col hidden="1" min="4" max="4" width="12.63"/>
    <col customWidth="1" hidden="1" min="5" max="5" width="5.88"/>
    <col customWidth="1" hidden="1" min="6" max="6" width="14.25"/>
    <col customWidth="1" min="7" max="7" width="19.38"/>
    <col hidden="1" min="8" max="10" width="12.63"/>
    <col customWidth="1" min="12" max="12" width="22.38"/>
    <col customWidth="1" min="13" max="13" width="7.5"/>
    <col customWidth="1" min="14" max="14" width="3.25"/>
    <col customWidth="1" min="15" max="15" width="12.88"/>
    <col customWidth="1" min="16" max="16" width="9.0"/>
  </cols>
  <sheetData>
    <row r="1">
      <c r="C1" s="7"/>
      <c r="G1" s="7"/>
      <c r="J1" s="38"/>
    </row>
    <row r="2">
      <c r="B2" s="10" t="s">
        <v>3284</v>
      </c>
      <c r="C2" s="38" t="s">
        <v>174</v>
      </c>
      <c r="G2" s="7"/>
      <c r="J2" s="7"/>
    </row>
    <row r="3">
      <c r="B3" s="10" t="s">
        <v>3285</v>
      </c>
      <c r="C3" s="7">
        <f>COUNT(A6:A1000)</f>
        <v>66</v>
      </c>
      <c r="G3" s="7"/>
      <c r="J3" s="7"/>
    </row>
    <row r="4">
      <c r="C4" s="7"/>
      <c r="G4" s="7"/>
      <c r="J4" s="7"/>
    </row>
    <row r="5" ht="31.5" customHeight="1">
      <c r="A5" s="152" t="s">
        <v>22</v>
      </c>
      <c r="B5" s="152" t="s">
        <v>30</v>
      </c>
      <c r="C5" s="152" t="s">
        <v>31</v>
      </c>
      <c r="D5" s="153"/>
      <c r="E5" s="153"/>
      <c r="F5" s="153"/>
      <c r="G5" s="154" t="s">
        <v>3286</v>
      </c>
      <c r="H5" s="153"/>
      <c r="I5" s="153"/>
      <c r="J5" s="152" t="s">
        <v>3287</v>
      </c>
    </row>
    <row r="6">
      <c r="A6" s="155">
        <f t="shared" ref="A6:A1000" si="1">IF(B6="","",ROW()-5)</f>
        <v>1</v>
      </c>
      <c r="B6" s="156" t="str">
        <f>IFERROR(__xludf.DUMMYFUNCTION("IFERROR(FILTER('HEAD OF THE FAMILY'!B6:J1000,ISNUMBER(SEARCH(LOWER(C2), LOWER('HEAD OF THE FAMILY'!J6:J1000)))), ""NO MATCH FOUND"")"),"ALBERTO LOBRIO JR.")</f>
        <v>ALBERTO LOBRIO JR.</v>
      </c>
      <c r="C6" s="157" t="str">
        <f>IFERROR(__xludf.DUMMYFUNCTION("""COMPUTED_VALUE"""),"THIRD GEN")</f>
        <v>THIRD GEN</v>
      </c>
      <c r="D6" s="156"/>
      <c r="E6" s="156"/>
      <c r="F6" s="156" t="str">
        <f>IFERROR(__xludf.DUMMYFUNCTION("""COMPUTED_VALUE"""),"ACTIVE")</f>
        <v>ACTIVE</v>
      </c>
      <c r="G6" s="157" t="str">
        <f>IFERROR(__xludf.DUMMYFUNCTION("""COMPUTED_VALUE"""),"PH")</f>
        <v>PH</v>
      </c>
      <c r="H6" s="156" t="str">
        <f>IFERROR(__xludf.DUMMYFUNCTION("""COMPUTED_VALUE"""),"LETECIA LOBRIO")</f>
        <v>LETECIA LOBRIO</v>
      </c>
      <c r="I6" s="156" t="str">
        <f>IFERROR(__xludf.DUMMYFUNCTION("""COMPUTED_VALUE"""),"KDBM")</f>
        <v>KDBM</v>
      </c>
      <c r="J6" s="157" t="str">
        <f>IFERROR(__xludf.DUMMYFUNCTION("""COMPUTED_VALUE"""),"BLK 49")</f>
        <v>BLK 49</v>
      </c>
      <c r="L6" s="158" t="s">
        <v>19</v>
      </c>
      <c r="M6" s="8"/>
      <c r="N6" s="49"/>
      <c r="O6" s="49"/>
      <c r="P6" s="49"/>
    </row>
    <row r="7">
      <c r="A7" s="159">
        <f t="shared" si="1"/>
        <v>2</v>
      </c>
      <c r="B7" s="160" t="str">
        <f>IFERROR(__xludf.DUMMYFUNCTION("""COMPUTED_VALUE"""),"ALBERTO LOBRIO SR.")</f>
        <v>ALBERTO LOBRIO SR.</v>
      </c>
      <c r="C7" s="161" t="str">
        <f>IFERROR(__xludf.DUMMYFUNCTION("""COMPUTED_VALUE"""),"SENIOR")</f>
        <v>SENIOR</v>
      </c>
      <c r="D7" s="160"/>
      <c r="E7" s="160"/>
      <c r="F7" s="160" t="str">
        <f>IFERROR(__xludf.DUMMYFUNCTION("""COMPUTED_VALUE"""),"ACTIVE")</f>
        <v>ACTIVE</v>
      </c>
      <c r="G7" s="161" t="str">
        <f>IFERROR(__xludf.DUMMYFUNCTION("""COMPUTED_VALUE"""),"PH")</f>
        <v>PH</v>
      </c>
      <c r="H7" s="160" t="str">
        <f>IFERROR(__xludf.DUMMYFUNCTION("""COMPUTED_VALUE"""),"CECILA LOBRIO")</f>
        <v>CECILA LOBRIO</v>
      </c>
      <c r="I7" s="160" t="str">
        <f>IFERROR(__xludf.DUMMYFUNCTION("""COMPUTED_VALUE"""),"SENIOR")</f>
        <v>SENIOR</v>
      </c>
      <c r="J7" s="161" t="str">
        <f>IFERROR(__xludf.DUMMYFUNCTION("""COMPUTED_VALUE"""),"BLK 49")</f>
        <v>BLK 49</v>
      </c>
      <c r="L7" s="14"/>
      <c r="M7" s="18"/>
      <c r="N7" s="49"/>
      <c r="O7" s="49"/>
      <c r="P7" s="49"/>
    </row>
    <row r="8">
      <c r="A8" s="155">
        <f t="shared" si="1"/>
        <v>3</v>
      </c>
      <c r="B8" s="156" t="str">
        <f>IFERROR(__xludf.DUMMYFUNCTION("""COMPUTED_VALUE"""),"ALLAN N. HIPOLITO JR.")</f>
        <v>ALLAN N. HIPOLITO JR.</v>
      </c>
      <c r="C8" s="157" t="str">
        <f>IFERROR(__xludf.DUMMYFUNCTION("""COMPUTED_VALUE"""),"N/A")</f>
        <v>N/A</v>
      </c>
      <c r="D8" s="156"/>
      <c r="E8" s="156"/>
      <c r="F8" s="156" t="str">
        <f>IFERROR(__xludf.DUMMYFUNCTION("""COMPUTED_VALUE"""),"ACTIVE")</f>
        <v>ACTIVE</v>
      </c>
      <c r="G8" s="157" t="str">
        <f>IFERROR(__xludf.DUMMYFUNCTION("""COMPUTED_VALUE"""),"R")</f>
        <v>R</v>
      </c>
      <c r="H8" s="156" t="str">
        <f>IFERROR(__xludf.DUMMYFUNCTION("""COMPUTED_VALUE"""),"ALEXIS C. RONDILLA")</f>
        <v>ALEXIS C. RONDILLA</v>
      </c>
      <c r="I8" s="156"/>
      <c r="J8" s="157" t="str">
        <f>IFERROR(__xludf.DUMMYFUNCTION("""COMPUTED_VALUE"""),"BLK 49")</f>
        <v>BLK 49</v>
      </c>
      <c r="L8" s="162" t="s">
        <v>5</v>
      </c>
      <c r="M8" s="76">
        <f t="shared" ref="M8:M16" si="2">COUNTIFS($C$6:C1000,L8)</f>
        <v>16</v>
      </c>
      <c r="Q8" s="132">
        <v>1.0</v>
      </c>
      <c r="R8" s="132">
        <v>67.0</v>
      </c>
    </row>
    <row r="9">
      <c r="A9" s="159">
        <f t="shared" si="1"/>
        <v>4</v>
      </c>
      <c r="B9" s="160" t="str">
        <f>IFERROR(__xludf.DUMMYFUNCTION("""COMPUTED_VALUE"""),"ALLAN P. HIPOLITO SR.")</f>
        <v>ALLAN P. HIPOLITO SR.</v>
      </c>
      <c r="C9" s="161" t="str">
        <f>IFERROR(__xludf.DUMMYFUNCTION("""COMPUTED_VALUE"""),"4PS")</f>
        <v>4PS</v>
      </c>
      <c r="D9" s="160"/>
      <c r="E9" s="160"/>
      <c r="F9" s="160" t="str">
        <f>IFERROR(__xludf.DUMMYFUNCTION("""COMPUTED_VALUE"""),"ACTIVE")</f>
        <v>ACTIVE</v>
      </c>
      <c r="G9" s="161" t="str">
        <f>IFERROR(__xludf.DUMMYFUNCTION("""COMPUTED_VALUE"""),"PH")</f>
        <v>PH</v>
      </c>
      <c r="H9" s="160" t="str">
        <f>IFERROR(__xludf.DUMMYFUNCTION("""COMPUTED_VALUE"""),"ELSIE HIPOLITO")</f>
        <v>ELSIE HIPOLITO</v>
      </c>
      <c r="I9" s="160" t="str">
        <f>IFERROR(__xludf.DUMMYFUNCTION("""COMPUTED_VALUE"""),"BRGY. OFFICIALS")</f>
        <v>BRGY. OFFICIALS</v>
      </c>
      <c r="J9" s="161" t="str">
        <f>IFERROR(__xludf.DUMMYFUNCTION("""COMPUTED_VALUE"""),"BLK 49")</f>
        <v>BLK 49</v>
      </c>
      <c r="L9" s="162" t="s">
        <v>69</v>
      </c>
      <c r="M9" s="76">
        <f t="shared" si="2"/>
        <v>0</v>
      </c>
      <c r="Q9" s="132">
        <v>3.0</v>
      </c>
      <c r="R9" s="132">
        <v>83.0</v>
      </c>
    </row>
    <row r="10">
      <c r="A10" s="155">
        <f t="shared" si="1"/>
        <v>5</v>
      </c>
      <c r="B10" s="156" t="str">
        <f>IFERROR(__xludf.DUMMYFUNCTION("""COMPUTED_VALUE"""),"ALLEN EDWARD T. MONCES")</f>
        <v>ALLEN EDWARD T. MONCES</v>
      </c>
      <c r="C10" s="157" t="str">
        <f>IFERROR(__xludf.DUMMYFUNCTION("""COMPUTED_VALUE"""),"N/A")</f>
        <v>N/A</v>
      </c>
      <c r="D10" s="156"/>
      <c r="E10" s="156"/>
      <c r="F10" s="156" t="str">
        <f>IFERROR(__xludf.DUMMYFUNCTION("""COMPUTED_VALUE"""),"UNREGISTERED")</f>
        <v>UNREGISTERED</v>
      </c>
      <c r="G10" s="157" t="str">
        <f>IFERROR(__xludf.DUMMYFUNCTION("""COMPUTED_VALUE"""),"R")</f>
        <v>R</v>
      </c>
      <c r="H10" s="156" t="str">
        <f>IFERROR(__xludf.DUMMYFUNCTION("""COMPUTED_VALUE"""),"PRECY MAE L. BULO")</f>
        <v>PRECY MAE L. BULO</v>
      </c>
      <c r="I10" s="156"/>
      <c r="J10" s="157" t="str">
        <f>IFERROR(__xludf.DUMMYFUNCTION("""COMPUTED_VALUE"""),"BLK 49")</f>
        <v>BLK 49</v>
      </c>
      <c r="L10" s="162" t="s">
        <v>72</v>
      </c>
      <c r="M10" s="76">
        <f t="shared" si="2"/>
        <v>2</v>
      </c>
      <c r="Q10" s="132">
        <v>4.0</v>
      </c>
      <c r="R10" s="132">
        <v>115.0</v>
      </c>
    </row>
    <row r="11">
      <c r="A11" s="159">
        <f t="shared" si="1"/>
        <v>6</v>
      </c>
      <c r="B11" s="160" t="str">
        <f>IFERROR(__xludf.DUMMYFUNCTION("""COMPUTED_VALUE"""),"ALVIN BAREZA")</f>
        <v>ALVIN BAREZA</v>
      </c>
      <c r="C11" s="161" t="str">
        <f>IFERROR(__xludf.DUMMYFUNCTION("""COMPUTED_VALUE"""),"N/A")</f>
        <v>N/A</v>
      </c>
      <c r="D11" s="160"/>
      <c r="E11" s="160"/>
      <c r="F11" s="160" t="str">
        <f>IFERROR(__xludf.DUMMYFUNCTION("""COMPUTED_VALUE"""),"UNREGISTERED")</f>
        <v>UNREGISTERED</v>
      </c>
      <c r="G11" s="161" t="str">
        <f>IFERROR(__xludf.DUMMYFUNCTION("""COMPUTED_VALUE"""),"R")</f>
        <v>R</v>
      </c>
      <c r="H11" s="160" t="str">
        <f>IFERROR(__xludf.DUMMYFUNCTION("""COMPUTED_VALUE"""),"ELAINE ROSE RONASE")</f>
        <v>ELAINE ROSE RONASE</v>
      </c>
      <c r="I11" s="160"/>
      <c r="J11" s="161" t="str">
        <f>IFERROR(__xludf.DUMMYFUNCTION("""COMPUTED_VALUE"""),"BLK 49")</f>
        <v>BLK 49</v>
      </c>
      <c r="L11" s="162" t="s">
        <v>76</v>
      </c>
      <c r="M11" s="76">
        <f t="shared" si="2"/>
        <v>0</v>
      </c>
      <c r="Q11" s="132">
        <v>5.0</v>
      </c>
      <c r="R11" s="132">
        <v>118.0</v>
      </c>
    </row>
    <row r="12">
      <c r="A12" s="155">
        <f t="shared" si="1"/>
        <v>7</v>
      </c>
      <c r="B12" s="156" t="str">
        <f>IFERROR(__xludf.DUMMYFUNCTION("""COMPUTED_VALUE"""),"ARCADIO M. CRUZ")</f>
        <v>ARCADIO M. CRUZ</v>
      </c>
      <c r="C12" s="157" t="str">
        <f>IFERROR(__xludf.DUMMYFUNCTION("""COMPUTED_VALUE"""),"N/A")</f>
        <v>N/A</v>
      </c>
      <c r="D12" s="156"/>
      <c r="E12" s="156"/>
      <c r="F12" s="156" t="str">
        <f>IFERROR(__xludf.DUMMYFUNCTION("""COMPUTED_VALUE"""),"ACTIVE")</f>
        <v>ACTIVE</v>
      </c>
      <c r="G12" s="157" t="str">
        <f>IFERROR(__xludf.DUMMYFUNCTION("""COMPUTED_VALUE"""),"R")</f>
        <v>R</v>
      </c>
      <c r="H12" s="156"/>
      <c r="I12" s="156"/>
      <c r="J12" s="157" t="str">
        <f>IFERROR(__xludf.DUMMYFUNCTION("""COMPUTED_VALUE"""),"BLK 49")</f>
        <v>BLK 49</v>
      </c>
      <c r="L12" s="163" t="s">
        <v>9</v>
      </c>
      <c r="M12" s="76">
        <f t="shared" si="2"/>
        <v>1</v>
      </c>
      <c r="Q12" s="132">
        <v>45.0</v>
      </c>
      <c r="R12" s="132">
        <v>101.0</v>
      </c>
    </row>
    <row r="13">
      <c r="A13" s="159">
        <f t="shared" si="1"/>
        <v>8</v>
      </c>
      <c r="B13" s="160" t="str">
        <f>IFERROR(__xludf.DUMMYFUNCTION("""COMPUTED_VALUE"""),"ARIEL O. DEL ROSARIO")</f>
        <v>ARIEL O. DEL ROSARIO</v>
      </c>
      <c r="C13" s="161" t="str">
        <f>IFERROR(__xludf.DUMMYFUNCTION("""COMPUTED_VALUE"""),"N/A")</f>
        <v>N/A</v>
      </c>
      <c r="D13" s="160"/>
      <c r="E13" s="160"/>
      <c r="F13" s="160" t="str">
        <f>IFERROR(__xludf.DUMMYFUNCTION("""COMPUTED_VALUE"""),"ACTIVE")</f>
        <v>ACTIVE</v>
      </c>
      <c r="G13" s="161" t="str">
        <f>IFERROR(__xludf.DUMMYFUNCTION("""COMPUTED_VALUE"""),"R")</f>
        <v>R</v>
      </c>
      <c r="H13" s="160"/>
      <c r="I13" s="160"/>
      <c r="J13" s="161" t="str">
        <f>IFERROR(__xludf.DUMMYFUNCTION("""COMPUTED_VALUE"""),"BLK 49")</f>
        <v>BLK 49</v>
      </c>
      <c r="L13" s="162" t="s">
        <v>88</v>
      </c>
      <c r="M13" s="76">
        <f t="shared" si="2"/>
        <v>1</v>
      </c>
      <c r="Q13" s="132">
        <v>46.0</v>
      </c>
      <c r="R13" s="132">
        <v>122.0</v>
      </c>
    </row>
    <row r="14">
      <c r="A14" s="155">
        <f t="shared" si="1"/>
        <v>9</v>
      </c>
      <c r="B14" s="156" t="str">
        <f>IFERROR(__xludf.DUMMYFUNCTION("""COMPUTED_VALUE"""),"ARVIN P. BALOFIÑOS")</f>
        <v>ARVIN P. BALOFIÑOS</v>
      </c>
      <c r="C14" s="157" t="str">
        <f>IFERROR(__xludf.DUMMYFUNCTION("""COMPUTED_VALUE"""),"N/A")</f>
        <v>N/A</v>
      </c>
      <c r="D14" s="156"/>
      <c r="E14" s="156"/>
      <c r="F14" s="156" t="str">
        <f>IFERROR(__xludf.DUMMYFUNCTION("""COMPUTED_VALUE"""),"ACTIVE")</f>
        <v>ACTIVE</v>
      </c>
      <c r="G14" s="157" t="str">
        <f>IFERROR(__xludf.DUMMYFUNCTION("""COMPUTED_VALUE"""),"PH")</f>
        <v>PH</v>
      </c>
      <c r="H14" s="156" t="str">
        <f>IFERROR(__xludf.DUMMYFUNCTION("""COMPUTED_VALUE"""),"JONIS A. BALOFIÑOS")</f>
        <v>JONIS A. BALOFIÑOS</v>
      </c>
      <c r="I14" s="156" t="str">
        <f>IFERROR(__xludf.DUMMYFUNCTION("""COMPUTED_VALUE"""),"KDBM")</f>
        <v>KDBM</v>
      </c>
      <c r="J14" s="157" t="str">
        <f>IFERROR(__xludf.DUMMYFUNCTION("""COMPUTED_VALUE"""),"BLK 49")</f>
        <v>BLK 49</v>
      </c>
      <c r="L14" s="162" t="s">
        <v>172</v>
      </c>
      <c r="M14" s="76">
        <f t="shared" si="2"/>
        <v>3</v>
      </c>
      <c r="Q14" s="132">
        <v>41.0</v>
      </c>
      <c r="R14" s="132">
        <v>88.0</v>
      </c>
    </row>
    <row r="15">
      <c r="A15" s="159">
        <f t="shared" si="1"/>
        <v>10</v>
      </c>
      <c r="B15" s="160" t="str">
        <f>IFERROR(__xludf.DUMMYFUNCTION("""COMPUTED_VALUE"""),"CARLITO OLIVA")</f>
        <v>CARLITO OLIVA</v>
      </c>
      <c r="C15" s="161" t="str">
        <f>IFERROR(__xludf.DUMMYFUNCTION("""COMPUTED_VALUE"""),"THIRD GEN")</f>
        <v>THIRD GEN</v>
      </c>
      <c r="D15" s="160"/>
      <c r="E15" s="160"/>
      <c r="F15" s="160" t="str">
        <f>IFERROR(__xludf.DUMMYFUNCTION("""COMPUTED_VALUE"""),"UNREGISTERED")</f>
        <v>UNREGISTERED</v>
      </c>
      <c r="G15" s="161" t="str">
        <f>IFERROR(__xludf.DUMMYFUNCTION("""COMPUTED_VALUE"""),"R")</f>
        <v>R</v>
      </c>
      <c r="H15" s="160" t="str">
        <f>IFERROR(__xludf.DUMMYFUNCTION("""COMPUTED_VALUE"""),"MARIVIC CAMPOS")</f>
        <v>MARIVIC CAMPOS</v>
      </c>
      <c r="I15" s="160"/>
      <c r="J15" s="161" t="str">
        <f>IFERROR(__xludf.DUMMYFUNCTION("""COMPUTED_VALUE"""),"BLK 49")</f>
        <v>BLK 49</v>
      </c>
      <c r="L15" s="162" t="s">
        <v>49</v>
      </c>
      <c r="M15" s="76">
        <f t="shared" si="2"/>
        <v>43</v>
      </c>
      <c r="Q15" s="132">
        <v>49.0</v>
      </c>
      <c r="R15" s="132">
        <v>62.0</v>
      </c>
    </row>
    <row r="16">
      <c r="A16" s="155">
        <f t="shared" si="1"/>
        <v>11</v>
      </c>
      <c r="B16" s="156" t="str">
        <f>IFERROR(__xludf.DUMMYFUNCTION("""COMPUTED_VALUE"""),"CAROL DEL ROSARIO")</f>
        <v>CAROL DEL ROSARIO</v>
      </c>
      <c r="C16" s="157" t="str">
        <f>IFERROR(__xludf.DUMMYFUNCTION("""COMPUTED_VALUE"""),"SENIOR")</f>
        <v>SENIOR</v>
      </c>
      <c r="D16" s="156"/>
      <c r="E16" s="156"/>
      <c r="F16" s="156" t="str">
        <f>IFERROR(__xludf.DUMMYFUNCTION("""COMPUTED_VALUE"""),"ACTIVE")</f>
        <v>ACTIVE</v>
      </c>
      <c r="G16" s="157" t="str">
        <f>IFERROR(__xludf.DUMMYFUNCTION("""COMPUTED_VALUE"""),"PH")</f>
        <v>PH</v>
      </c>
      <c r="H16" s="156"/>
      <c r="I16" s="156"/>
      <c r="J16" s="157" t="str">
        <f>IFERROR(__xludf.DUMMYFUNCTION("""COMPUTED_VALUE"""),"BLK 49")</f>
        <v>BLK 49</v>
      </c>
      <c r="L16" s="164" t="s">
        <v>81</v>
      </c>
      <c r="M16" s="76">
        <f t="shared" si="2"/>
        <v>0</v>
      </c>
      <c r="R16" s="145">
        <f>SUM(R8:R15)</f>
        <v>756</v>
      </c>
    </row>
    <row r="17">
      <c r="A17" s="159">
        <f t="shared" si="1"/>
        <v>12</v>
      </c>
      <c r="B17" s="160" t="str">
        <f>IFERROR(__xludf.DUMMYFUNCTION("""COMPUTED_VALUE"""),"DENNIS E. VILA")</f>
        <v>DENNIS E. VILA</v>
      </c>
      <c r="C17" s="161" t="str">
        <f>IFERROR(__xludf.DUMMYFUNCTION("""COMPUTED_VALUE"""),"N/A")</f>
        <v>N/A</v>
      </c>
      <c r="D17" s="160"/>
      <c r="E17" s="160"/>
      <c r="F17" s="160" t="str">
        <f>IFERROR(__xludf.DUMMYFUNCTION("""COMPUTED_VALUE"""),"ACTIVE")</f>
        <v>ACTIVE</v>
      </c>
      <c r="G17" s="161" t="str">
        <f>IFERROR(__xludf.DUMMYFUNCTION("""COMPUTED_VALUE"""),"R")</f>
        <v>R</v>
      </c>
      <c r="H17" s="160" t="str">
        <f>IFERROR(__xludf.DUMMYFUNCTION("""COMPUTED_VALUE"""),"MARY GRACE D. VILA")</f>
        <v>MARY GRACE D. VILA</v>
      </c>
      <c r="I17" s="160"/>
      <c r="J17" s="161" t="str">
        <f>IFERROR(__xludf.DUMMYFUNCTION("""COMPUTED_VALUE"""),"BLK 49")</f>
        <v>BLK 49</v>
      </c>
      <c r="L17" s="162" t="s">
        <v>3288</v>
      </c>
      <c r="M17" s="76">
        <f>SUM(M8:M16)</f>
        <v>66</v>
      </c>
    </row>
    <row r="18">
      <c r="A18" s="155">
        <f t="shared" si="1"/>
        <v>13</v>
      </c>
      <c r="B18" s="156" t="str">
        <f>IFERROR(__xludf.DUMMYFUNCTION("""COMPUTED_VALUE"""),"DINA OLIVERA")</f>
        <v>DINA OLIVERA</v>
      </c>
      <c r="C18" s="157" t="str">
        <f>IFERROR(__xludf.DUMMYFUNCTION("""COMPUTED_VALUE"""),"SENIOR")</f>
        <v>SENIOR</v>
      </c>
      <c r="D18" s="156"/>
      <c r="E18" s="156"/>
      <c r="F18" s="156" t="str">
        <f>IFERROR(__xludf.DUMMYFUNCTION("""COMPUTED_VALUE"""),"ACTIVE")</f>
        <v>ACTIVE</v>
      </c>
      <c r="G18" s="157" t="str">
        <f>IFERROR(__xludf.DUMMYFUNCTION("""COMPUTED_VALUE"""),"PH")</f>
        <v>PH</v>
      </c>
      <c r="H18" s="156"/>
      <c r="I18" s="156"/>
      <c r="J18" s="157" t="str">
        <f>IFERROR(__xludf.DUMMYFUNCTION("""COMPUTED_VALUE"""),"BLK 49")</f>
        <v>BLK 49</v>
      </c>
    </row>
    <row r="19">
      <c r="A19" s="159">
        <f t="shared" si="1"/>
        <v>14</v>
      </c>
      <c r="B19" s="160" t="str">
        <f>IFERROR(__xludf.DUMMYFUNCTION("""COMPUTED_VALUE"""),"DOMINGO LOBRIO")</f>
        <v>DOMINGO LOBRIO</v>
      </c>
      <c r="C19" s="161" t="str">
        <f>IFERROR(__xludf.DUMMYFUNCTION("""COMPUTED_VALUE"""),"N/A")</f>
        <v>N/A</v>
      </c>
      <c r="D19" s="160"/>
      <c r="E19" s="160"/>
      <c r="F19" s="160" t="str">
        <f>IFERROR(__xludf.DUMMYFUNCTION("""COMPUTED_VALUE"""),"UNREGISTERED")</f>
        <v>UNREGISTERED</v>
      </c>
      <c r="G19" s="161" t="str">
        <f>IFERROR(__xludf.DUMMYFUNCTION("""COMPUTED_VALUE"""),"N/A")</f>
        <v>N/A</v>
      </c>
      <c r="H19" s="160"/>
      <c r="I19" s="160"/>
      <c r="J19" s="161" t="str">
        <f>IFERROR(__xludf.DUMMYFUNCTION("""COMPUTED_VALUE"""),"BLK 49")</f>
        <v>BLK 49</v>
      </c>
    </row>
    <row r="20">
      <c r="A20" s="155">
        <f t="shared" si="1"/>
        <v>15</v>
      </c>
      <c r="B20" s="156" t="str">
        <f>IFERROR(__xludf.DUMMYFUNCTION("""COMPUTED_VALUE"""),"DOMINGO LOBRIO")</f>
        <v>DOMINGO LOBRIO</v>
      </c>
      <c r="C20" s="157" t="str">
        <f>IFERROR(__xludf.DUMMYFUNCTION("""COMPUTED_VALUE"""),"N/A")</f>
        <v>N/A</v>
      </c>
      <c r="D20" s="156"/>
      <c r="E20" s="156"/>
      <c r="F20" s="156" t="str">
        <f>IFERROR(__xludf.DUMMYFUNCTION("""COMPUTED_VALUE"""),"ACTIVE")</f>
        <v>ACTIVE</v>
      </c>
      <c r="G20" s="157" t="str">
        <f>IFERROR(__xludf.DUMMYFUNCTION("""COMPUTED_VALUE"""),"R")</f>
        <v>R</v>
      </c>
      <c r="H20" s="156" t="str">
        <f>IFERROR(__xludf.DUMMYFUNCTION("""COMPUTED_VALUE"""),"ROWENA LOBRIO")</f>
        <v>ROWENA LOBRIO</v>
      </c>
      <c r="I20" s="156"/>
      <c r="J20" s="157" t="str">
        <f>IFERROR(__xludf.DUMMYFUNCTION("""COMPUTED_VALUE"""),"BLK 49")</f>
        <v>BLK 49</v>
      </c>
    </row>
    <row r="21">
      <c r="A21" s="159">
        <f t="shared" si="1"/>
        <v>16</v>
      </c>
      <c r="B21" s="160" t="str">
        <f>IFERROR(__xludf.DUMMYFUNCTION("""COMPUTED_VALUE"""),"EFREN B. DEL ROSARIO")</f>
        <v>EFREN B. DEL ROSARIO</v>
      </c>
      <c r="C21" s="161" t="str">
        <f>IFERROR(__xludf.DUMMYFUNCTION("""COMPUTED_VALUE"""),"SENIOR")</f>
        <v>SENIOR</v>
      </c>
      <c r="D21" s="160"/>
      <c r="E21" s="160"/>
      <c r="F21" s="160" t="str">
        <f>IFERROR(__xludf.DUMMYFUNCTION("""COMPUTED_VALUE"""),"DISEASE")</f>
        <v>DISEASE</v>
      </c>
      <c r="G21" s="161" t="str">
        <f>IFERROR(__xludf.DUMMYFUNCTION("""COMPUTED_VALUE"""),"PH")</f>
        <v>PH</v>
      </c>
      <c r="H21" s="160" t="str">
        <f>IFERROR(__xludf.DUMMYFUNCTION("""COMPUTED_VALUE"""),"CLARITA D. DEL ROSARIO")</f>
        <v>CLARITA D. DEL ROSARIO</v>
      </c>
      <c r="I21" s="160" t="str">
        <f>IFERROR(__xludf.DUMMYFUNCTION("""COMPUTED_VALUE"""),"SENIOR")</f>
        <v>SENIOR</v>
      </c>
      <c r="J21" s="161" t="str">
        <f>IFERROR(__xludf.DUMMYFUNCTION("""COMPUTED_VALUE"""),"BLK 49")</f>
        <v>BLK 49</v>
      </c>
    </row>
    <row r="22">
      <c r="A22" s="155">
        <f t="shared" si="1"/>
        <v>17</v>
      </c>
      <c r="B22" s="156" t="str">
        <f>IFERROR(__xludf.DUMMYFUNCTION("""COMPUTED_VALUE"""),"ELEMER LIBED")</f>
        <v>ELEMER LIBED</v>
      </c>
      <c r="C22" s="157" t="str">
        <f>IFERROR(__xludf.DUMMYFUNCTION("""COMPUTED_VALUE"""),"N/A")</f>
        <v>N/A</v>
      </c>
      <c r="D22" s="156"/>
      <c r="E22" s="156"/>
      <c r="F22" s="156" t="str">
        <f>IFERROR(__xludf.DUMMYFUNCTION("""COMPUTED_VALUE"""),"ACTIVE")</f>
        <v>ACTIVE</v>
      </c>
      <c r="G22" s="157" t="str">
        <f>IFERROR(__xludf.DUMMYFUNCTION("""COMPUTED_VALUE"""),"PH")</f>
        <v>PH</v>
      </c>
      <c r="H22" s="156" t="str">
        <f>IFERROR(__xludf.DUMMYFUNCTION("""COMPUTED_VALUE"""),"EDENROSE APALLA")</f>
        <v>EDENROSE APALLA</v>
      </c>
      <c r="I22" s="156" t="str">
        <f>IFERROR(__xludf.DUMMYFUNCTION("""COMPUTED_VALUE"""),"4PS")</f>
        <v>4PS</v>
      </c>
      <c r="J22" s="157" t="str">
        <f>IFERROR(__xludf.DUMMYFUNCTION("""COMPUTED_VALUE"""),"BLK 49")</f>
        <v>BLK 49</v>
      </c>
    </row>
    <row r="23">
      <c r="A23" s="159">
        <f t="shared" si="1"/>
        <v>18</v>
      </c>
      <c r="B23" s="160" t="str">
        <f>IFERROR(__xludf.DUMMYFUNCTION("""COMPUTED_VALUE"""),"ELIZABETH CANAPIT")</f>
        <v>ELIZABETH CANAPIT</v>
      </c>
      <c r="C23" s="161" t="str">
        <f>IFERROR(__xludf.DUMMYFUNCTION("""COMPUTED_VALUE"""),"SENIOR")</f>
        <v>SENIOR</v>
      </c>
      <c r="D23" s="160"/>
      <c r="E23" s="160"/>
      <c r="F23" s="160" t="str">
        <f>IFERROR(__xludf.DUMMYFUNCTION("""COMPUTED_VALUE"""),"ACTIVE")</f>
        <v>ACTIVE</v>
      </c>
      <c r="G23" s="161" t="str">
        <f>IFERROR(__xludf.DUMMYFUNCTION("""COMPUTED_VALUE"""),"PH")</f>
        <v>PH</v>
      </c>
      <c r="H23" s="160"/>
      <c r="I23" s="160"/>
      <c r="J23" s="161" t="str">
        <f>IFERROR(__xludf.DUMMYFUNCTION("""COMPUTED_VALUE"""),"BLK 49")</f>
        <v>BLK 49</v>
      </c>
      <c r="L23" s="165" t="s">
        <v>87</v>
      </c>
      <c r="M23" s="76">
        <f t="shared" ref="M23:M25" si="3">COUNTIFS($G$6:G1000,L23)</f>
        <v>27</v>
      </c>
    </row>
    <row r="24">
      <c r="A24" s="155">
        <f t="shared" si="1"/>
        <v>19</v>
      </c>
      <c r="B24" s="156" t="str">
        <f>IFERROR(__xludf.DUMMYFUNCTION("""COMPUTED_VALUE"""),"ELVIRA D. OLAES")</f>
        <v>ELVIRA D. OLAES</v>
      </c>
      <c r="C24" s="157" t="str">
        <f>IFERROR(__xludf.DUMMYFUNCTION("""COMPUTED_VALUE"""),"SENIOR")</f>
        <v>SENIOR</v>
      </c>
      <c r="D24" s="156"/>
      <c r="E24" s="156"/>
      <c r="F24" s="156" t="str">
        <f>IFERROR(__xludf.DUMMYFUNCTION("""COMPUTED_VALUE"""),"ACTIVE")</f>
        <v>ACTIVE</v>
      </c>
      <c r="G24" s="157" t="str">
        <f>IFERROR(__xludf.DUMMYFUNCTION("""COMPUTED_VALUE"""),"PH")</f>
        <v>PH</v>
      </c>
      <c r="H24" s="156"/>
      <c r="I24" s="156"/>
      <c r="J24" s="157" t="str">
        <f>IFERROR(__xludf.DUMMYFUNCTION("""COMPUTED_VALUE"""),"BLK 49")</f>
        <v>BLK 49</v>
      </c>
      <c r="L24" s="165" t="s">
        <v>53</v>
      </c>
      <c r="M24" s="76">
        <f t="shared" si="3"/>
        <v>34</v>
      </c>
    </row>
    <row r="25">
      <c r="A25" s="159">
        <f t="shared" si="1"/>
        <v>20</v>
      </c>
      <c r="B25" s="160" t="str">
        <f>IFERROR(__xludf.DUMMYFUNCTION("""COMPUTED_VALUE"""),"EM VILLARINO")</f>
        <v>EM VILLARINO</v>
      </c>
      <c r="C25" s="161" t="str">
        <f>IFERROR(__xludf.DUMMYFUNCTION("""COMPUTED_VALUE"""),"N/A")</f>
        <v>N/A</v>
      </c>
      <c r="D25" s="160"/>
      <c r="E25" s="160"/>
      <c r="F25" s="160" t="str">
        <f>IFERROR(__xludf.DUMMYFUNCTION("""COMPUTED_VALUE"""),"ACTIVE")</f>
        <v>ACTIVE</v>
      </c>
      <c r="G25" s="161" t="str">
        <f>IFERROR(__xludf.DUMMYFUNCTION("""COMPUTED_VALUE"""),"R")</f>
        <v>R</v>
      </c>
      <c r="H25" s="160"/>
      <c r="I25" s="160"/>
      <c r="J25" s="161" t="str">
        <f>IFERROR(__xludf.DUMMYFUNCTION("""COMPUTED_VALUE"""),"BLK 49")</f>
        <v>BLK 49</v>
      </c>
      <c r="L25" s="165" t="s">
        <v>49</v>
      </c>
      <c r="M25" s="76">
        <f t="shared" si="3"/>
        <v>5</v>
      </c>
    </row>
    <row r="26">
      <c r="A26" s="155">
        <f t="shared" si="1"/>
        <v>21</v>
      </c>
      <c r="B26" s="156" t="str">
        <f>IFERROR(__xludf.DUMMYFUNCTION("""COMPUTED_VALUE"""),"ERWIN CANLAS")</f>
        <v>ERWIN CANLAS</v>
      </c>
      <c r="C26" s="157" t="str">
        <f>IFERROR(__xludf.DUMMYFUNCTION("""COMPUTED_VALUE"""),"N/A")</f>
        <v>N/A</v>
      </c>
      <c r="D26" s="156"/>
      <c r="E26" s="156"/>
      <c r="F26" s="156" t="str">
        <f>IFERROR(__xludf.DUMMYFUNCTION("""COMPUTED_VALUE"""),"ACTIVE")</f>
        <v>ACTIVE</v>
      </c>
      <c r="G26" s="157" t="str">
        <f>IFERROR(__xludf.DUMMYFUNCTION("""COMPUTED_VALUE"""),"R")</f>
        <v>R</v>
      </c>
      <c r="H26" s="156" t="str">
        <f>IFERROR(__xludf.DUMMYFUNCTION("""COMPUTED_VALUE"""),"LORENA ORONGAN")</f>
        <v>LORENA ORONGAN</v>
      </c>
      <c r="I26" s="156"/>
      <c r="J26" s="157" t="str">
        <f>IFERROR(__xludf.DUMMYFUNCTION("""COMPUTED_VALUE"""),"BLK 49")</f>
        <v>BLK 49</v>
      </c>
      <c r="L26" s="165" t="s">
        <v>3288</v>
      </c>
      <c r="M26" s="76">
        <f>SUM(M23:M25)</f>
        <v>66</v>
      </c>
    </row>
    <row r="27">
      <c r="A27" s="159">
        <f t="shared" si="1"/>
        <v>22</v>
      </c>
      <c r="B27" s="160" t="str">
        <f>IFERROR(__xludf.DUMMYFUNCTION("""COMPUTED_VALUE"""),"FREDERICO A. FLORANO")</f>
        <v>FREDERICO A. FLORANO</v>
      </c>
      <c r="C27" s="161" t="str">
        <f>IFERROR(__xludf.DUMMYFUNCTION("""COMPUTED_VALUE"""),"N/A")</f>
        <v>N/A</v>
      </c>
      <c r="D27" s="160"/>
      <c r="E27" s="160"/>
      <c r="F27" s="160" t="str">
        <f>IFERROR(__xludf.DUMMYFUNCTION("""COMPUTED_VALUE"""),"ACTIVE")</f>
        <v>ACTIVE</v>
      </c>
      <c r="G27" s="161" t="str">
        <f>IFERROR(__xludf.DUMMYFUNCTION("""COMPUTED_VALUE"""),"PH")</f>
        <v>PH</v>
      </c>
      <c r="H27" s="160" t="str">
        <f>IFERROR(__xludf.DUMMYFUNCTION("""COMPUTED_VALUE"""),"IRENE JOY JOVEN")</f>
        <v>IRENE JOY JOVEN</v>
      </c>
      <c r="I27" s="160" t="str">
        <f>IFERROR(__xludf.DUMMYFUNCTION("""COMPUTED_VALUE"""),"BRGY. OFFICIALS")</f>
        <v>BRGY. OFFICIALS</v>
      </c>
      <c r="J27" s="161" t="str">
        <f>IFERROR(__xludf.DUMMYFUNCTION("""COMPUTED_VALUE"""),"BLK 49")</f>
        <v>BLK 49</v>
      </c>
    </row>
    <row r="28">
      <c r="A28" s="155">
        <f t="shared" si="1"/>
        <v>23</v>
      </c>
      <c r="B28" s="156" t="str">
        <f>IFERROR(__xludf.DUMMYFUNCTION("""COMPUTED_VALUE"""),"GELBERT MARANTAL")</f>
        <v>GELBERT MARANTAL</v>
      </c>
      <c r="C28" s="157" t="str">
        <f>IFERROR(__xludf.DUMMYFUNCTION("""COMPUTED_VALUE"""),"BRGY. OFFICIALS")</f>
        <v>BRGY. OFFICIALS</v>
      </c>
      <c r="D28" s="156"/>
      <c r="E28" s="156"/>
      <c r="F28" s="156" t="str">
        <f>IFERROR(__xludf.DUMMYFUNCTION("""COMPUTED_VALUE"""),"ACTIVE")</f>
        <v>ACTIVE</v>
      </c>
      <c r="G28" s="157" t="str">
        <f>IFERROR(__xludf.DUMMYFUNCTION("""COMPUTED_VALUE"""),"PH")</f>
        <v>PH</v>
      </c>
      <c r="H28" s="156" t="str">
        <f>IFERROR(__xludf.DUMMYFUNCTION("""COMPUTED_VALUE"""),"JOSEPHENE MARANTAL")</f>
        <v>JOSEPHENE MARANTAL</v>
      </c>
      <c r="I28" s="156" t="str">
        <f>IFERROR(__xludf.DUMMYFUNCTION("""COMPUTED_VALUE"""),"4PS")</f>
        <v>4PS</v>
      </c>
      <c r="J28" s="157" t="str">
        <f>IFERROR(__xludf.DUMMYFUNCTION("""COMPUTED_VALUE"""),"BLK 49")</f>
        <v>BLK 49</v>
      </c>
    </row>
    <row r="29">
      <c r="A29" s="159">
        <f t="shared" si="1"/>
        <v>24</v>
      </c>
      <c r="B29" s="160" t="str">
        <f>IFERROR(__xludf.DUMMYFUNCTION("""COMPUTED_VALUE"""),"GERALD DEL ROSARIO")</f>
        <v>GERALD DEL ROSARIO</v>
      </c>
      <c r="C29" s="161" t="str">
        <f>IFERROR(__xludf.DUMMYFUNCTION("""COMPUTED_VALUE"""),"N/A")</f>
        <v>N/A</v>
      </c>
      <c r="D29" s="160"/>
      <c r="E29" s="160"/>
      <c r="F29" s="160" t="str">
        <f>IFERROR(__xludf.DUMMYFUNCTION("""COMPUTED_VALUE"""),"ACTIVE")</f>
        <v>ACTIVE</v>
      </c>
      <c r="G29" s="161" t="str">
        <f>IFERROR(__xludf.DUMMYFUNCTION("""COMPUTED_VALUE"""),"R")</f>
        <v>R</v>
      </c>
      <c r="H29" s="160" t="str">
        <f>IFERROR(__xludf.DUMMYFUNCTION("""COMPUTED_VALUE"""),"MARY JOY GUINAN")</f>
        <v>MARY JOY GUINAN</v>
      </c>
      <c r="I29" s="160"/>
      <c r="J29" s="161" t="str">
        <f>IFERROR(__xludf.DUMMYFUNCTION("""COMPUTED_VALUE"""),"BLK 49")</f>
        <v>BLK 49</v>
      </c>
    </row>
    <row r="30">
      <c r="A30" s="155">
        <f t="shared" si="1"/>
        <v>25</v>
      </c>
      <c r="B30" s="156" t="str">
        <f>IFERROR(__xludf.DUMMYFUNCTION("""COMPUTED_VALUE"""),"ISABEL AGUANTA")</f>
        <v>ISABEL AGUANTA</v>
      </c>
      <c r="C30" s="157" t="str">
        <f>IFERROR(__xludf.DUMMYFUNCTION("""COMPUTED_VALUE"""),"N/A")</f>
        <v>N/A</v>
      </c>
      <c r="D30" s="156"/>
      <c r="E30" s="156"/>
      <c r="F30" s="156" t="str">
        <f>IFERROR(__xludf.DUMMYFUNCTION("""COMPUTED_VALUE"""),"ACTIVE")</f>
        <v>ACTIVE</v>
      </c>
      <c r="G30" s="157" t="str">
        <f>IFERROR(__xludf.DUMMYFUNCTION("""COMPUTED_VALUE"""),"R")</f>
        <v>R</v>
      </c>
      <c r="H30" s="156"/>
      <c r="I30" s="156"/>
      <c r="J30" s="157" t="str">
        <f>IFERROR(__xludf.DUMMYFUNCTION("""COMPUTED_VALUE"""),"BLK 49")</f>
        <v>BLK 49</v>
      </c>
    </row>
    <row r="31">
      <c r="A31" s="159">
        <f t="shared" si="1"/>
        <v>26</v>
      </c>
      <c r="B31" s="160" t="str">
        <f>IFERROR(__xludf.DUMMYFUNCTION("""COMPUTED_VALUE"""),"JAMES ADAM S. VILLARUZ")</f>
        <v>JAMES ADAM S. VILLARUZ</v>
      </c>
      <c r="C31" s="161" t="str">
        <f>IFERROR(__xludf.DUMMYFUNCTION("""COMPUTED_VALUE"""),"N/A")</f>
        <v>N/A</v>
      </c>
      <c r="D31" s="160"/>
      <c r="E31" s="160"/>
      <c r="F31" s="160" t="str">
        <f>IFERROR(__xludf.DUMMYFUNCTION("""COMPUTED_VALUE"""),"UNREGISTERED")</f>
        <v>UNREGISTERED</v>
      </c>
      <c r="G31" s="161" t="str">
        <f>IFERROR(__xludf.DUMMYFUNCTION("""COMPUTED_VALUE"""),"R")</f>
        <v>R</v>
      </c>
      <c r="H31" s="160" t="str">
        <f>IFERROR(__xludf.DUMMYFUNCTION("""COMPUTED_VALUE"""),"SHARWIN MAY E. PASCUAL")</f>
        <v>SHARWIN MAY E. PASCUAL</v>
      </c>
      <c r="I31" s="160"/>
      <c r="J31" s="161" t="str">
        <f>IFERROR(__xludf.DUMMYFUNCTION("""COMPUTED_VALUE"""),"BLK 49")</f>
        <v>BLK 49</v>
      </c>
    </row>
    <row r="32">
      <c r="A32" s="155">
        <f t="shared" si="1"/>
        <v>27</v>
      </c>
      <c r="B32" s="156" t="str">
        <f>IFERROR(__xludf.DUMMYFUNCTION("""COMPUTED_VALUE"""),"JANET LOPINIA")</f>
        <v>JANET LOPINIA</v>
      </c>
      <c r="C32" s="157" t="str">
        <f>IFERROR(__xludf.DUMMYFUNCTION("""COMPUTED_VALUE"""),"SENIOR")</f>
        <v>SENIOR</v>
      </c>
      <c r="D32" s="156"/>
      <c r="E32" s="156"/>
      <c r="F32" s="156" t="str">
        <f>IFERROR(__xludf.DUMMYFUNCTION("""COMPUTED_VALUE"""),"ACTIVE")</f>
        <v>ACTIVE</v>
      </c>
      <c r="G32" s="157" t="str">
        <f>IFERROR(__xludf.DUMMYFUNCTION("""COMPUTED_VALUE"""),"PH")</f>
        <v>PH</v>
      </c>
      <c r="H32" s="156"/>
      <c r="I32" s="156"/>
      <c r="J32" s="157" t="str">
        <f>IFERROR(__xludf.DUMMYFUNCTION("""COMPUTED_VALUE"""),"BLK 49")</f>
        <v>BLK 49</v>
      </c>
    </row>
    <row r="33">
      <c r="A33" s="159">
        <f t="shared" si="1"/>
        <v>28</v>
      </c>
      <c r="B33" s="160" t="str">
        <f>IFERROR(__xludf.DUMMYFUNCTION("""COMPUTED_VALUE"""),"JANNE MARBERT MAÑAS")</f>
        <v>JANNE MARBERT MAÑAS</v>
      </c>
      <c r="C33" s="161" t="str">
        <f>IFERROR(__xludf.DUMMYFUNCTION("""COMPUTED_VALUE"""),"N/A")</f>
        <v>N/A</v>
      </c>
      <c r="D33" s="160"/>
      <c r="E33" s="160"/>
      <c r="F33" s="160" t="str">
        <f>IFERROR(__xludf.DUMMYFUNCTION("""COMPUTED_VALUE"""),"UNREGISTERED")</f>
        <v>UNREGISTERED</v>
      </c>
      <c r="G33" s="161" t="str">
        <f>IFERROR(__xludf.DUMMYFUNCTION("""COMPUTED_VALUE"""),"N/A")</f>
        <v>N/A</v>
      </c>
      <c r="H33" s="160"/>
      <c r="I33" s="160"/>
      <c r="J33" s="161" t="str">
        <f>IFERROR(__xludf.DUMMYFUNCTION("""COMPUTED_VALUE"""),"BLK 49")</f>
        <v>BLK 49</v>
      </c>
    </row>
    <row r="34">
      <c r="A34" s="155">
        <f t="shared" si="1"/>
        <v>29</v>
      </c>
      <c r="B34" s="156" t="str">
        <f>IFERROR(__xludf.DUMMYFUNCTION("""COMPUTED_VALUE"""),"JAYSON DEL ROSARIO")</f>
        <v>JAYSON DEL ROSARIO</v>
      </c>
      <c r="C34" s="157" t="str">
        <f>IFERROR(__xludf.DUMMYFUNCTION("""COMPUTED_VALUE"""),"N/A")</f>
        <v>N/A</v>
      </c>
      <c r="D34" s="156"/>
      <c r="E34" s="156"/>
      <c r="F34" s="156" t="str">
        <f>IFERROR(__xludf.DUMMYFUNCTION("""COMPUTED_VALUE"""),"ACTIVE")</f>
        <v>ACTIVE</v>
      </c>
      <c r="G34" s="157" t="str">
        <f>IFERROR(__xludf.DUMMYFUNCTION("""COMPUTED_VALUE"""),"PH")</f>
        <v>PH</v>
      </c>
      <c r="H34" s="156"/>
      <c r="I34" s="156"/>
      <c r="J34" s="157" t="str">
        <f>IFERROR(__xludf.DUMMYFUNCTION("""COMPUTED_VALUE"""),"BLK 49")</f>
        <v>BLK 49</v>
      </c>
    </row>
    <row r="35">
      <c r="A35" s="159">
        <f t="shared" si="1"/>
        <v>30</v>
      </c>
      <c r="B35" s="160" t="str">
        <f>IFERROR(__xludf.DUMMYFUNCTION("""COMPUTED_VALUE"""),"JB VILLARINO")</f>
        <v>JB VILLARINO</v>
      </c>
      <c r="C35" s="161" t="str">
        <f>IFERROR(__xludf.DUMMYFUNCTION("""COMPUTED_VALUE"""),"N/A")</f>
        <v>N/A</v>
      </c>
      <c r="D35" s="160"/>
      <c r="E35" s="160"/>
      <c r="F35" s="160" t="str">
        <f>IFERROR(__xludf.DUMMYFUNCTION("""COMPUTED_VALUE"""),"ACTIVE")</f>
        <v>ACTIVE</v>
      </c>
      <c r="G35" s="161" t="str">
        <f>IFERROR(__xludf.DUMMYFUNCTION("""COMPUTED_VALUE"""),"R")</f>
        <v>R</v>
      </c>
      <c r="H35" s="160" t="str">
        <f>IFERROR(__xludf.DUMMYFUNCTION("""COMPUTED_VALUE"""),"TESSA")</f>
        <v>TESSA</v>
      </c>
      <c r="I35" s="160"/>
      <c r="J35" s="161" t="str">
        <f>IFERROR(__xludf.DUMMYFUNCTION("""COMPUTED_VALUE"""),"BLK 49")</f>
        <v>BLK 49</v>
      </c>
    </row>
    <row r="36">
      <c r="A36" s="155">
        <f t="shared" si="1"/>
        <v>31</v>
      </c>
      <c r="B36" s="156" t="str">
        <f>IFERROR(__xludf.DUMMYFUNCTION("""COMPUTED_VALUE"""),"JEFFREY D. CUNANAN")</f>
        <v>JEFFREY D. CUNANAN</v>
      </c>
      <c r="C36" s="157" t="str">
        <f>IFERROR(__xludf.DUMMYFUNCTION("""COMPUTED_VALUE"""),"N/A")</f>
        <v>N/A</v>
      </c>
      <c r="D36" s="156"/>
      <c r="E36" s="156"/>
      <c r="F36" s="156" t="str">
        <f>IFERROR(__xludf.DUMMYFUNCTION("""COMPUTED_VALUE"""),"ACTIVE")</f>
        <v>ACTIVE</v>
      </c>
      <c r="G36" s="157" t="str">
        <f>IFERROR(__xludf.DUMMYFUNCTION("""COMPUTED_VALUE"""),"R")</f>
        <v>R</v>
      </c>
      <c r="H36" s="156" t="str">
        <f>IFERROR(__xludf.DUMMYFUNCTION("""COMPUTED_VALUE"""),"ANALYN D. CUNANAN")</f>
        <v>ANALYN D. CUNANAN</v>
      </c>
      <c r="I36" s="156"/>
      <c r="J36" s="157" t="str">
        <f>IFERROR(__xludf.DUMMYFUNCTION("""COMPUTED_VALUE"""),"BLK 49")</f>
        <v>BLK 49</v>
      </c>
    </row>
    <row r="37">
      <c r="A37" s="159">
        <f t="shared" si="1"/>
        <v>32</v>
      </c>
      <c r="B37" s="160" t="str">
        <f>IFERROR(__xludf.DUMMYFUNCTION("""COMPUTED_VALUE"""),"JENNY M. ARGOTA")</f>
        <v>JENNY M. ARGOTA</v>
      </c>
      <c r="C37" s="161" t="str">
        <f>IFERROR(__xludf.DUMMYFUNCTION("""COMPUTED_VALUE"""),"N/A")</f>
        <v>N/A</v>
      </c>
      <c r="D37" s="160"/>
      <c r="E37" s="160"/>
      <c r="F37" s="160" t="str">
        <f>IFERROR(__xludf.DUMMYFUNCTION("""COMPUTED_VALUE"""),"ACTIVE")</f>
        <v>ACTIVE</v>
      </c>
      <c r="G37" s="161" t="str">
        <f>IFERROR(__xludf.DUMMYFUNCTION("""COMPUTED_VALUE"""),"R")</f>
        <v>R</v>
      </c>
      <c r="H37" s="160"/>
      <c r="I37" s="160"/>
      <c r="J37" s="161" t="str">
        <f>IFERROR(__xludf.DUMMYFUNCTION("""COMPUTED_VALUE"""),"BLK 49")</f>
        <v>BLK 49</v>
      </c>
    </row>
    <row r="38">
      <c r="A38" s="155">
        <f t="shared" si="1"/>
        <v>33</v>
      </c>
      <c r="B38" s="156" t="str">
        <f>IFERROR(__xludf.DUMMYFUNCTION("""COMPUTED_VALUE"""),"JEROME DEL ROSARIO")</f>
        <v>JEROME DEL ROSARIO</v>
      </c>
      <c r="C38" s="157" t="str">
        <f>IFERROR(__xludf.DUMMYFUNCTION("""COMPUTED_VALUE"""),"N/A")</f>
        <v>N/A</v>
      </c>
      <c r="D38" s="156"/>
      <c r="E38" s="156"/>
      <c r="F38" s="156" t="str">
        <f>IFERROR(__xludf.DUMMYFUNCTION("""COMPUTED_VALUE"""),"ACTIVE")</f>
        <v>ACTIVE</v>
      </c>
      <c r="G38" s="157" t="str">
        <f>IFERROR(__xludf.DUMMYFUNCTION("""COMPUTED_VALUE"""),"R")</f>
        <v>R</v>
      </c>
      <c r="H38" s="156" t="str">
        <f>IFERROR(__xludf.DUMMYFUNCTION("""COMPUTED_VALUE"""),"NICKA DEL ROSARIO")</f>
        <v>NICKA DEL ROSARIO</v>
      </c>
      <c r="I38" s="156"/>
      <c r="J38" s="157" t="str">
        <f>IFERROR(__xludf.DUMMYFUNCTION("""COMPUTED_VALUE"""),"BLK 49")</f>
        <v>BLK 49</v>
      </c>
    </row>
    <row r="39">
      <c r="A39" s="159">
        <f t="shared" si="1"/>
        <v>34</v>
      </c>
      <c r="B39" s="160" t="str">
        <f>IFERROR(__xludf.DUMMYFUNCTION("""COMPUTED_VALUE"""),"JESUS SILVA")</f>
        <v>JESUS SILVA</v>
      </c>
      <c r="C39" s="161" t="str">
        <f>IFERROR(__xludf.DUMMYFUNCTION("""COMPUTED_VALUE"""),"SENIOR")</f>
        <v>SENIOR</v>
      </c>
      <c r="D39" s="160"/>
      <c r="E39" s="160"/>
      <c r="F39" s="160" t="str">
        <f>IFERROR(__xludf.DUMMYFUNCTION("""COMPUTED_VALUE"""),"ACTIVE")</f>
        <v>ACTIVE</v>
      </c>
      <c r="G39" s="161" t="str">
        <f>IFERROR(__xludf.DUMMYFUNCTION("""COMPUTED_VALUE"""),"PH")</f>
        <v>PH</v>
      </c>
      <c r="H39" s="160"/>
      <c r="I39" s="160"/>
      <c r="J39" s="161" t="str">
        <f>IFERROR(__xludf.DUMMYFUNCTION("""COMPUTED_VALUE"""),"BLK 49")</f>
        <v>BLK 49</v>
      </c>
    </row>
    <row r="40">
      <c r="A40" s="155">
        <f t="shared" si="1"/>
        <v>35</v>
      </c>
      <c r="B40" s="156" t="str">
        <f>IFERROR(__xludf.DUMMYFUNCTION("""COMPUTED_VALUE"""),"JHON DANIEL C. ARIÑO")</f>
        <v>JHON DANIEL C. ARIÑO</v>
      </c>
      <c r="C40" s="157" t="str">
        <f>IFERROR(__xludf.DUMMYFUNCTION("""COMPUTED_VALUE"""),"N/A")</f>
        <v>N/A</v>
      </c>
      <c r="D40" s="156"/>
      <c r="E40" s="156"/>
      <c r="F40" s="156" t="str">
        <f>IFERROR(__xludf.DUMMYFUNCTION("""COMPUTED_VALUE"""),"UNREGISTERED")</f>
        <v>UNREGISTERED</v>
      </c>
      <c r="G40" s="157" t="str">
        <f>IFERROR(__xludf.DUMMYFUNCTION("""COMPUTED_VALUE"""),"PH")</f>
        <v>PH</v>
      </c>
      <c r="H40" s="156" t="str">
        <f>IFERROR(__xludf.DUMMYFUNCTION("""COMPUTED_VALUE"""),"ERCINDA S. CABRERA")</f>
        <v>ERCINDA S. CABRERA</v>
      </c>
      <c r="I40" s="156" t="str">
        <f>IFERROR(__xludf.DUMMYFUNCTION("""COMPUTED_VALUE"""),"SENIOR")</f>
        <v>SENIOR</v>
      </c>
      <c r="J40" s="157" t="str">
        <f>IFERROR(__xludf.DUMMYFUNCTION("""COMPUTED_VALUE"""),"BLK 49")</f>
        <v>BLK 49</v>
      </c>
    </row>
    <row r="41">
      <c r="A41" s="159">
        <f t="shared" si="1"/>
        <v>36</v>
      </c>
      <c r="B41" s="160" t="str">
        <f>IFERROR(__xludf.DUMMYFUNCTION("""COMPUTED_VALUE"""),"JHON M. PAYUNAN")</f>
        <v>JHON M. PAYUNAN</v>
      </c>
      <c r="C41" s="161" t="str">
        <f>IFERROR(__xludf.DUMMYFUNCTION("""COMPUTED_VALUE"""),"THIRD GEN")</f>
        <v>THIRD GEN</v>
      </c>
      <c r="D41" s="160"/>
      <c r="E41" s="160"/>
      <c r="F41" s="160" t="str">
        <f>IFERROR(__xludf.DUMMYFUNCTION("""COMPUTED_VALUE"""),"ACTIVE")</f>
        <v>ACTIVE</v>
      </c>
      <c r="G41" s="161" t="str">
        <f>IFERROR(__xludf.DUMMYFUNCTION("""COMPUTED_VALUE"""),"R")</f>
        <v>R</v>
      </c>
      <c r="H41" s="160" t="str">
        <f>IFERROR(__xludf.DUMMYFUNCTION("""COMPUTED_VALUE"""),"CRISANTA A. PAYUNAN")</f>
        <v>CRISANTA A. PAYUNAN</v>
      </c>
      <c r="I41" s="160" t="str">
        <f>IFERROR(__xludf.DUMMYFUNCTION("""COMPUTED_VALUE"""),"KDBM")</f>
        <v>KDBM</v>
      </c>
      <c r="J41" s="161" t="str">
        <f>IFERROR(__xludf.DUMMYFUNCTION("""COMPUTED_VALUE"""),"BLK 49")</f>
        <v>BLK 49</v>
      </c>
    </row>
    <row r="42">
      <c r="A42" s="155">
        <f t="shared" si="1"/>
        <v>37</v>
      </c>
      <c r="B42" s="156" t="str">
        <f>IFERROR(__xludf.DUMMYFUNCTION("""COMPUTED_VALUE"""),"JOMEL ARGOTA")</f>
        <v>JOMEL ARGOTA</v>
      </c>
      <c r="C42" s="157" t="str">
        <f>IFERROR(__xludf.DUMMYFUNCTION("""COMPUTED_VALUE"""),"N/A")</f>
        <v>N/A</v>
      </c>
      <c r="D42" s="156"/>
      <c r="E42" s="156"/>
      <c r="F42" s="156" t="str">
        <f>IFERROR(__xludf.DUMMYFUNCTION("""COMPUTED_VALUE"""),"ACTIVE")</f>
        <v>ACTIVE</v>
      </c>
      <c r="G42" s="157" t="str">
        <f>IFERROR(__xludf.DUMMYFUNCTION("""COMPUTED_VALUE"""),"R")</f>
        <v>R</v>
      </c>
      <c r="H42" s="156" t="str">
        <f>IFERROR(__xludf.DUMMYFUNCTION("""COMPUTED_VALUE"""),"ERIKA DELA CRUZ")</f>
        <v>ERIKA DELA CRUZ</v>
      </c>
      <c r="I42" s="156"/>
      <c r="J42" s="157" t="str">
        <f>IFERROR(__xludf.DUMMYFUNCTION("""COMPUTED_VALUE"""),"BLK 49")</f>
        <v>BLK 49</v>
      </c>
    </row>
    <row r="43">
      <c r="A43" s="159">
        <f t="shared" si="1"/>
        <v>38</v>
      </c>
      <c r="B43" s="160" t="str">
        <f>IFERROR(__xludf.DUMMYFUNCTION("""COMPUTED_VALUE"""),"JOSELITO CANAPIT")</f>
        <v>JOSELITO CANAPIT</v>
      </c>
      <c r="C43" s="161" t="str">
        <f>IFERROR(__xludf.DUMMYFUNCTION("""COMPUTED_VALUE"""),"N/A")</f>
        <v>N/A</v>
      </c>
      <c r="D43" s="160"/>
      <c r="E43" s="160"/>
      <c r="F43" s="160" t="str">
        <f>IFERROR(__xludf.DUMMYFUNCTION("""COMPUTED_VALUE"""),"ACTIVE")</f>
        <v>ACTIVE</v>
      </c>
      <c r="G43" s="161" t="str">
        <f>IFERROR(__xludf.DUMMYFUNCTION("""COMPUTED_VALUE"""),"R")</f>
        <v>R</v>
      </c>
      <c r="H43" s="160" t="str">
        <f>IFERROR(__xludf.DUMMYFUNCTION("""COMPUTED_VALUE"""),"APRIL DIONISIO")</f>
        <v>APRIL DIONISIO</v>
      </c>
      <c r="I43" s="160"/>
      <c r="J43" s="161" t="str">
        <f>IFERROR(__xludf.DUMMYFUNCTION("""COMPUTED_VALUE"""),"BLK 49")</f>
        <v>BLK 49</v>
      </c>
    </row>
    <row r="44">
      <c r="A44" s="155">
        <f t="shared" si="1"/>
        <v>39</v>
      </c>
      <c r="B44" s="156" t="str">
        <f>IFERROR(__xludf.DUMMYFUNCTION("""COMPUTED_VALUE"""),"JOSELITO LOBRIO")</f>
        <v>JOSELITO LOBRIO</v>
      </c>
      <c r="C44" s="157" t="str">
        <f>IFERROR(__xludf.DUMMYFUNCTION("""COMPUTED_VALUE"""),"N/A")</f>
        <v>N/A</v>
      </c>
      <c r="D44" s="156"/>
      <c r="E44" s="156"/>
      <c r="F44" s="156" t="str">
        <f>IFERROR(__xludf.DUMMYFUNCTION("""COMPUTED_VALUE"""),"ACTIVE")</f>
        <v>ACTIVE</v>
      </c>
      <c r="G44" s="157" t="str">
        <f>IFERROR(__xludf.DUMMYFUNCTION("""COMPUTED_VALUE"""),"R")</f>
        <v>R</v>
      </c>
      <c r="H44" s="156"/>
      <c r="I44" s="156"/>
      <c r="J44" s="157" t="str">
        <f>IFERROR(__xludf.DUMMYFUNCTION("""COMPUTED_VALUE"""),"BLK 49")</f>
        <v>BLK 49</v>
      </c>
    </row>
    <row r="45">
      <c r="A45" s="159">
        <f t="shared" si="1"/>
        <v>40</v>
      </c>
      <c r="B45" s="160" t="str">
        <f>IFERROR(__xludf.DUMMYFUNCTION("""COMPUTED_VALUE"""),"LAURIANO P. SANTOS JR.")</f>
        <v>LAURIANO P. SANTOS JR.</v>
      </c>
      <c r="C45" s="161" t="str">
        <f>IFERROR(__xludf.DUMMYFUNCTION("""COMPUTED_VALUE"""),"N/A")</f>
        <v>N/A</v>
      </c>
      <c r="D45" s="160"/>
      <c r="E45" s="160"/>
      <c r="F45" s="160" t="str">
        <f>IFERROR(__xludf.DUMMYFUNCTION("""COMPUTED_VALUE"""),"UNREGISTERED")</f>
        <v>UNREGISTERED</v>
      </c>
      <c r="G45" s="161" t="str">
        <f>IFERROR(__xludf.DUMMYFUNCTION("""COMPUTED_VALUE"""),"R")</f>
        <v>R</v>
      </c>
      <c r="H45" s="160" t="str">
        <f>IFERROR(__xludf.DUMMYFUNCTION("""COMPUTED_VALUE"""),"MYLA D. SANTOS")</f>
        <v>MYLA D. SANTOS</v>
      </c>
      <c r="I45" s="160"/>
      <c r="J45" s="161" t="str">
        <f>IFERROR(__xludf.DUMMYFUNCTION("""COMPUTED_VALUE"""),"BLK 49")</f>
        <v>BLK 49</v>
      </c>
    </row>
    <row r="46">
      <c r="A46" s="155">
        <f t="shared" si="1"/>
        <v>41</v>
      </c>
      <c r="B46" s="156" t="str">
        <f>IFERROR(__xludf.DUMMYFUNCTION("""COMPUTED_VALUE"""),"LAURICE H. ROLDAN")</f>
        <v>LAURICE H. ROLDAN</v>
      </c>
      <c r="C46" s="157" t="str">
        <f>IFERROR(__xludf.DUMMYFUNCTION("""COMPUTED_VALUE"""),"N/A")</f>
        <v>N/A</v>
      </c>
      <c r="D46" s="156"/>
      <c r="E46" s="156"/>
      <c r="F46" s="156" t="str">
        <f>IFERROR(__xludf.DUMMYFUNCTION("""COMPUTED_VALUE"""),"ACTIVE")</f>
        <v>ACTIVE</v>
      </c>
      <c r="G46" s="157" t="str">
        <f>IFERROR(__xludf.DUMMYFUNCTION("""COMPUTED_VALUE"""),"R")</f>
        <v>R</v>
      </c>
      <c r="H46" s="156"/>
      <c r="I46" s="156"/>
      <c r="J46" s="157" t="str">
        <f>IFERROR(__xludf.DUMMYFUNCTION("""COMPUTED_VALUE"""),"BLK 49")</f>
        <v>BLK 49</v>
      </c>
    </row>
    <row r="47">
      <c r="A47" s="159">
        <f t="shared" si="1"/>
        <v>42</v>
      </c>
      <c r="B47" s="160" t="str">
        <f>IFERROR(__xludf.DUMMYFUNCTION("""COMPUTED_VALUE"""),"LENNY VILLARINO")</f>
        <v>LENNY VILLARINO</v>
      </c>
      <c r="C47" s="161" t="str">
        <f>IFERROR(__xludf.DUMMYFUNCTION("""COMPUTED_VALUE"""),"SENIOR")</f>
        <v>SENIOR</v>
      </c>
      <c r="D47" s="160"/>
      <c r="E47" s="160"/>
      <c r="F47" s="160" t="str">
        <f>IFERROR(__xludf.DUMMYFUNCTION("""COMPUTED_VALUE"""),"ACTIVE")</f>
        <v>ACTIVE</v>
      </c>
      <c r="G47" s="161" t="str">
        <f>IFERROR(__xludf.DUMMYFUNCTION("""COMPUTED_VALUE"""),"PH")</f>
        <v>PH</v>
      </c>
      <c r="H47" s="160"/>
      <c r="I47" s="160"/>
      <c r="J47" s="161" t="str">
        <f>IFERROR(__xludf.DUMMYFUNCTION("""COMPUTED_VALUE"""),"BLK 49")</f>
        <v>BLK 49</v>
      </c>
    </row>
    <row r="48">
      <c r="A48" s="155">
        <f t="shared" si="1"/>
        <v>43</v>
      </c>
      <c r="B48" s="156" t="str">
        <f>IFERROR(__xludf.DUMMYFUNCTION("""COMPUTED_VALUE"""),"LIZA LOBRIO")</f>
        <v>LIZA LOBRIO</v>
      </c>
      <c r="C48" s="157" t="str">
        <f>IFERROR(__xludf.DUMMYFUNCTION("""COMPUTED_VALUE"""),"KDBM")</f>
        <v>KDBM</v>
      </c>
      <c r="D48" s="156"/>
      <c r="E48" s="156"/>
      <c r="F48" s="156" t="str">
        <f>IFERROR(__xludf.DUMMYFUNCTION("""COMPUTED_VALUE"""),"INACTIVE")</f>
        <v>INACTIVE</v>
      </c>
      <c r="G48" s="157" t="str">
        <f>IFERROR(__xludf.DUMMYFUNCTION("""COMPUTED_VALUE"""),"N/A")</f>
        <v>N/A</v>
      </c>
      <c r="H48" s="156"/>
      <c r="I48" s="156"/>
      <c r="J48" s="157" t="str">
        <f>IFERROR(__xludf.DUMMYFUNCTION("""COMPUTED_VALUE"""),"BLK 49")</f>
        <v>BLK 49</v>
      </c>
    </row>
    <row r="49">
      <c r="A49" s="159">
        <f t="shared" si="1"/>
        <v>44</v>
      </c>
      <c r="B49" s="160" t="str">
        <f>IFERROR(__xludf.DUMMYFUNCTION("""COMPUTED_VALUE"""),"LOURDES C. CALADIAO")</f>
        <v>LOURDES C. CALADIAO</v>
      </c>
      <c r="C49" s="161" t="str">
        <f>IFERROR(__xludf.DUMMYFUNCTION("""COMPUTED_VALUE"""),"SENIOR")</f>
        <v>SENIOR</v>
      </c>
      <c r="D49" s="160"/>
      <c r="E49" s="160"/>
      <c r="F49" s="160" t="str">
        <f>IFERROR(__xludf.DUMMYFUNCTION("""COMPUTED_VALUE"""),"ACTIVE")</f>
        <v>ACTIVE</v>
      </c>
      <c r="G49" s="161" t="str">
        <f>IFERROR(__xludf.DUMMYFUNCTION("""COMPUTED_VALUE"""),"PH")</f>
        <v>PH</v>
      </c>
      <c r="H49" s="160"/>
      <c r="I49" s="160"/>
      <c r="J49" s="161" t="str">
        <f>IFERROR(__xludf.DUMMYFUNCTION("""COMPUTED_VALUE"""),"BLK 49")</f>
        <v>BLK 49</v>
      </c>
    </row>
    <row r="50">
      <c r="A50" s="155">
        <f t="shared" si="1"/>
        <v>45</v>
      </c>
      <c r="B50" s="156" t="str">
        <f>IFERROR(__xludf.DUMMYFUNCTION("""COMPUTED_VALUE"""),"MARIA BRENDA R. AGOTE")</f>
        <v>MARIA BRENDA R. AGOTE</v>
      </c>
      <c r="C50" s="157" t="str">
        <f>IFERROR(__xludf.DUMMYFUNCTION("""COMPUTED_VALUE"""),"N/A")</f>
        <v>N/A</v>
      </c>
      <c r="D50" s="156"/>
      <c r="E50" s="156"/>
      <c r="F50" s="156" t="str">
        <f>IFERROR(__xludf.DUMMYFUNCTION("""COMPUTED_VALUE"""),"UNREGISTERED")</f>
        <v>UNREGISTERED</v>
      </c>
      <c r="G50" s="157" t="str">
        <f>IFERROR(__xludf.DUMMYFUNCTION("""COMPUTED_VALUE"""),"N/A")</f>
        <v>N/A</v>
      </c>
      <c r="H50" s="156"/>
      <c r="I50" s="156"/>
      <c r="J50" s="157" t="str">
        <f>IFERROR(__xludf.DUMMYFUNCTION("""COMPUTED_VALUE"""),"BLK 49")</f>
        <v>BLK 49</v>
      </c>
    </row>
    <row r="51">
      <c r="A51" s="159">
        <f t="shared" si="1"/>
        <v>46</v>
      </c>
      <c r="B51" s="160" t="str">
        <f>IFERROR(__xludf.DUMMYFUNCTION("""COMPUTED_VALUE"""),"MARSEDILLO GREGORIO")</f>
        <v>MARSEDILLO GREGORIO</v>
      </c>
      <c r="C51" s="161" t="str">
        <f>IFERROR(__xludf.DUMMYFUNCTION("""COMPUTED_VALUE"""),"N/A")</f>
        <v>N/A</v>
      </c>
      <c r="D51" s="160"/>
      <c r="E51" s="160"/>
      <c r="F51" s="160" t="str">
        <f>IFERROR(__xludf.DUMMYFUNCTION("""COMPUTED_VALUE"""),"ACTIVE")</f>
        <v>ACTIVE</v>
      </c>
      <c r="G51" s="161" t="str">
        <f>IFERROR(__xludf.DUMMYFUNCTION("""COMPUTED_VALUE"""),"R")</f>
        <v>R</v>
      </c>
      <c r="H51" s="160" t="str">
        <f>IFERROR(__xludf.DUMMYFUNCTION("""COMPUTED_VALUE"""),"AGNES GREGORIO")</f>
        <v>AGNES GREGORIO</v>
      </c>
      <c r="I51" s="160" t="str">
        <f>IFERROR(__xludf.DUMMYFUNCTION("""COMPUTED_VALUE"""),"KDBM")</f>
        <v>KDBM</v>
      </c>
      <c r="J51" s="161" t="str">
        <f>IFERROR(__xludf.DUMMYFUNCTION("""COMPUTED_VALUE"""),"BLK 49")</f>
        <v>BLK 49</v>
      </c>
    </row>
    <row r="52">
      <c r="A52" s="155">
        <f t="shared" si="1"/>
        <v>47</v>
      </c>
      <c r="B52" s="156" t="str">
        <f>IFERROR(__xludf.DUMMYFUNCTION("""COMPUTED_VALUE"""),"MARY YNDELLCELLE GREGORIO")</f>
        <v>MARY YNDELLCELLE GREGORIO</v>
      </c>
      <c r="C52" s="157" t="str">
        <f>IFERROR(__xludf.DUMMYFUNCTION("""COMPUTED_VALUE"""),"N/A")</f>
        <v>N/A</v>
      </c>
      <c r="D52" s="156"/>
      <c r="E52" s="156"/>
      <c r="F52" s="156" t="str">
        <f>IFERROR(__xludf.DUMMYFUNCTION("""COMPUTED_VALUE"""),"ACTIVE")</f>
        <v>ACTIVE</v>
      </c>
      <c r="G52" s="157" t="str">
        <f>IFERROR(__xludf.DUMMYFUNCTION("""COMPUTED_VALUE"""),"R")</f>
        <v>R</v>
      </c>
      <c r="H52" s="156" t="str">
        <f>IFERROR(__xludf.DUMMYFUNCTION("""COMPUTED_VALUE"""),"MC BRYLE GREGORIO")</f>
        <v>MC BRYLE GREGORIO</v>
      </c>
      <c r="I52" s="156"/>
      <c r="J52" s="157" t="str">
        <f>IFERROR(__xludf.DUMMYFUNCTION("""COMPUTED_VALUE"""),"BLK 49")</f>
        <v>BLK 49</v>
      </c>
    </row>
    <row r="53">
      <c r="A53" s="159">
        <f t="shared" si="1"/>
        <v>48</v>
      </c>
      <c r="B53" s="160" t="str">
        <f>IFERROR(__xludf.DUMMYFUNCTION("""COMPUTED_VALUE"""),"MELITA DAUS PASCUA")</f>
        <v>MELITA DAUS PASCUA</v>
      </c>
      <c r="C53" s="161" t="str">
        <f>IFERROR(__xludf.DUMMYFUNCTION("""COMPUTED_VALUE"""),"N/A")</f>
        <v>N/A</v>
      </c>
      <c r="D53" s="160"/>
      <c r="E53" s="160"/>
      <c r="F53" s="160" t="str">
        <f>IFERROR(__xludf.DUMMYFUNCTION("""COMPUTED_VALUE"""),"ACTIVE")</f>
        <v>ACTIVE</v>
      </c>
      <c r="G53" s="161" t="str">
        <f>IFERROR(__xludf.DUMMYFUNCTION("""COMPUTED_VALUE"""),"R")</f>
        <v>R</v>
      </c>
      <c r="H53" s="160"/>
      <c r="I53" s="160"/>
      <c r="J53" s="161" t="str">
        <f>IFERROR(__xludf.DUMMYFUNCTION("""COMPUTED_VALUE"""),"BLK 49")</f>
        <v>BLK 49</v>
      </c>
    </row>
    <row r="54">
      <c r="A54" s="155">
        <f t="shared" si="1"/>
        <v>49</v>
      </c>
      <c r="B54" s="156" t="str">
        <f>IFERROR(__xludf.DUMMYFUNCTION("""COMPUTED_VALUE"""),"MERCEDITA YAP MERANO")</f>
        <v>MERCEDITA YAP MERANO</v>
      </c>
      <c r="C54" s="157" t="str">
        <f>IFERROR(__xludf.DUMMYFUNCTION("""COMPUTED_VALUE"""),"4PS")</f>
        <v>4PS</v>
      </c>
      <c r="D54" s="156"/>
      <c r="E54" s="156"/>
      <c r="F54" s="156" t="str">
        <f>IFERROR(__xludf.DUMMYFUNCTION("""COMPUTED_VALUE"""),"ACTIVE")</f>
        <v>ACTIVE</v>
      </c>
      <c r="G54" s="157" t="str">
        <f>IFERROR(__xludf.DUMMYFUNCTION("""COMPUTED_VALUE"""),"PH")</f>
        <v>PH</v>
      </c>
      <c r="H54" s="156"/>
      <c r="I54" s="156"/>
      <c r="J54" s="157" t="str">
        <f>IFERROR(__xludf.DUMMYFUNCTION("""COMPUTED_VALUE"""),"BLK 49")</f>
        <v>BLK 49</v>
      </c>
    </row>
    <row r="55">
      <c r="A55" s="159">
        <f t="shared" si="1"/>
        <v>50</v>
      </c>
      <c r="B55" s="160" t="str">
        <f>IFERROR(__xludf.DUMMYFUNCTION("""COMPUTED_VALUE"""),"MHELJHON MIRASOL")</f>
        <v>MHELJHON MIRASOL</v>
      </c>
      <c r="C55" s="161" t="str">
        <f>IFERROR(__xludf.DUMMYFUNCTION("""COMPUTED_VALUE"""),"N/A")</f>
        <v>N/A</v>
      </c>
      <c r="D55" s="160"/>
      <c r="E55" s="160"/>
      <c r="F55" s="160" t="str">
        <f>IFERROR(__xludf.DUMMYFUNCTION("""COMPUTED_VALUE"""),"ACTIVE")</f>
        <v>ACTIVE</v>
      </c>
      <c r="G55" s="161" t="str">
        <f>IFERROR(__xludf.DUMMYFUNCTION("""COMPUTED_VALUE"""),"R")</f>
        <v>R</v>
      </c>
      <c r="H55" s="160" t="str">
        <f>IFERROR(__xludf.DUMMYFUNCTION("""COMPUTED_VALUE"""),"KIM JERILIE LIM")</f>
        <v>KIM JERILIE LIM</v>
      </c>
      <c r="I55" s="160"/>
      <c r="J55" s="161" t="str">
        <f>IFERROR(__xludf.DUMMYFUNCTION("""COMPUTED_VALUE"""),"BLK 49")</f>
        <v>BLK 49</v>
      </c>
    </row>
    <row r="56">
      <c r="A56" s="155">
        <f t="shared" si="1"/>
        <v>51</v>
      </c>
      <c r="B56" s="156" t="str">
        <f>IFERROR(__xludf.DUMMYFUNCTION("""COMPUTED_VALUE"""),"MICHAEL ATAJAR")</f>
        <v>MICHAEL ATAJAR</v>
      </c>
      <c r="C56" s="157" t="str">
        <f>IFERROR(__xludf.DUMMYFUNCTION("""COMPUTED_VALUE"""),"N/A")</f>
        <v>N/A</v>
      </c>
      <c r="D56" s="156"/>
      <c r="E56" s="156"/>
      <c r="F56" s="156" t="str">
        <f>IFERROR(__xludf.DUMMYFUNCTION("""COMPUTED_VALUE"""),"ACTIVE")</f>
        <v>ACTIVE</v>
      </c>
      <c r="G56" s="157" t="str">
        <f>IFERROR(__xludf.DUMMYFUNCTION("""COMPUTED_VALUE"""),"R")</f>
        <v>R</v>
      </c>
      <c r="H56" s="156" t="str">
        <f>IFERROR(__xludf.DUMMYFUNCTION("""COMPUTED_VALUE"""),"ANRIALIZA ATAJAR")</f>
        <v>ANRIALIZA ATAJAR</v>
      </c>
      <c r="I56" s="156"/>
      <c r="J56" s="157" t="str">
        <f>IFERROR(__xludf.DUMMYFUNCTION("""COMPUTED_VALUE"""),"BLK 49")</f>
        <v>BLK 49</v>
      </c>
    </row>
    <row r="57">
      <c r="A57" s="159">
        <f t="shared" si="1"/>
        <v>52</v>
      </c>
      <c r="B57" s="160" t="str">
        <f>IFERROR(__xludf.DUMMYFUNCTION("""COMPUTED_VALUE"""),"NARDO A. LEONARDO")</f>
        <v>NARDO A. LEONARDO</v>
      </c>
      <c r="C57" s="161" t="str">
        <f>IFERROR(__xludf.DUMMYFUNCTION("""COMPUTED_VALUE"""),"N/A")</f>
        <v>N/A</v>
      </c>
      <c r="D57" s="160"/>
      <c r="E57" s="160"/>
      <c r="F57" s="160" t="str">
        <f>IFERROR(__xludf.DUMMYFUNCTION("""COMPUTED_VALUE"""),"ACTIVE")</f>
        <v>ACTIVE</v>
      </c>
      <c r="G57" s="161" t="str">
        <f>IFERROR(__xludf.DUMMYFUNCTION("""COMPUTED_VALUE"""),"R")</f>
        <v>R</v>
      </c>
      <c r="H57" s="160" t="str">
        <f>IFERROR(__xludf.DUMMYFUNCTION("""COMPUTED_VALUE"""),"ENCARNACION LEONARDO")</f>
        <v>ENCARNACION LEONARDO</v>
      </c>
      <c r="I57" s="160"/>
      <c r="J57" s="161" t="str">
        <f>IFERROR(__xludf.DUMMYFUNCTION("""COMPUTED_VALUE"""),"BLK 49")</f>
        <v>BLK 49</v>
      </c>
    </row>
    <row r="58">
      <c r="A58" s="155">
        <f t="shared" si="1"/>
        <v>53</v>
      </c>
      <c r="B58" s="156" t="str">
        <f>IFERROR(__xludf.DUMMYFUNCTION("""COMPUTED_VALUE"""),"PURUFICACION")</f>
        <v>PURUFICACION</v>
      </c>
      <c r="C58" s="157" t="str">
        <f>IFERROR(__xludf.DUMMYFUNCTION("""COMPUTED_VALUE"""),"N/A")</f>
        <v>N/A</v>
      </c>
      <c r="D58" s="156"/>
      <c r="E58" s="156"/>
      <c r="F58" s="156" t="str">
        <f>IFERROR(__xludf.DUMMYFUNCTION("""COMPUTED_VALUE"""),"UNREGISTERED")</f>
        <v>UNREGISTERED</v>
      </c>
      <c r="G58" s="157" t="str">
        <f>IFERROR(__xludf.DUMMYFUNCTION("""COMPUTED_VALUE"""),"R")</f>
        <v>R</v>
      </c>
      <c r="H58" s="156" t="str">
        <f>IFERROR(__xludf.DUMMYFUNCTION("""COMPUTED_VALUE"""),"LIGAYA AGUANTA")</f>
        <v>LIGAYA AGUANTA</v>
      </c>
      <c r="I58" s="156" t="str">
        <f>IFERROR(__xludf.DUMMYFUNCTION("""COMPUTED_VALUE"""),"KDBM")</f>
        <v>KDBM</v>
      </c>
      <c r="J58" s="157" t="str">
        <f>IFERROR(__xludf.DUMMYFUNCTION("""COMPUTED_VALUE"""),"BLK 49")</f>
        <v>BLK 49</v>
      </c>
    </row>
    <row r="59">
      <c r="A59" s="159">
        <f t="shared" si="1"/>
        <v>54</v>
      </c>
      <c r="B59" s="160" t="str">
        <f>IFERROR(__xludf.DUMMYFUNCTION("""COMPUTED_VALUE"""),"REBECCA C. HUPALAR")</f>
        <v>REBECCA C. HUPALAR</v>
      </c>
      <c r="C59" s="161" t="str">
        <f>IFERROR(__xludf.DUMMYFUNCTION("""COMPUTED_VALUE"""),"SENIOR")</f>
        <v>SENIOR</v>
      </c>
      <c r="D59" s="160"/>
      <c r="E59" s="160"/>
      <c r="F59" s="160" t="str">
        <f>IFERROR(__xludf.DUMMYFUNCTION("""COMPUTED_VALUE"""),"ACTIVE")</f>
        <v>ACTIVE</v>
      </c>
      <c r="G59" s="161" t="str">
        <f>IFERROR(__xludf.DUMMYFUNCTION("""COMPUTED_VALUE"""),"PH")</f>
        <v>PH</v>
      </c>
      <c r="H59" s="160" t="str">
        <f>IFERROR(__xludf.DUMMYFUNCTION("""COMPUTED_VALUE"""),"ARMANDO HUPALAR")</f>
        <v>ARMANDO HUPALAR</v>
      </c>
      <c r="I59" s="160"/>
      <c r="J59" s="161" t="str">
        <f>IFERROR(__xludf.DUMMYFUNCTION("""COMPUTED_VALUE"""),"BLK 49")</f>
        <v>BLK 49</v>
      </c>
    </row>
    <row r="60">
      <c r="A60" s="155">
        <f t="shared" si="1"/>
        <v>55</v>
      </c>
      <c r="B60" s="156" t="str">
        <f>IFERROR(__xludf.DUMMYFUNCTION("""COMPUTED_VALUE"""),"RENE MOJAR")</f>
        <v>RENE MOJAR</v>
      </c>
      <c r="C60" s="157" t="str">
        <f>IFERROR(__xludf.DUMMYFUNCTION("""COMPUTED_VALUE"""),"N/A")</f>
        <v>N/A</v>
      </c>
      <c r="D60" s="156"/>
      <c r="E60" s="156"/>
      <c r="F60" s="156" t="str">
        <f>IFERROR(__xludf.DUMMYFUNCTION("""COMPUTED_VALUE"""),"ACTIVE")</f>
        <v>ACTIVE</v>
      </c>
      <c r="G60" s="157" t="str">
        <f>IFERROR(__xludf.DUMMYFUNCTION("""COMPUTED_VALUE"""),"R")</f>
        <v>R</v>
      </c>
      <c r="H60" s="156" t="str">
        <f>IFERROR(__xludf.DUMMYFUNCTION("""COMPUTED_VALUE"""),"BERNADETH B. ROLDAN")</f>
        <v>BERNADETH B. ROLDAN</v>
      </c>
      <c r="I60" s="156"/>
      <c r="J60" s="157" t="str">
        <f>IFERROR(__xludf.DUMMYFUNCTION("""COMPUTED_VALUE"""),"BLK 49")</f>
        <v>BLK 49</v>
      </c>
    </row>
    <row r="61">
      <c r="A61" s="159">
        <f t="shared" si="1"/>
        <v>56</v>
      </c>
      <c r="B61" s="160" t="str">
        <f>IFERROR(__xludf.DUMMYFUNCTION("""COMPUTED_VALUE"""),"RICHARD ORO WITE")</f>
        <v>RICHARD ORO WITE</v>
      </c>
      <c r="C61" s="161" t="str">
        <f>IFERROR(__xludf.DUMMYFUNCTION("""COMPUTED_VALUE"""),"N/A")</f>
        <v>N/A</v>
      </c>
      <c r="D61" s="160"/>
      <c r="E61" s="160"/>
      <c r="F61" s="160" t="str">
        <f>IFERROR(__xludf.DUMMYFUNCTION("""COMPUTED_VALUE"""),"ACTIVE")</f>
        <v>ACTIVE</v>
      </c>
      <c r="G61" s="161" t="str">
        <f>IFERROR(__xludf.DUMMYFUNCTION("""COMPUTED_VALUE"""),"R")</f>
        <v>R</v>
      </c>
      <c r="H61" s="160" t="str">
        <f>IFERROR(__xludf.DUMMYFUNCTION("""COMPUTED_VALUE"""),"MATEA D. WITE")</f>
        <v>MATEA D. WITE</v>
      </c>
      <c r="I61" s="160"/>
      <c r="J61" s="161" t="str">
        <f>IFERROR(__xludf.DUMMYFUNCTION("""COMPUTED_VALUE"""),"BLK 49")</f>
        <v>BLK 49</v>
      </c>
    </row>
    <row r="62">
      <c r="A62" s="155">
        <f t="shared" si="1"/>
        <v>57</v>
      </c>
      <c r="B62" s="156" t="str">
        <f>IFERROR(__xludf.DUMMYFUNCTION("""COMPUTED_VALUE"""),"ROBINSON AGUANTA")</f>
        <v>ROBINSON AGUANTA</v>
      </c>
      <c r="C62" s="157" t="str">
        <f>IFERROR(__xludf.DUMMYFUNCTION("""COMPUTED_VALUE"""),"N/A")</f>
        <v>N/A</v>
      </c>
      <c r="D62" s="156"/>
      <c r="E62" s="156"/>
      <c r="F62" s="156" t="str">
        <f>IFERROR(__xludf.DUMMYFUNCTION("""COMPUTED_VALUE"""),"ACTIVE")</f>
        <v>ACTIVE</v>
      </c>
      <c r="G62" s="157" t="str">
        <f>IFERROR(__xludf.DUMMYFUNCTION("""COMPUTED_VALUE"""),"R")</f>
        <v>R</v>
      </c>
      <c r="H62" s="156" t="str">
        <f>IFERROR(__xludf.DUMMYFUNCTION("""COMPUTED_VALUE"""),"LOVELYN AGUANTA")</f>
        <v>LOVELYN AGUANTA</v>
      </c>
      <c r="I62" s="156"/>
      <c r="J62" s="157" t="str">
        <f>IFERROR(__xludf.DUMMYFUNCTION("""COMPUTED_VALUE"""),"BLK 49")</f>
        <v>BLK 49</v>
      </c>
    </row>
    <row r="63">
      <c r="A63" s="159">
        <f t="shared" si="1"/>
        <v>58</v>
      </c>
      <c r="B63" s="160" t="str">
        <f>IFERROR(__xludf.DUMMYFUNCTION("""COMPUTED_VALUE"""),"RODOLFO ROYOLA")</f>
        <v>RODOLFO ROYOLA</v>
      </c>
      <c r="C63" s="161" t="str">
        <f>IFERROR(__xludf.DUMMYFUNCTION("""COMPUTED_VALUE"""),"SENIOR")</f>
        <v>SENIOR</v>
      </c>
      <c r="D63" s="160"/>
      <c r="E63" s="160"/>
      <c r="F63" s="160" t="str">
        <f>IFERROR(__xludf.DUMMYFUNCTION("""COMPUTED_VALUE"""),"ACTIVE")</f>
        <v>ACTIVE</v>
      </c>
      <c r="G63" s="161" t="str">
        <f>IFERROR(__xludf.DUMMYFUNCTION("""COMPUTED_VALUE"""),"PH")</f>
        <v>PH</v>
      </c>
      <c r="H63" s="160"/>
      <c r="I63" s="160"/>
      <c r="J63" s="161" t="str">
        <f>IFERROR(__xludf.DUMMYFUNCTION("""COMPUTED_VALUE"""),"BLK 49")</f>
        <v>BLK 49</v>
      </c>
    </row>
    <row r="64">
      <c r="A64" s="155">
        <f t="shared" si="1"/>
        <v>59</v>
      </c>
      <c r="B64" s="156" t="str">
        <f>IFERROR(__xludf.DUMMYFUNCTION("""COMPUTED_VALUE"""),"ROMEO ATAJAR")</f>
        <v>ROMEO ATAJAR</v>
      </c>
      <c r="C64" s="157" t="str">
        <f>IFERROR(__xludf.DUMMYFUNCTION("""COMPUTED_VALUE"""),"SENIOR")</f>
        <v>SENIOR</v>
      </c>
      <c r="D64" s="156"/>
      <c r="E64" s="156"/>
      <c r="F64" s="156" t="str">
        <f>IFERROR(__xludf.DUMMYFUNCTION("""COMPUTED_VALUE"""),"ACTIVE")</f>
        <v>ACTIVE</v>
      </c>
      <c r="G64" s="157" t="str">
        <f>IFERROR(__xludf.DUMMYFUNCTION("""COMPUTED_VALUE"""),"PH")</f>
        <v>PH</v>
      </c>
      <c r="H64" s="156" t="str">
        <f>IFERROR(__xludf.DUMMYFUNCTION("""COMPUTED_VALUE"""),"MARITESS ATAJAR")</f>
        <v>MARITESS ATAJAR</v>
      </c>
      <c r="I64" s="156" t="str">
        <f>IFERROR(__xludf.DUMMYFUNCTION("""COMPUTED_VALUE"""),"SENIOR")</f>
        <v>SENIOR</v>
      </c>
      <c r="J64" s="157" t="str">
        <f>IFERROR(__xludf.DUMMYFUNCTION("""COMPUTED_VALUE"""),"BLK 49")</f>
        <v>BLK 49</v>
      </c>
    </row>
    <row r="65">
      <c r="A65" s="159">
        <f t="shared" si="1"/>
        <v>60</v>
      </c>
      <c r="B65" s="160" t="str">
        <f>IFERROR(__xludf.DUMMYFUNCTION("""COMPUTED_VALUE"""),"ROMEO PRADO")</f>
        <v>ROMEO PRADO</v>
      </c>
      <c r="C65" s="161" t="str">
        <f>IFERROR(__xludf.DUMMYFUNCTION("""COMPUTED_VALUE"""),"SENIOR")</f>
        <v>SENIOR</v>
      </c>
      <c r="D65" s="160"/>
      <c r="E65" s="160"/>
      <c r="F65" s="160" t="str">
        <f>IFERROR(__xludf.DUMMYFUNCTION("""COMPUTED_VALUE"""),"UNREGISTERED")</f>
        <v>UNREGISTERED</v>
      </c>
      <c r="G65" s="161" t="str">
        <f>IFERROR(__xludf.DUMMYFUNCTION("""COMPUTED_VALUE"""),"PH")</f>
        <v>PH</v>
      </c>
      <c r="H65" s="160" t="str">
        <f>IFERROR(__xludf.DUMMYFUNCTION("""COMPUTED_VALUE"""),"MARILYN PRADO")</f>
        <v>MARILYN PRADO</v>
      </c>
      <c r="I65" s="160" t="str">
        <f>IFERROR(__xludf.DUMMYFUNCTION("""COMPUTED_VALUE"""),"SENIOR")</f>
        <v>SENIOR</v>
      </c>
      <c r="J65" s="161" t="str">
        <f>IFERROR(__xludf.DUMMYFUNCTION("""COMPUTED_VALUE"""),"BLK 49")</f>
        <v>BLK 49</v>
      </c>
    </row>
    <row r="66">
      <c r="A66" s="155">
        <f t="shared" si="1"/>
        <v>61</v>
      </c>
      <c r="B66" s="156" t="str">
        <f>IFERROR(__xludf.DUMMYFUNCTION("""COMPUTED_VALUE"""),"ROMNICK BONGCAYAW")</f>
        <v>ROMNICK BONGCAYAW</v>
      </c>
      <c r="C66" s="157" t="str">
        <f>IFERROR(__xludf.DUMMYFUNCTION("""COMPUTED_VALUE"""),"N/A")</f>
        <v>N/A</v>
      </c>
      <c r="D66" s="156"/>
      <c r="E66" s="156"/>
      <c r="F66" s="156" t="str">
        <f>IFERROR(__xludf.DUMMYFUNCTION("""COMPUTED_VALUE"""),"UNREGISTERED")</f>
        <v>UNREGISTERED</v>
      </c>
      <c r="G66" s="157" t="str">
        <f>IFERROR(__xludf.DUMMYFUNCTION("""COMPUTED_VALUE"""),"N/A")</f>
        <v>N/A</v>
      </c>
      <c r="H66" s="156" t="str">
        <f>IFERROR(__xludf.DUMMYFUNCTION("""COMPUTED_VALUE"""),"MARIETTA V. BASONILLO")</f>
        <v>MARIETTA V. BASONILLO</v>
      </c>
      <c r="I66" s="156"/>
      <c r="J66" s="157" t="str">
        <f>IFERROR(__xludf.DUMMYFUNCTION("""COMPUTED_VALUE"""),"BLK 49")</f>
        <v>BLK 49</v>
      </c>
    </row>
    <row r="67">
      <c r="A67" s="159">
        <f t="shared" si="1"/>
        <v>62</v>
      </c>
      <c r="B67" s="160" t="str">
        <f>IFERROR(__xludf.DUMMYFUNCTION("""COMPUTED_VALUE"""),"ROSIE RONASE")</f>
        <v>ROSIE RONASE</v>
      </c>
      <c r="C67" s="161" t="str">
        <f>IFERROR(__xludf.DUMMYFUNCTION("""COMPUTED_VALUE"""),"SENIOR")</f>
        <v>SENIOR</v>
      </c>
      <c r="D67" s="160"/>
      <c r="E67" s="160"/>
      <c r="F67" s="160" t="str">
        <f>IFERROR(__xludf.DUMMYFUNCTION("""COMPUTED_VALUE"""),"ACTIVE")</f>
        <v>ACTIVE</v>
      </c>
      <c r="G67" s="161" t="str">
        <f>IFERROR(__xludf.DUMMYFUNCTION("""COMPUTED_VALUE"""),"PH")</f>
        <v>PH</v>
      </c>
      <c r="H67" s="160"/>
      <c r="I67" s="160"/>
      <c r="J67" s="161" t="str">
        <f>IFERROR(__xludf.DUMMYFUNCTION("""COMPUTED_VALUE"""),"BLK 49")</f>
        <v>BLK 49</v>
      </c>
    </row>
    <row r="68">
      <c r="A68" s="155">
        <f t="shared" si="1"/>
        <v>63</v>
      </c>
      <c r="B68" s="156" t="str">
        <f>IFERROR(__xludf.DUMMYFUNCTION("""COMPUTED_VALUE"""),"TEODORICO G. ARGOTA JR.")</f>
        <v>TEODORICO G. ARGOTA JR.</v>
      </c>
      <c r="C68" s="157" t="str">
        <f>IFERROR(__xludf.DUMMYFUNCTION("""COMPUTED_VALUE"""),"N/A")</f>
        <v>N/A</v>
      </c>
      <c r="D68" s="156"/>
      <c r="E68" s="156"/>
      <c r="F68" s="156" t="str">
        <f>IFERROR(__xludf.DUMMYFUNCTION("""COMPUTED_VALUE"""),"ACTIVE")</f>
        <v>ACTIVE</v>
      </c>
      <c r="G68" s="157" t="str">
        <f>IFERROR(__xludf.DUMMYFUNCTION("""COMPUTED_VALUE"""),"PH")</f>
        <v>PH</v>
      </c>
      <c r="H68" s="156" t="str">
        <f>IFERROR(__xludf.DUMMYFUNCTION("""COMPUTED_VALUE"""),"MELINDA M. ARGOTA")</f>
        <v>MELINDA M. ARGOTA</v>
      </c>
      <c r="I68" s="156" t="str">
        <f>IFERROR(__xludf.DUMMYFUNCTION("""COMPUTED_VALUE"""),"BRGY. OFFICIALS")</f>
        <v>BRGY. OFFICIALS</v>
      </c>
      <c r="J68" s="157" t="str">
        <f>IFERROR(__xludf.DUMMYFUNCTION("""COMPUTED_VALUE"""),"BLK 49")</f>
        <v>BLK 49</v>
      </c>
    </row>
    <row r="69">
      <c r="A69" s="159">
        <f t="shared" si="1"/>
        <v>64</v>
      </c>
      <c r="B69" s="160" t="str">
        <f>IFERROR(__xludf.DUMMYFUNCTION("""COMPUTED_VALUE"""),"TERESITA APALLA")</f>
        <v>TERESITA APALLA</v>
      </c>
      <c r="C69" s="161" t="str">
        <f>IFERROR(__xludf.DUMMYFUNCTION("""COMPUTED_VALUE"""),"SENIOR")</f>
        <v>SENIOR</v>
      </c>
      <c r="D69" s="160"/>
      <c r="E69" s="160"/>
      <c r="F69" s="160" t="str">
        <f>IFERROR(__xludf.DUMMYFUNCTION("""COMPUTED_VALUE"""),"ACTIVE")</f>
        <v>ACTIVE</v>
      </c>
      <c r="G69" s="161" t="str">
        <f>IFERROR(__xludf.DUMMYFUNCTION("""COMPUTED_VALUE"""),"PH")</f>
        <v>PH</v>
      </c>
      <c r="H69" s="160"/>
      <c r="I69" s="160"/>
      <c r="J69" s="161" t="str">
        <f>IFERROR(__xludf.DUMMYFUNCTION("""COMPUTED_VALUE"""),"BLK 49")</f>
        <v>BLK 49</v>
      </c>
    </row>
    <row r="70">
      <c r="A70" s="155">
        <f t="shared" si="1"/>
        <v>65</v>
      </c>
      <c r="B70" s="156" t="str">
        <f>IFERROR(__xludf.DUMMYFUNCTION("""COMPUTED_VALUE"""),"TRICIA HUPALAR")</f>
        <v>TRICIA HUPALAR</v>
      </c>
      <c r="C70" s="157" t="str">
        <f>IFERROR(__xludf.DUMMYFUNCTION("""COMPUTED_VALUE"""),"N/A")</f>
        <v>N/A</v>
      </c>
      <c r="D70" s="156"/>
      <c r="E70" s="156"/>
      <c r="F70" s="156" t="str">
        <f>IFERROR(__xludf.DUMMYFUNCTION("""COMPUTED_VALUE"""),"ACTIVE")</f>
        <v>ACTIVE</v>
      </c>
      <c r="G70" s="157" t="str">
        <f>IFERROR(__xludf.DUMMYFUNCTION("""COMPUTED_VALUE"""),"R")</f>
        <v>R</v>
      </c>
      <c r="H70" s="156"/>
      <c r="I70" s="156"/>
      <c r="J70" s="157" t="str">
        <f>IFERROR(__xludf.DUMMYFUNCTION("""COMPUTED_VALUE"""),"BLK 49")</f>
        <v>BLK 49</v>
      </c>
    </row>
    <row r="71">
      <c r="A71" s="159">
        <f t="shared" si="1"/>
        <v>66</v>
      </c>
      <c r="B71" s="160" t="str">
        <f>IFERROR(__xludf.DUMMYFUNCTION("""COMPUTED_VALUE"""),"VANESSA MARANTAL")</f>
        <v>VANESSA MARANTAL</v>
      </c>
      <c r="C71" s="161" t="str">
        <f>IFERROR(__xludf.DUMMYFUNCTION("""COMPUTED_VALUE"""),"N/A")</f>
        <v>N/A</v>
      </c>
      <c r="D71" s="160"/>
      <c r="E71" s="160"/>
      <c r="F71" s="160" t="str">
        <f>IFERROR(__xludf.DUMMYFUNCTION("""COMPUTED_VALUE"""),"ACTIVE")</f>
        <v>ACTIVE</v>
      </c>
      <c r="G71" s="161" t="str">
        <f>IFERROR(__xludf.DUMMYFUNCTION("""COMPUTED_VALUE"""),"PH")</f>
        <v>PH</v>
      </c>
      <c r="H71" s="160"/>
      <c r="I71" s="160"/>
      <c r="J71" s="161" t="str">
        <f>IFERROR(__xludf.DUMMYFUNCTION("""COMPUTED_VALUE"""),"BLK 49")</f>
        <v>BLK 49</v>
      </c>
    </row>
    <row r="72">
      <c r="A72" s="155" t="str">
        <f t="shared" si="1"/>
        <v/>
      </c>
      <c r="B72" s="156"/>
      <c r="C72" s="157"/>
      <c r="D72" s="156"/>
      <c r="E72" s="156"/>
      <c r="F72" s="156"/>
      <c r="G72" s="157"/>
      <c r="H72" s="156"/>
      <c r="I72" s="156"/>
      <c r="J72" s="157"/>
    </row>
    <row r="73">
      <c r="A73" s="159" t="str">
        <f t="shared" si="1"/>
        <v/>
      </c>
      <c r="B73" s="160"/>
      <c r="C73" s="161"/>
      <c r="D73" s="160"/>
      <c r="E73" s="160"/>
      <c r="F73" s="160"/>
      <c r="G73" s="161"/>
      <c r="H73" s="160"/>
      <c r="I73" s="160"/>
      <c r="J73" s="161"/>
    </row>
    <row r="74">
      <c r="A74" s="155" t="str">
        <f t="shared" si="1"/>
        <v/>
      </c>
      <c r="B74" s="156"/>
      <c r="C74" s="157"/>
      <c r="D74" s="156"/>
      <c r="E74" s="156"/>
      <c r="F74" s="156"/>
      <c r="G74" s="157"/>
      <c r="H74" s="156"/>
      <c r="I74" s="156"/>
      <c r="J74" s="157"/>
    </row>
    <row r="75">
      <c r="A75" s="159" t="str">
        <f t="shared" si="1"/>
        <v/>
      </c>
      <c r="B75" s="160"/>
      <c r="C75" s="161"/>
      <c r="D75" s="160"/>
      <c r="E75" s="160"/>
      <c r="F75" s="160"/>
      <c r="G75" s="161"/>
      <c r="H75" s="160"/>
      <c r="I75" s="160"/>
      <c r="J75" s="161"/>
    </row>
    <row r="76">
      <c r="A76" s="155" t="str">
        <f t="shared" si="1"/>
        <v/>
      </c>
      <c r="B76" s="156"/>
      <c r="C76" s="157"/>
      <c r="D76" s="156"/>
      <c r="E76" s="156"/>
      <c r="F76" s="156"/>
      <c r="G76" s="157"/>
      <c r="H76" s="156"/>
      <c r="I76" s="156"/>
      <c r="J76" s="157"/>
    </row>
    <row r="77">
      <c r="A77" s="159" t="str">
        <f t="shared" si="1"/>
        <v/>
      </c>
      <c r="B77" s="160"/>
      <c r="C77" s="161"/>
      <c r="D77" s="160"/>
      <c r="E77" s="160"/>
      <c r="F77" s="160"/>
      <c r="G77" s="161"/>
      <c r="H77" s="160"/>
      <c r="I77" s="160"/>
      <c r="J77" s="161"/>
    </row>
    <row r="78">
      <c r="A78" s="155" t="str">
        <f t="shared" si="1"/>
        <v/>
      </c>
      <c r="B78" s="156"/>
      <c r="C78" s="157"/>
      <c r="D78" s="156"/>
      <c r="E78" s="156"/>
      <c r="F78" s="156"/>
      <c r="G78" s="157"/>
      <c r="H78" s="156"/>
      <c r="I78" s="156"/>
      <c r="J78" s="157"/>
    </row>
    <row r="79">
      <c r="A79" s="159" t="str">
        <f t="shared" si="1"/>
        <v/>
      </c>
      <c r="B79" s="160"/>
      <c r="C79" s="161"/>
      <c r="D79" s="160"/>
      <c r="E79" s="160"/>
      <c r="F79" s="160"/>
      <c r="G79" s="161"/>
      <c r="H79" s="160"/>
      <c r="I79" s="160"/>
      <c r="J79" s="161"/>
    </row>
    <row r="80">
      <c r="A80" s="155" t="str">
        <f t="shared" si="1"/>
        <v/>
      </c>
      <c r="B80" s="156"/>
      <c r="C80" s="157"/>
      <c r="D80" s="156"/>
      <c r="E80" s="156"/>
      <c r="F80" s="156"/>
      <c r="G80" s="157"/>
      <c r="H80" s="156"/>
      <c r="I80" s="156"/>
      <c r="J80" s="157"/>
    </row>
    <row r="81">
      <c r="A81" s="159" t="str">
        <f t="shared" si="1"/>
        <v/>
      </c>
      <c r="B81" s="160"/>
      <c r="C81" s="161"/>
      <c r="D81" s="160"/>
      <c r="E81" s="160"/>
      <c r="F81" s="160"/>
      <c r="G81" s="161"/>
      <c r="H81" s="160"/>
      <c r="I81" s="160"/>
      <c r="J81" s="161"/>
    </row>
    <row r="82">
      <c r="A82" s="155" t="str">
        <f t="shared" si="1"/>
        <v/>
      </c>
      <c r="B82" s="156"/>
      <c r="C82" s="157"/>
      <c r="D82" s="156"/>
      <c r="E82" s="156"/>
      <c r="F82" s="156"/>
      <c r="G82" s="157"/>
      <c r="H82" s="156"/>
      <c r="I82" s="156"/>
      <c r="J82" s="157"/>
    </row>
    <row r="83">
      <c r="A83" s="159" t="str">
        <f t="shared" si="1"/>
        <v/>
      </c>
      <c r="B83" s="160"/>
      <c r="C83" s="161"/>
      <c r="D83" s="160"/>
      <c r="E83" s="160"/>
      <c r="F83" s="160"/>
      <c r="G83" s="161"/>
      <c r="H83" s="160"/>
      <c r="I83" s="160"/>
      <c r="J83" s="161"/>
    </row>
    <row r="84">
      <c r="A84" s="155" t="str">
        <f t="shared" si="1"/>
        <v/>
      </c>
      <c r="B84" s="156"/>
      <c r="C84" s="157"/>
      <c r="D84" s="156"/>
      <c r="E84" s="156"/>
      <c r="F84" s="156"/>
      <c r="G84" s="157"/>
      <c r="H84" s="156"/>
      <c r="I84" s="156"/>
      <c r="J84" s="157"/>
    </row>
    <row r="85">
      <c r="A85" s="159" t="str">
        <f t="shared" si="1"/>
        <v/>
      </c>
      <c r="B85" s="160"/>
      <c r="C85" s="161"/>
      <c r="D85" s="160"/>
      <c r="E85" s="160"/>
      <c r="F85" s="160"/>
      <c r="G85" s="161"/>
      <c r="H85" s="160"/>
      <c r="I85" s="160"/>
      <c r="J85" s="161"/>
    </row>
    <row r="86">
      <c r="A86" s="155" t="str">
        <f t="shared" si="1"/>
        <v/>
      </c>
      <c r="B86" s="156"/>
      <c r="C86" s="157"/>
      <c r="D86" s="156"/>
      <c r="E86" s="156"/>
      <c r="F86" s="156"/>
      <c r="G86" s="157"/>
      <c r="H86" s="156"/>
      <c r="I86" s="156"/>
      <c r="J86" s="157"/>
    </row>
    <row r="87">
      <c r="A87" s="159" t="str">
        <f t="shared" si="1"/>
        <v/>
      </c>
      <c r="B87" s="160"/>
      <c r="C87" s="161"/>
      <c r="D87" s="160"/>
      <c r="E87" s="160"/>
      <c r="F87" s="160"/>
      <c r="G87" s="161"/>
      <c r="H87" s="160"/>
      <c r="I87" s="160"/>
      <c r="J87" s="161"/>
    </row>
    <row r="88">
      <c r="A88" s="155" t="str">
        <f t="shared" si="1"/>
        <v/>
      </c>
      <c r="B88" s="156"/>
      <c r="C88" s="157"/>
      <c r="D88" s="156"/>
      <c r="E88" s="156"/>
      <c r="F88" s="156"/>
      <c r="G88" s="157"/>
      <c r="H88" s="156"/>
      <c r="I88" s="156"/>
      <c r="J88" s="157"/>
    </row>
    <row r="89">
      <c r="A89" s="159" t="str">
        <f t="shared" si="1"/>
        <v/>
      </c>
      <c r="B89" s="160"/>
      <c r="C89" s="161"/>
      <c r="D89" s="160"/>
      <c r="E89" s="160"/>
      <c r="F89" s="160"/>
      <c r="G89" s="161"/>
      <c r="H89" s="160"/>
      <c r="I89" s="160"/>
      <c r="J89" s="161"/>
    </row>
    <row r="90">
      <c r="A90" s="155" t="str">
        <f t="shared" si="1"/>
        <v/>
      </c>
      <c r="B90" s="156"/>
      <c r="C90" s="157"/>
      <c r="D90" s="156"/>
      <c r="E90" s="156"/>
      <c r="F90" s="156"/>
      <c r="G90" s="157"/>
      <c r="H90" s="156"/>
      <c r="I90" s="156"/>
      <c r="J90" s="157"/>
    </row>
    <row r="91">
      <c r="A91" s="159" t="str">
        <f t="shared" si="1"/>
        <v/>
      </c>
      <c r="B91" s="160"/>
      <c r="C91" s="161"/>
      <c r="D91" s="160"/>
      <c r="E91" s="160"/>
      <c r="F91" s="160"/>
      <c r="G91" s="161"/>
      <c r="H91" s="160"/>
      <c r="I91" s="160"/>
      <c r="J91" s="161"/>
    </row>
    <row r="92">
      <c r="A92" s="155" t="str">
        <f t="shared" si="1"/>
        <v/>
      </c>
      <c r="B92" s="156"/>
      <c r="C92" s="157"/>
      <c r="D92" s="156"/>
      <c r="E92" s="156"/>
      <c r="F92" s="156"/>
      <c r="G92" s="157"/>
      <c r="H92" s="156"/>
      <c r="I92" s="156"/>
      <c r="J92" s="157"/>
    </row>
    <row r="93">
      <c r="A93" s="159" t="str">
        <f t="shared" si="1"/>
        <v/>
      </c>
      <c r="B93" s="160"/>
      <c r="C93" s="161"/>
      <c r="D93" s="160"/>
      <c r="E93" s="160"/>
      <c r="F93" s="160"/>
      <c r="G93" s="161"/>
      <c r="H93" s="160"/>
      <c r="I93" s="160"/>
      <c r="J93" s="161"/>
    </row>
    <row r="94">
      <c r="A94" s="155" t="str">
        <f t="shared" si="1"/>
        <v/>
      </c>
      <c r="B94" s="156"/>
      <c r="C94" s="157"/>
      <c r="D94" s="156"/>
      <c r="E94" s="156"/>
      <c r="F94" s="156"/>
      <c r="G94" s="157"/>
      <c r="H94" s="156"/>
      <c r="I94" s="156"/>
      <c r="J94" s="157"/>
    </row>
    <row r="95">
      <c r="A95" s="159" t="str">
        <f t="shared" si="1"/>
        <v/>
      </c>
      <c r="B95" s="160"/>
      <c r="C95" s="161"/>
      <c r="D95" s="160"/>
      <c r="E95" s="160"/>
      <c r="F95" s="160"/>
      <c r="G95" s="161"/>
      <c r="H95" s="160"/>
      <c r="I95" s="160"/>
      <c r="J95" s="161"/>
    </row>
    <row r="96">
      <c r="A96" s="155" t="str">
        <f t="shared" si="1"/>
        <v/>
      </c>
      <c r="B96" s="156"/>
      <c r="C96" s="157"/>
      <c r="D96" s="156"/>
      <c r="E96" s="156"/>
      <c r="F96" s="156"/>
      <c r="G96" s="157"/>
      <c r="H96" s="156"/>
      <c r="I96" s="156"/>
      <c r="J96" s="157"/>
    </row>
    <row r="97">
      <c r="A97" s="159" t="str">
        <f t="shared" si="1"/>
        <v/>
      </c>
      <c r="B97" s="160"/>
      <c r="C97" s="161"/>
      <c r="D97" s="160"/>
      <c r="E97" s="160"/>
      <c r="F97" s="160"/>
      <c r="G97" s="161"/>
      <c r="H97" s="160"/>
      <c r="I97" s="160"/>
      <c r="J97" s="161"/>
    </row>
    <row r="98">
      <c r="A98" s="155" t="str">
        <f t="shared" si="1"/>
        <v/>
      </c>
      <c r="B98" s="156"/>
      <c r="C98" s="157"/>
      <c r="D98" s="156"/>
      <c r="E98" s="156"/>
      <c r="F98" s="156"/>
      <c r="G98" s="157"/>
      <c r="H98" s="156"/>
      <c r="I98" s="156"/>
      <c r="J98" s="157"/>
    </row>
    <row r="99">
      <c r="A99" s="159" t="str">
        <f t="shared" si="1"/>
        <v/>
      </c>
      <c r="B99" s="160"/>
      <c r="C99" s="161"/>
      <c r="D99" s="160"/>
      <c r="E99" s="160"/>
      <c r="F99" s="160"/>
      <c r="G99" s="161"/>
      <c r="H99" s="160"/>
      <c r="I99" s="160"/>
      <c r="J99" s="161"/>
    </row>
    <row r="100">
      <c r="A100" s="155" t="str">
        <f t="shared" si="1"/>
        <v/>
      </c>
      <c r="B100" s="156"/>
      <c r="C100" s="157"/>
      <c r="D100" s="156"/>
      <c r="E100" s="156"/>
      <c r="F100" s="156"/>
      <c r="G100" s="157"/>
      <c r="H100" s="156"/>
      <c r="I100" s="156"/>
      <c r="J100" s="157"/>
    </row>
    <row r="101">
      <c r="A101" s="159" t="str">
        <f t="shared" si="1"/>
        <v/>
      </c>
      <c r="B101" s="160"/>
      <c r="C101" s="161"/>
      <c r="D101" s="160"/>
      <c r="E101" s="160"/>
      <c r="F101" s="160"/>
      <c r="G101" s="161"/>
      <c r="H101" s="160"/>
      <c r="I101" s="160"/>
      <c r="J101" s="161"/>
    </row>
    <row r="102">
      <c r="A102" s="155" t="str">
        <f t="shared" si="1"/>
        <v/>
      </c>
      <c r="B102" s="156"/>
      <c r="C102" s="157"/>
      <c r="D102" s="156"/>
      <c r="E102" s="156"/>
      <c r="F102" s="156"/>
      <c r="G102" s="157"/>
      <c r="H102" s="156"/>
      <c r="I102" s="156"/>
      <c r="J102" s="157"/>
    </row>
    <row r="103">
      <c r="A103" s="159" t="str">
        <f t="shared" si="1"/>
        <v/>
      </c>
      <c r="B103" s="160"/>
      <c r="C103" s="161"/>
      <c r="D103" s="160"/>
      <c r="E103" s="160"/>
      <c r="F103" s="160"/>
      <c r="G103" s="161"/>
      <c r="H103" s="160"/>
      <c r="I103" s="160"/>
      <c r="J103" s="161"/>
    </row>
    <row r="104">
      <c r="A104" s="155" t="str">
        <f t="shared" si="1"/>
        <v/>
      </c>
      <c r="B104" s="156"/>
      <c r="C104" s="157"/>
      <c r="D104" s="156"/>
      <c r="E104" s="156"/>
      <c r="F104" s="156"/>
      <c r="G104" s="157"/>
      <c r="H104" s="156"/>
      <c r="I104" s="156"/>
      <c r="J104" s="157"/>
    </row>
    <row r="105">
      <c r="A105" s="159" t="str">
        <f t="shared" si="1"/>
        <v/>
      </c>
      <c r="B105" s="160"/>
      <c r="C105" s="161"/>
      <c r="D105" s="160"/>
      <c r="E105" s="160"/>
      <c r="F105" s="160"/>
      <c r="G105" s="161"/>
      <c r="H105" s="160"/>
      <c r="I105" s="160"/>
      <c r="J105" s="161"/>
    </row>
    <row r="106">
      <c r="A106" s="155" t="str">
        <f t="shared" si="1"/>
        <v/>
      </c>
      <c r="B106" s="156"/>
      <c r="C106" s="157"/>
      <c r="D106" s="156"/>
      <c r="E106" s="156"/>
      <c r="F106" s="156"/>
      <c r="G106" s="157"/>
      <c r="H106" s="156"/>
      <c r="I106" s="156"/>
      <c r="J106" s="157"/>
    </row>
    <row r="107">
      <c r="A107" s="159" t="str">
        <f t="shared" si="1"/>
        <v/>
      </c>
      <c r="B107" s="160"/>
      <c r="C107" s="161"/>
      <c r="D107" s="160"/>
      <c r="E107" s="160"/>
      <c r="F107" s="160"/>
      <c r="G107" s="161"/>
      <c r="H107" s="160"/>
      <c r="I107" s="160"/>
      <c r="J107" s="161"/>
    </row>
    <row r="108">
      <c r="A108" s="155" t="str">
        <f t="shared" si="1"/>
        <v/>
      </c>
      <c r="B108" s="156"/>
      <c r="C108" s="157"/>
      <c r="D108" s="156"/>
      <c r="E108" s="156"/>
      <c r="F108" s="156"/>
      <c r="G108" s="157"/>
      <c r="H108" s="156"/>
      <c r="I108" s="156"/>
      <c r="J108" s="157"/>
    </row>
    <row r="109">
      <c r="A109" s="159" t="str">
        <f t="shared" si="1"/>
        <v/>
      </c>
      <c r="B109" s="160"/>
      <c r="C109" s="161"/>
      <c r="D109" s="160"/>
      <c r="E109" s="160"/>
      <c r="F109" s="160"/>
      <c r="G109" s="161"/>
      <c r="H109" s="160"/>
      <c r="I109" s="160"/>
      <c r="J109" s="161"/>
    </row>
    <row r="110">
      <c r="A110" s="155" t="str">
        <f t="shared" si="1"/>
        <v/>
      </c>
      <c r="B110" s="156"/>
      <c r="C110" s="157"/>
      <c r="D110" s="156"/>
      <c r="E110" s="156"/>
      <c r="F110" s="156"/>
      <c r="G110" s="157"/>
      <c r="H110" s="156"/>
      <c r="I110" s="156"/>
      <c r="J110" s="157"/>
    </row>
    <row r="111">
      <c r="A111" s="159" t="str">
        <f t="shared" si="1"/>
        <v/>
      </c>
      <c r="B111" s="160"/>
      <c r="C111" s="161"/>
      <c r="D111" s="160"/>
      <c r="E111" s="160"/>
      <c r="F111" s="160"/>
      <c r="G111" s="161"/>
      <c r="H111" s="160"/>
      <c r="I111" s="160"/>
      <c r="J111" s="161"/>
    </row>
    <row r="112">
      <c r="A112" s="155" t="str">
        <f t="shared" si="1"/>
        <v/>
      </c>
      <c r="B112" s="156"/>
      <c r="C112" s="157"/>
      <c r="D112" s="156"/>
      <c r="E112" s="156"/>
      <c r="F112" s="156"/>
      <c r="G112" s="157"/>
      <c r="H112" s="156"/>
      <c r="I112" s="156"/>
      <c r="J112" s="157"/>
    </row>
    <row r="113">
      <c r="A113" s="159" t="str">
        <f t="shared" si="1"/>
        <v/>
      </c>
      <c r="B113" s="160"/>
      <c r="C113" s="161"/>
      <c r="D113" s="160"/>
      <c r="E113" s="160"/>
      <c r="F113" s="160"/>
      <c r="G113" s="161"/>
      <c r="H113" s="160"/>
      <c r="I113" s="160"/>
      <c r="J113" s="161"/>
    </row>
    <row r="114">
      <c r="A114" s="155" t="str">
        <f t="shared" si="1"/>
        <v/>
      </c>
      <c r="B114" s="156"/>
      <c r="C114" s="157"/>
      <c r="D114" s="156"/>
      <c r="E114" s="156"/>
      <c r="F114" s="156"/>
      <c r="G114" s="157"/>
      <c r="H114" s="156"/>
      <c r="I114" s="156"/>
      <c r="J114" s="157"/>
    </row>
    <row r="115">
      <c r="A115" s="159" t="str">
        <f t="shared" si="1"/>
        <v/>
      </c>
      <c r="B115" s="160"/>
      <c r="C115" s="161"/>
      <c r="D115" s="160"/>
      <c r="E115" s="160"/>
      <c r="F115" s="160"/>
      <c r="G115" s="161"/>
      <c r="H115" s="160"/>
      <c r="I115" s="160"/>
      <c r="J115" s="161"/>
    </row>
    <row r="116">
      <c r="A116" s="155" t="str">
        <f t="shared" si="1"/>
        <v/>
      </c>
      <c r="B116" s="156"/>
      <c r="C116" s="157"/>
      <c r="D116" s="156"/>
      <c r="E116" s="156"/>
      <c r="F116" s="156"/>
      <c r="G116" s="157"/>
      <c r="H116" s="156"/>
      <c r="I116" s="156"/>
      <c r="J116" s="157"/>
    </row>
    <row r="117">
      <c r="A117" s="159" t="str">
        <f t="shared" si="1"/>
        <v/>
      </c>
      <c r="B117" s="160"/>
      <c r="C117" s="161"/>
      <c r="D117" s="160"/>
      <c r="E117" s="160"/>
      <c r="F117" s="160"/>
      <c r="G117" s="161"/>
      <c r="H117" s="160"/>
      <c r="I117" s="160"/>
      <c r="J117" s="161"/>
    </row>
    <row r="118">
      <c r="A118" s="155" t="str">
        <f t="shared" si="1"/>
        <v/>
      </c>
      <c r="B118" s="156"/>
      <c r="C118" s="157"/>
      <c r="D118" s="156"/>
      <c r="E118" s="156"/>
      <c r="F118" s="156"/>
      <c r="G118" s="157"/>
      <c r="H118" s="156"/>
      <c r="I118" s="156"/>
      <c r="J118" s="157"/>
    </row>
    <row r="119">
      <c r="A119" s="159" t="str">
        <f t="shared" si="1"/>
        <v/>
      </c>
      <c r="B119" s="160"/>
      <c r="C119" s="161"/>
      <c r="D119" s="160"/>
      <c r="E119" s="160"/>
      <c r="F119" s="160"/>
      <c r="G119" s="161"/>
      <c r="H119" s="160"/>
      <c r="I119" s="160"/>
      <c r="J119" s="161"/>
    </row>
    <row r="120">
      <c r="A120" s="155" t="str">
        <f t="shared" si="1"/>
        <v/>
      </c>
      <c r="B120" s="156"/>
      <c r="C120" s="157"/>
      <c r="D120" s="156"/>
      <c r="E120" s="156"/>
      <c r="F120" s="156"/>
      <c r="G120" s="157"/>
      <c r="H120" s="156"/>
      <c r="I120" s="156"/>
      <c r="J120" s="157"/>
    </row>
    <row r="121">
      <c r="A121" s="159" t="str">
        <f t="shared" si="1"/>
        <v/>
      </c>
      <c r="B121" s="160"/>
      <c r="C121" s="161"/>
      <c r="D121" s="160"/>
      <c r="E121" s="160"/>
      <c r="F121" s="160"/>
      <c r="G121" s="161"/>
      <c r="H121" s="160"/>
      <c r="I121" s="160"/>
      <c r="J121" s="161"/>
    </row>
    <row r="122">
      <c r="A122" s="155" t="str">
        <f t="shared" si="1"/>
        <v/>
      </c>
      <c r="B122" s="156"/>
      <c r="C122" s="157"/>
      <c r="D122" s="156"/>
      <c r="E122" s="156"/>
      <c r="F122" s="156"/>
      <c r="G122" s="157"/>
      <c r="H122" s="156"/>
      <c r="I122" s="156"/>
      <c r="J122" s="157"/>
    </row>
    <row r="123">
      <c r="A123" s="159" t="str">
        <f t="shared" si="1"/>
        <v/>
      </c>
      <c r="B123" s="160"/>
      <c r="C123" s="161"/>
      <c r="D123" s="160"/>
      <c r="E123" s="160"/>
      <c r="F123" s="160"/>
      <c r="G123" s="161"/>
      <c r="H123" s="160"/>
      <c r="I123" s="160"/>
      <c r="J123" s="161"/>
    </row>
    <row r="124">
      <c r="A124" s="155" t="str">
        <f t="shared" si="1"/>
        <v/>
      </c>
      <c r="B124" s="156"/>
      <c r="C124" s="157"/>
      <c r="D124" s="156"/>
      <c r="E124" s="156"/>
      <c r="F124" s="156"/>
      <c r="G124" s="157"/>
      <c r="H124" s="156"/>
      <c r="I124" s="156"/>
      <c r="J124" s="157"/>
    </row>
    <row r="125">
      <c r="A125" s="159" t="str">
        <f t="shared" si="1"/>
        <v/>
      </c>
      <c r="B125" s="160"/>
      <c r="C125" s="161"/>
      <c r="D125" s="160"/>
      <c r="E125" s="160"/>
      <c r="F125" s="160"/>
      <c r="G125" s="161"/>
      <c r="H125" s="160"/>
      <c r="I125" s="160"/>
      <c r="J125" s="161"/>
    </row>
    <row r="126">
      <c r="A126" s="155" t="str">
        <f t="shared" si="1"/>
        <v/>
      </c>
      <c r="B126" s="156"/>
      <c r="C126" s="157"/>
      <c r="D126" s="156"/>
      <c r="E126" s="156"/>
      <c r="F126" s="156"/>
      <c r="G126" s="157"/>
      <c r="H126" s="156"/>
      <c r="I126" s="156"/>
      <c r="J126" s="157"/>
    </row>
    <row r="127">
      <c r="A127" s="159" t="str">
        <f t="shared" si="1"/>
        <v/>
      </c>
      <c r="B127" s="160"/>
      <c r="C127" s="161"/>
      <c r="D127" s="160"/>
      <c r="E127" s="160"/>
      <c r="F127" s="160"/>
      <c r="G127" s="161"/>
      <c r="H127" s="160"/>
      <c r="I127" s="160"/>
      <c r="J127" s="161"/>
    </row>
    <row r="128">
      <c r="A128" s="155" t="str">
        <f t="shared" si="1"/>
        <v/>
      </c>
      <c r="B128" s="156"/>
      <c r="C128" s="157"/>
      <c r="D128" s="156"/>
      <c r="E128" s="156"/>
      <c r="F128" s="156"/>
      <c r="G128" s="157"/>
      <c r="H128" s="156"/>
      <c r="I128" s="156"/>
      <c r="J128" s="157"/>
    </row>
    <row r="129">
      <c r="A129" s="159" t="str">
        <f t="shared" si="1"/>
        <v/>
      </c>
      <c r="B129" s="160"/>
      <c r="C129" s="161"/>
      <c r="D129" s="160"/>
      <c r="E129" s="160"/>
      <c r="F129" s="160"/>
      <c r="G129" s="161"/>
      <c r="H129" s="160"/>
      <c r="I129" s="160"/>
      <c r="J129" s="161"/>
    </row>
    <row r="130">
      <c r="A130" s="155" t="str">
        <f t="shared" si="1"/>
        <v/>
      </c>
      <c r="B130" s="156"/>
      <c r="C130" s="157"/>
      <c r="D130" s="156"/>
      <c r="E130" s="156"/>
      <c r="F130" s="156"/>
      <c r="G130" s="157"/>
      <c r="H130" s="156"/>
      <c r="I130" s="156"/>
      <c r="J130" s="157"/>
    </row>
    <row r="131">
      <c r="A131" s="159" t="str">
        <f t="shared" si="1"/>
        <v/>
      </c>
      <c r="B131" s="160"/>
      <c r="C131" s="161"/>
      <c r="D131" s="160"/>
      <c r="E131" s="160"/>
      <c r="F131" s="160"/>
      <c r="G131" s="161"/>
      <c r="H131" s="160"/>
      <c r="I131" s="160"/>
      <c r="J131" s="161"/>
    </row>
    <row r="132">
      <c r="A132" s="155" t="str">
        <f t="shared" si="1"/>
        <v/>
      </c>
      <c r="B132" s="156"/>
      <c r="C132" s="157"/>
      <c r="D132" s="156"/>
      <c r="E132" s="156"/>
      <c r="F132" s="156"/>
      <c r="G132" s="157"/>
      <c r="H132" s="156"/>
      <c r="I132" s="156"/>
      <c r="J132" s="157"/>
    </row>
    <row r="133">
      <c r="A133" s="159" t="str">
        <f t="shared" si="1"/>
        <v/>
      </c>
      <c r="B133" s="160"/>
      <c r="C133" s="161"/>
      <c r="D133" s="160"/>
      <c r="E133" s="160"/>
      <c r="F133" s="160"/>
      <c r="G133" s="161"/>
      <c r="H133" s="160"/>
      <c r="I133" s="160"/>
      <c r="J133" s="161"/>
    </row>
    <row r="134">
      <c r="A134" s="155" t="str">
        <f t="shared" si="1"/>
        <v/>
      </c>
      <c r="B134" s="156"/>
      <c r="C134" s="157"/>
      <c r="D134" s="156"/>
      <c r="E134" s="156"/>
      <c r="F134" s="156"/>
      <c r="G134" s="157"/>
      <c r="H134" s="156"/>
      <c r="I134" s="156"/>
      <c r="J134" s="157"/>
    </row>
    <row r="135">
      <c r="A135" s="159" t="str">
        <f t="shared" si="1"/>
        <v/>
      </c>
      <c r="B135" s="160"/>
      <c r="C135" s="161"/>
      <c r="D135" s="160"/>
      <c r="E135" s="160"/>
      <c r="F135" s="160"/>
      <c r="G135" s="161"/>
      <c r="H135" s="160"/>
      <c r="I135" s="160"/>
      <c r="J135" s="161"/>
    </row>
    <row r="136">
      <c r="A136" s="155" t="str">
        <f t="shared" si="1"/>
        <v/>
      </c>
      <c r="B136" s="156"/>
      <c r="C136" s="157"/>
      <c r="D136" s="156"/>
      <c r="E136" s="156"/>
      <c r="F136" s="156"/>
      <c r="G136" s="157"/>
      <c r="H136" s="156"/>
      <c r="I136" s="156"/>
      <c r="J136" s="157"/>
    </row>
    <row r="137">
      <c r="A137" s="159" t="str">
        <f t="shared" si="1"/>
        <v/>
      </c>
      <c r="B137" s="160"/>
      <c r="C137" s="161"/>
      <c r="D137" s="160"/>
      <c r="E137" s="160"/>
      <c r="F137" s="160"/>
      <c r="G137" s="161"/>
      <c r="H137" s="160"/>
      <c r="I137" s="160"/>
      <c r="J137" s="161"/>
    </row>
    <row r="138">
      <c r="A138" s="155" t="str">
        <f t="shared" si="1"/>
        <v/>
      </c>
      <c r="B138" s="156"/>
      <c r="C138" s="157"/>
      <c r="D138" s="156"/>
      <c r="E138" s="156"/>
      <c r="F138" s="156"/>
      <c r="G138" s="157"/>
      <c r="H138" s="156"/>
      <c r="I138" s="156"/>
      <c r="J138" s="157"/>
    </row>
    <row r="139">
      <c r="A139" s="159" t="str">
        <f t="shared" si="1"/>
        <v/>
      </c>
      <c r="B139" s="160"/>
      <c r="C139" s="161"/>
      <c r="D139" s="160"/>
      <c r="E139" s="160"/>
      <c r="F139" s="160"/>
      <c r="G139" s="161"/>
      <c r="H139" s="160"/>
      <c r="I139" s="160"/>
      <c r="J139" s="161"/>
    </row>
    <row r="140">
      <c r="A140" s="155" t="str">
        <f t="shared" si="1"/>
        <v/>
      </c>
      <c r="B140" s="156"/>
      <c r="C140" s="157"/>
      <c r="D140" s="156"/>
      <c r="E140" s="156"/>
      <c r="F140" s="156"/>
      <c r="G140" s="157"/>
      <c r="H140" s="156"/>
      <c r="I140" s="156"/>
      <c r="J140" s="157"/>
    </row>
    <row r="141">
      <c r="A141" s="159" t="str">
        <f t="shared" si="1"/>
        <v/>
      </c>
      <c r="B141" s="160"/>
      <c r="C141" s="161"/>
      <c r="D141" s="160"/>
      <c r="E141" s="160"/>
      <c r="F141" s="160"/>
      <c r="G141" s="161"/>
      <c r="H141" s="160"/>
      <c r="I141" s="160"/>
      <c r="J141" s="161"/>
    </row>
    <row r="142">
      <c r="A142" s="155" t="str">
        <f t="shared" si="1"/>
        <v/>
      </c>
      <c r="B142" s="156"/>
      <c r="C142" s="157"/>
      <c r="D142" s="156"/>
      <c r="E142" s="156"/>
      <c r="F142" s="156"/>
      <c r="G142" s="157"/>
      <c r="H142" s="156"/>
      <c r="I142" s="156"/>
      <c r="J142" s="157"/>
    </row>
    <row r="143">
      <c r="A143" s="159" t="str">
        <f t="shared" si="1"/>
        <v/>
      </c>
      <c r="B143" s="160"/>
      <c r="C143" s="161"/>
      <c r="D143" s="160"/>
      <c r="E143" s="160"/>
      <c r="F143" s="160"/>
      <c r="G143" s="161"/>
      <c r="H143" s="160"/>
      <c r="I143" s="160"/>
      <c r="J143" s="161"/>
    </row>
    <row r="144">
      <c r="A144" s="155" t="str">
        <f t="shared" si="1"/>
        <v/>
      </c>
      <c r="B144" s="156"/>
      <c r="C144" s="157"/>
      <c r="D144" s="156"/>
      <c r="E144" s="156"/>
      <c r="F144" s="156"/>
      <c r="G144" s="157"/>
      <c r="H144" s="156"/>
      <c r="I144" s="156"/>
      <c r="J144" s="157"/>
    </row>
    <row r="145">
      <c r="A145" s="159" t="str">
        <f t="shared" si="1"/>
        <v/>
      </c>
      <c r="B145" s="160"/>
      <c r="C145" s="161"/>
      <c r="D145" s="160"/>
      <c r="E145" s="160"/>
      <c r="F145" s="160"/>
      <c r="G145" s="161"/>
      <c r="H145" s="160"/>
      <c r="I145" s="160"/>
      <c r="J145" s="161"/>
    </row>
    <row r="146">
      <c r="A146" s="155" t="str">
        <f t="shared" si="1"/>
        <v/>
      </c>
      <c r="B146" s="156"/>
      <c r="C146" s="157"/>
      <c r="D146" s="156"/>
      <c r="E146" s="156"/>
      <c r="F146" s="156"/>
      <c r="G146" s="157"/>
      <c r="H146" s="156"/>
      <c r="I146" s="156"/>
      <c r="J146" s="157"/>
    </row>
    <row r="147">
      <c r="A147" s="159" t="str">
        <f t="shared" si="1"/>
        <v/>
      </c>
      <c r="B147" s="160"/>
      <c r="C147" s="161"/>
      <c r="D147" s="160"/>
      <c r="E147" s="160"/>
      <c r="F147" s="160"/>
      <c r="G147" s="161"/>
      <c r="H147" s="160"/>
      <c r="I147" s="160"/>
      <c r="J147" s="161"/>
    </row>
    <row r="148">
      <c r="A148" s="155" t="str">
        <f t="shared" si="1"/>
        <v/>
      </c>
      <c r="B148" s="156"/>
      <c r="C148" s="157"/>
      <c r="D148" s="156"/>
      <c r="E148" s="156"/>
      <c r="F148" s="156"/>
      <c r="G148" s="157"/>
      <c r="H148" s="156"/>
      <c r="I148" s="156"/>
      <c r="J148" s="157"/>
    </row>
    <row r="149">
      <c r="A149" s="159" t="str">
        <f t="shared" si="1"/>
        <v/>
      </c>
      <c r="B149" s="160"/>
      <c r="C149" s="161"/>
      <c r="D149" s="160"/>
      <c r="E149" s="160"/>
      <c r="F149" s="160"/>
      <c r="G149" s="161"/>
      <c r="H149" s="160"/>
      <c r="I149" s="160"/>
      <c r="J149" s="161"/>
    </row>
    <row r="150">
      <c r="A150" s="155" t="str">
        <f t="shared" si="1"/>
        <v/>
      </c>
      <c r="B150" s="156"/>
      <c r="C150" s="157"/>
      <c r="D150" s="156"/>
      <c r="E150" s="156"/>
      <c r="F150" s="156"/>
      <c r="G150" s="157"/>
      <c r="H150" s="156"/>
      <c r="I150" s="156"/>
      <c r="J150" s="157"/>
    </row>
    <row r="151">
      <c r="A151" s="159" t="str">
        <f t="shared" si="1"/>
        <v/>
      </c>
      <c r="B151" s="160"/>
      <c r="C151" s="161"/>
      <c r="D151" s="160"/>
      <c r="E151" s="160"/>
      <c r="F151" s="160"/>
      <c r="G151" s="161"/>
      <c r="H151" s="160"/>
      <c r="I151" s="160"/>
      <c r="J151" s="161"/>
    </row>
    <row r="152">
      <c r="A152" s="155" t="str">
        <f t="shared" si="1"/>
        <v/>
      </c>
      <c r="B152" s="156"/>
      <c r="C152" s="157"/>
      <c r="D152" s="156"/>
      <c r="E152" s="156"/>
      <c r="F152" s="156"/>
      <c r="G152" s="157"/>
      <c r="H152" s="156"/>
      <c r="I152" s="156"/>
      <c r="J152" s="157"/>
    </row>
    <row r="153">
      <c r="A153" s="159" t="str">
        <f t="shared" si="1"/>
        <v/>
      </c>
      <c r="B153" s="160"/>
      <c r="C153" s="161"/>
      <c r="D153" s="160"/>
      <c r="E153" s="160"/>
      <c r="F153" s="160"/>
      <c r="G153" s="161"/>
      <c r="H153" s="160"/>
      <c r="I153" s="160"/>
      <c r="J153" s="161"/>
    </row>
    <row r="154">
      <c r="A154" s="155" t="str">
        <f t="shared" si="1"/>
        <v/>
      </c>
      <c r="B154" s="156"/>
      <c r="C154" s="157"/>
      <c r="D154" s="156"/>
      <c r="E154" s="156"/>
      <c r="F154" s="156"/>
      <c r="G154" s="157"/>
      <c r="H154" s="156"/>
      <c r="I154" s="156"/>
      <c r="J154" s="157"/>
    </row>
    <row r="155">
      <c r="A155" s="159" t="str">
        <f t="shared" si="1"/>
        <v/>
      </c>
      <c r="B155" s="160"/>
      <c r="C155" s="161"/>
      <c r="D155" s="160"/>
      <c r="E155" s="160"/>
      <c r="F155" s="160"/>
      <c r="G155" s="161"/>
      <c r="H155" s="160"/>
      <c r="I155" s="160"/>
      <c r="J155" s="161"/>
    </row>
    <row r="156">
      <c r="A156" s="155" t="str">
        <f t="shared" si="1"/>
        <v/>
      </c>
      <c r="B156" s="156"/>
      <c r="C156" s="157"/>
      <c r="D156" s="156"/>
      <c r="E156" s="156"/>
      <c r="F156" s="156"/>
      <c r="G156" s="157"/>
      <c r="H156" s="156"/>
      <c r="I156" s="156"/>
      <c r="J156" s="157"/>
    </row>
    <row r="157">
      <c r="A157" s="159" t="str">
        <f t="shared" si="1"/>
        <v/>
      </c>
      <c r="B157" s="160"/>
      <c r="C157" s="161"/>
      <c r="D157" s="160"/>
      <c r="E157" s="160"/>
      <c r="F157" s="160"/>
      <c r="G157" s="161"/>
      <c r="H157" s="160"/>
      <c r="I157" s="160"/>
      <c r="J157" s="161"/>
    </row>
    <row r="158">
      <c r="A158" s="155" t="str">
        <f t="shared" si="1"/>
        <v/>
      </c>
      <c r="B158" s="156"/>
      <c r="C158" s="157"/>
      <c r="D158" s="156"/>
      <c r="E158" s="156"/>
      <c r="F158" s="156"/>
      <c r="G158" s="157"/>
      <c r="H158" s="156"/>
      <c r="I158" s="156"/>
      <c r="J158" s="157"/>
    </row>
    <row r="159">
      <c r="A159" s="159" t="str">
        <f t="shared" si="1"/>
        <v/>
      </c>
      <c r="B159" s="160"/>
      <c r="C159" s="161"/>
      <c r="D159" s="160"/>
      <c r="E159" s="160"/>
      <c r="F159" s="160"/>
      <c r="G159" s="161"/>
      <c r="H159" s="160"/>
      <c r="I159" s="160"/>
      <c r="J159" s="161"/>
    </row>
    <row r="160">
      <c r="A160" s="155" t="str">
        <f t="shared" si="1"/>
        <v/>
      </c>
      <c r="B160" s="156"/>
      <c r="C160" s="157"/>
      <c r="D160" s="156"/>
      <c r="E160" s="156"/>
      <c r="F160" s="156"/>
      <c r="G160" s="157"/>
      <c r="H160" s="156"/>
      <c r="I160" s="156"/>
      <c r="J160" s="157"/>
    </row>
    <row r="161">
      <c r="A161" s="159" t="str">
        <f t="shared" si="1"/>
        <v/>
      </c>
      <c r="B161" s="160"/>
      <c r="C161" s="161"/>
      <c r="D161" s="160"/>
      <c r="E161" s="160"/>
      <c r="F161" s="160"/>
      <c r="G161" s="161"/>
      <c r="H161" s="160"/>
      <c r="I161" s="160"/>
      <c r="J161" s="161"/>
    </row>
    <row r="162">
      <c r="A162" s="155" t="str">
        <f t="shared" si="1"/>
        <v/>
      </c>
      <c r="B162" s="156"/>
      <c r="C162" s="157"/>
      <c r="D162" s="156"/>
      <c r="E162" s="156"/>
      <c r="F162" s="156"/>
      <c r="G162" s="157"/>
      <c r="H162" s="156"/>
      <c r="I162" s="156"/>
      <c r="J162" s="157"/>
    </row>
    <row r="163">
      <c r="A163" s="159" t="str">
        <f t="shared" si="1"/>
        <v/>
      </c>
      <c r="B163" s="160"/>
      <c r="C163" s="161"/>
      <c r="D163" s="160"/>
      <c r="E163" s="160"/>
      <c r="F163" s="160"/>
      <c r="G163" s="161"/>
      <c r="H163" s="160"/>
      <c r="I163" s="160"/>
      <c r="J163" s="161"/>
    </row>
    <row r="164">
      <c r="A164" s="155" t="str">
        <f t="shared" si="1"/>
        <v/>
      </c>
      <c r="B164" s="156"/>
      <c r="C164" s="157"/>
      <c r="D164" s="156"/>
      <c r="E164" s="156"/>
      <c r="F164" s="156"/>
      <c r="G164" s="157"/>
      <c r="H164" s="156"/>
      <c r="I164" s="156"/>
      <c r="J164" s="157"/>
    </row>
    <row r="165">
      <c r="A165" s="159" t="str">
        <f t="shared" si="1"/>
        <v/>
      </c>
      <c r="B165" s="160"/>
      <c r="C165" s="161"/>
      <c r="D165" s="160"/>
      <c r="E165" s="160"/>
      <c r="F165" s="160"/>
      <c r="G165" s="161"/>
      <c r="H165" s="160"/>
      <c r="I165" s="160"/>
      <c r="J165" s="161"/>
    </row>
    <row r="166">
      <c r="A166" s="155" t="str">
        <f t="shared" si="1"/>
        <v/>
      </c>
      <c r="B166" s="156"/>
      <c r="C166" s="157"/>
      <c r="D166" s="156"/>
      <c r="E166" s="156"/>
      <c r="F166" s="156"/>
      <c r="G166" s="157"/>
      <c r="H166" s="156"/>
      <c r="I166" s="156"/>
      <c r="J166" s="157"/>
    </row>
    <row r="167">
      <c r="A167" s="159" t="str">
        <f t="shared" si="1"/>
        <v/>
      </c>
      <c r="B167" s="160"/>
      <c r="C167" s="161"/>
      <c r="D167" s="160"/>
      <c r="E167" s="160"/>
      <c r="F167" s="160"/>
      <c r="G167" s="161"/>
      <c r="H167" s="160"/>
      <c r="I167" s="160"/>
      <c r="J167" s="161"/>
    </row>
    <row r="168">
      <c r="A168" s="155" t="str">
        <f t="shared" si="1"/>
        <v/>
      </c>
      <c r="B168" s="156"/>
      <c r="C168" s="157"/>
      <c r="D168" s="156"/>
      <c r="E168" s="156"/>
      <c r="F168" s="156"/>
      <c r="G168" s="157"/>
      <c r="H168" s="156"/>
      <c r="I168" s="156"/>
      <c r="J168" s="157"/>
    </row>
    <row r="169">
      <c r="A169" s="159" t="str">
        <f t="shared" si="1"/>
        <v/>
      </c>
      <c r="B169" s="160"/>
      <c r="C169" s="161"/>
      <c r="D169" s="160"/>
      <c r="E169" s="160"/>
      <c r="F169" s="160"/>
      <c r="G169" s="161"/>
      <c r="H169" s="160"/>
      <c r="I169" s="160"/>
      <c r="J169" s="161"/>
    </row>
    <row r="170">
      <c r="A170" s="155" t="str">
        <f t="shared" si="1"/>
        <v/>
      </c>
      <c r="B170" s="156"/>
      <c r="C170" s="157"/>
      <c r="D170" s="156"/>
      <c r="E170" s="156"/>
      <c r="F170" s="156"/>
      <c r="G170" s="157"/>
      <c r="H170" s="156"/>
      <c r="I170" s="156"/>
      <c r="J170" s="157"/>
    </row>
    <row r="171">
      <c r="A171" s="159" t="str">
        <f t="shared" si="1"/>
        <v/>
      </c>
      <c r="B171" s="160"/>
      <c r="C171" s="161"/>
      <c r="D171" s="160"/>
      <c r="E171" s="160"/>
      <c r="F171" s="160"/>
      <c r="G171" s="161"/>
      <c r="H171" s="160"/>
      <c r="I171" s="160"/>
      <c r="J171" s="161"/>
    </row>
    <row r="172">
      <c r="A172" s="155" t="str">
        <f t="shared" si="1"/>
        <v/>
      </c>
      <c r="B172" s="156"/>
      <c r="C172" s="157"/>
      <c r="D172" s="156"/>
      <c r="E172" s="156"/>
      <c r="F172" s="156"/>
      <c r="G172" s="157"/>
      <c r="H172" s="156"/>
      <c r="I172" s="156"/>
      <c r="J172" s="157"/>
    </row>
    <row r="173">
      <c r="A173" s="159" t="str">
        <f t="shared" si="1"/>
        <v/>
      </c>
      <c r="B173" s="160"/>
      <c r="C173" s="161"/>
      <c r="D173" s="160"/>
      <c r="E173" s="160"/>
      <c r="F173" s="160"/>
      <c r="G173" s="161"/>
      <c r="H173" s="160"/>
      <c r="I173" s="160"/>
      <c r="J173" s="161"/>
    </row>
    <row r="174">
      <c r="A174" s="155" t="str">
        <f t="shared" si="1"/>
        <v/>
      </c>
      <c r="B174" s="156"/>
      <c r="C174" s="157"/>
      <c r="D174" s="156"/>
      <c r="E174" s="156"/>
      <c r="F174" s="156"/>
      <c r="G174" s="157"/>
      <c r="H174" s="156"/>
      <c r="I174" s="156"/>
      <c r="J174" s="157"/>
    </row>
    <row r="175">
      <c r="A175" s="159" t="str">
        <f t="shared" si="1"/>
        <v/>
      </c>
      <c r="B175" s="160"/>
      <c r="C175" s="161"/>
      <c r="D175" s="160"/>
      <c r="E175" s="160"/>
      <c r="F175" s="160"/>
      <c r="G175" s="161"/>
      <c r="H175" s="160"/>
      <c r="I175" s="160"/>
      <c r="J175" s="161"/>
    </row>
    <row r="176">
      <c r="A176" s="155" t="str">
        <f t="shared" si="1"/>
        <v/>
      </c>
      <c r="B176" s="156"/>
      <c r="C176" s="157"/>
      <c r="D176" s="156"/>
      <c r="E176" s="156"/>
      <c r="F176" s="156"/>
      <c r="G176" s="157"/>
      <c r="H176" s="156"/>
      <c r="I176" s="156"/>
      <c r="J176" s="157"/>
    </row>
    <row r="177">
      <c r="A177" s="159" t="str">
        <f t="shared" si="1"/>
        <v/>
      </c>
      <c r="B177" s="160"/>
      <c r="C177" s="161"/>
      <c r="D177" s="160"/>
      <c r="E177" s="160"/>
      <c r="F177" s="160"/>
      <c r="G177" s="161"/>
      <c r="H177" s="160"/>
      <c r="I177" s="160"/>
      <c r="J177" s="161"/>
    </row>
    <row r="178">
      <c r="A178" s="155" t="str">
        <f t="shared" si="1"/>
        <v/>
      </c>
      <c r="B178" s="156"/>
      <c r="C178" s="157"/>
      <c r="D178" s="156"/>
      <c r="E178" s="156"/>
      <c r="F178" s="156"/>
      <c r="G178" s="157"/>
      <c r="H178" s="156"/>
      <c r="I178" s="156"/>
      <c r="J178" s="157"/>
    </row>
    <row r="179">
      <c r="A179" s="159" t="str">
        <f t="shared" si="1"/>
        <v/>
      </c>
      <c r="B179" s="160"/>
      <c r="C179" s="161"/>
      <c r="D179" s="160"/>
      <c r="E179" s="160"/>
      <c r="F179" s="160"/>
      <c r="G179" s="161"/>
      <c r="H179" s="160"/>
      <c r="I179" s="160"/>
      <c r="J179" s="161"/>
    </row>
    <row r="180">
      <c r="A180" s="155" t="str">
        <f t="shared" si="1"/>
        <v/>
      </c>
      <c r="B180" s="156"/>
      <c r="C180" s="157"/>
      <c r="D180" s="156"/>
      <c r="E180" s="156"/>
      <c r="F180" s="156"/>
      <c r="G180" s="157"/>
      <c r="H180" s="156"/>
      <c r="I180" s="156"/>
      <c r="J180" s="157"/>
    </row>
    <row r="181">
      <c r="A181" s="159" t="str">
        <f t="shared" si="1"/>
        <v/>
      </c>
      <c r="B181" s="160"/>
      <c r="C181" s="161"/>
      <c r="D181" s="160"/>
      <c r="E181" s="160"/>
      <c r="F181" s="160"/>
      <c r="G181" s="161"/>
      <c r="H181" s="160"/>
      <c r="I181" s="160"/>
      <c r="J181" s="161"/>
    </row>
    <row r="182">
      <c r="A182" s="155" t="str">
        <f t="shared" si="1"/>
        <v/>
      </c>
      <c r="B182" s="156"/>
      <c r="C182" s="157"/>
      <c r="D182" s="156"/>
      <c r="E182" s="156"/>
      <c r="F182" s="156"/>
      <c r="G182" s="157"/>
      <c r="H182" s="156"/>
      <c r="I182" s="156"/>
      <c r="J182" s="157"/>
    </row>
    <row r="183">
      <c r="A183" s="159" t="str">
        <f t="shared" si="1"/>
        <v/>
      </c>
      <c r="B183" s="160"/>
      <c r="C183" s="161"/>
      <c r="D183" s="160"/>
      <c r="E183" s="160"/>
      <c r="F183" s="160"/>
      <c r="G183" s="161"/>
      <c r="H183" s="160"/>
      <c r="I183" s="160"/>
      <c r="J183" s="161"/>
    </row>
    <row r="184">
      <c r="A184" s="155" t="str">
        <f t="shared" si="1"/>
        <v/>
      </c>
      <c r="B184" s="156"/>
      <c r="C184" s="157"/>
      <c r="D184" s="156"/>
      <c r="E184" s="156"/>
      <c r="F184" s="156"/>
      <c r="G184" s="157"/>
      <c r="H184" s="156"/>
      <c r="I184" s="156"/>
      <c r="J184" s="157"/>
    </row>
    <row r="185">
      <c r="A185" s="159" t="str">
        <f t="shared" si="1"/>
        <v/>
      </c>
      <c r="B185" s="160"/>
      <c r="C185" s="161"/>
      <c r="D185" s="160"/>
      <c r="E185" s="160"/>
      <c r="F185" s="160"/>
      <c r="G185" s="161"/>
      <c r="H185" s="160"/>
      <c r="I185" s="160"/>
      <c r="J185" s="161"/>
    </row>
    <row r="186">
      <c r="A186" s="155" t="str">
        <f t="shared" si="1"/>
        <v/>
      </c>
      <c r="B186" s="156"/>
      <c r="C186" s="157"/>
      <c r="D186" s="156"/>
      <c r="E186" s="156"/>
      <c r="F186" s="156"/>
      <c r="G186" s="157"/>
      <c r="H186" s="156"/>
      <c r="I186" s="156"/>
      <c r="J186" s="157"/>
    </row>
    <row r="187">
      <c r="A187" s="159" t="str">
        <f t="shared" si="1"/>
        <v/>
      </c>
      <c r="B187" s="160"/>
      <c r="C187" s="161"/>
      <c r="D187" s="160"/>
      <c r="E187" s="160"/>
      <c r="F187" s="160"/>
      <c r="G187" s="161"/>
      <c r="H187" s="160"/>
      <c r="I187" s="160"/>
      <c r="J187" s="161"/>
    </row>
    <row r="188">
      <c r="A188" s="155" t="str">
        <f t="shared" si="1"/>
        <v/>
      </c>
      <c r="B188" s="156"/>
      <c r="C188" s="157"/>
      <c r="D188" s="156"/>
      <c r="E188" s="156"/>
      <c r="F188" s="156"/>
      <c r="G188" s="157"/>
      <c r="H188" s="156"/>
      <c r="I188" s="156"/>
      <c r="J188" s="157"/>
    </row>
    <row r="189">
      <c r="A189" s="159" t="str">
        <f t="shared" si="1"/>
        <v/>
      </c>
      <c r="B189" s="160"/>
      <c r="C189" s="161"/>
      <c r="D189" s="160"/>
      <c r="E189" s="160"/>
      <c r="F189" s="160"/>
      <c r="G189" s="161"/>
      <c r="H189" s="160"/>
      <c r="I189" s="160"/>
      <c r="J189" s="161"/>
    </row>
    <row r="190">
      <c r="A190" s="155" t="str">
        <f t="shared" si="1"/>
        <v/>
      </c>
      <c r="B190" s="156"/>
      <c r="C190" s="157"/>
      <c r="D190" s="156"/>
      <c r="E190" s="156"/>
      <c r="F190" s="156"/>
      <c r="G190" s="157"/>
      <c r="H190" s="156"/>
      <c r="I190" s="156"/>
      <c r="J190" s="157"/>
    </row>
    <row r="191">
      <c r="A191" s="159" t="str">
        <f t="shared" si="1"/>
        <v/>
      </c>
      <c r="B191" s="160"/>
      <c r="C191" s="161"/>
      <c r="D191" s="160"/>
      <c r="E191" s="160"/>
      <c r="F191" s="160"/>
      <c r="G191" s="161"/>
      <c r="H191" s="160"/>
      <c r="I191" s="160"/>
      <c r="J191" s="161"/>
    </row>
    <row r="192">
      <c r="A192" s="155" t="str">
        <f t="shared" si="1"/>
        <v/>
      </c>
      <c r="B192" s="156"/>
      <c r="C192" s="157"/>
      <c r="D192" s="156"/>
      <c r="E192" s="156"/>
      <c r="F192" s="156"/>
      <c r="G192" s="157"/>
      <c r="H192" s="156"/>
      <c r="I192" s="156"/>
      <c r="J192" s="157"/>
    </row>
    <row r="193">
      <c r="A193" s="159" t="str">
        <f t="shared" si="1"/>
        <v/>
      </c>
      <c r="B193" s="160"/>
      <c r="C193" s="161"/>
      <c r="D193" s="160"/>
      <c r="E193" s="160"/>
      <c r="F193" s="160"/>
      <c r="G193" s="161"/>
      <c r="H193" s="160"/>
      <c r="I193" s="160"/>
      <c r="J193" s="161"/>
    </row>
    <row r="194">
      <c r="A194" s="155" t="str">
        <f t="shared" si="1"/>
        <v/>
      </c>
      <c r="B194" s="156"/>
      <c r="C194" s="157"/>
      <c r="D194" s="156"/>
      <c r="E194" s="156"/>
      <c r="F194" s="156"/>
      <c r="G194" s="157"/>
      <c r="H194" s="156"/>
      <c r="I194" s="156"/>
      <c r="J194" s="157"/>
    </row>
    <row r="195">
      <c r="A195" s="159" t="str">
        <f t="shared" si="1"/>
        <v/>
      </c>
      <c r="B195" s="160"/>
      <c r="C195" s="161"/>
      <c r="D195" s="160"/>
      <c r="E195" s="160"/>
      <c r="F195" s="160"/>
      <c r="G195" s="161"/>
      <c r="H195" s="160"/>
      <c r="I195" s="160"/>
      <c r="J195" s="161"/>
    </row>
    <row r="196">
      <c r="A196" s="155" t="str">
        <f t="shared" si="1"/>
        <v/>
      </c>
      <c r="B196" s="156"/>
      <c r="C196" s="157"/>
      <c r="D196" s="156"/>
      <c r="E196" s="156"/>
      <c r="F196" s="156"/>
      <c r="G196" s="157"/>
      <c r="H196" s="156"/>
      <c r="I196" s="156"/>
      <c r="J196" s="157"/>
    </row>
    <row r="197">
      <c r="A197" s="159" t="str">
        <f t="shared" si="1"/>
        <v/>
      </c>
      <c r="B197" s="160"/>
      <c r="C197" s="161"/>
      <c r="D197" s="160"/>
      <c r="E197" s="160"/>
      <c r="F197" s="160"/>
      <c r="G197" s="161"/>
      <c r="H197" s="160"/>
      <c r="I197" s="160"/>
      <c r="J197" s="161"/>
    </row>
    <row r="198">
      <c r="A198" s="155" t="str">
        <f t="shared" si="1"/>
        <v/>
      </c>
      <c r="B198" s="156"/>
      <c r="C198" s="157"/>
      <c r="D198" s="156"/>
      <c r="E198" s="156"/>
      <c r="F198" s="156"/>
      <c r="G198" s="157"/>
      <c r="H198" s="156"/>
      <c r="I198" s="156"/>
      <c r="J198" s="157"/>
    </row>
    <row r="199">
      <c r="A199" s="159" t="str">
        <f t="shared" si="1"/>
        <v/>
      </c>
      <c r="B199" s="160"/>
      <c r="C199" s="161"/>
      <c r="D199" s="160"/>
      <c r="E199" s="160"/>
      <c r="F199" s="160"/>
      <c r="G199" s="161"/>
      <c r="H199" s="160"/>
      <c r="I199" s="160"/>
      <c r="J199" s="161"/>
    </row>
    <row r="200">
      <c r="A200" s="155" t="str">
        <f t="shared" si="1"/>
        <v/>
      </c>
      <c r="B200" s="156"/>
      <c r="C200" s="157"/>
      <c r="D200" s="156"/>
      <c r="E200" s="156"/>
      <c r="F200" s="156"/>
      <c r="G200" s="157"/>
      <c r="H200" s="156"/>
      <c r="I200" s="156"/>
      <c r="J200" s="157"/>
    </row>
    <row r="201">
      <c r="A201" s="159" t="str">
        <f t="shared" si="1"/>
        <v/>
      </c>
      <c r="B201" s="160"/>
      <c r="C201" s="161"/>
      <c r="D201" s="160"/>
      <c r="E201" s="160"/>
      <c r="F201" s="160"/>
      <c r="G201" s="161"/>
      <c r="H201" s="160"/>
      <c r="I201" s="160"/>
      <c r="J201" s="161"/>
    </row>
    <row r="202">
      <c r="A202" s="155" t="str">
        <f t="shared" si="1"/>
        <v/>
      </c>
      <c r="B202" s="156"/>
      <c r="C202" s="157"/>
      <c r="D202" s="156"/>
      <c r="E202" s="156"/>
      <c r="F202" s="156"/>
      <c r="G202" s="157"/>
      <c r="H202" s="156"/>
      <c r="I202" s="156"/>
      <c r="J202" s="157"/>
    </row>
    <row r="203">
      <c r="A203" s="159" t="str">
        <f t="shared" si="1"/>
        <v/>
      </c>
      <c r="B203" s="160"/>
      <c r="C203" s="161"/>
      <c r="D203" s="160"/>
      <c r="E203" s="160"/>
      <c r="F203" s="160"/>
      <c r="G203" s="161"/>
      <c r="H203" s="160"/>
      <c r="I203" s="160"/>
      <c r="J203" s="161"/>
    </row>
    <row r="204">
      <c r="A204" s="155" t="str">
        <f t="shared" si="1"/>
        <v/>
      </c>
      <c r="B204" s="156"/>
      <c r="C204" s="157"/>
      <c r="D204" s="156"/>
      <c r="E204" s="156"/>
      <c r="F204" s="156"/>
      <c r="G204" s="157"/>
      <c r="H204" s="156"/>
      <c r="I204" s="156"/>
      <c r="J204" s="157"/>
    </row>
    <row r="205">
      <c r="A205" s="159" t="str">
        <f t="shared" si="1"/>
        <v/>
      </c>
      <c r="B205" s="160"/>
      <c r="C205" s="161"/>
      <c r="D205" s="160"/>
      <c r="E205" s="160"/>
      <c r="F205" s="160"/>
      <c r="G205" s="161"/>
      <c r="H205" s="160"/>
      <c r="I205" s="160"/>
      <c r="J205" s="161"/>
    </row>
    <row r="206">
      <c r="A206" s="155" t="str">
        <f t="shared" si="1"/>
        <v/>
      </c>
      <c r="B206" s="156"/>
      <c r="C206" s="157"/>
      <c r="D206" s="156"/>
      <c r="E206" s="156"/>
      <c r="F206" s="156"/>
      <c r="G206" s="157"/>
      <c r="H206" s="156"/>
      <c r="I206" s="156"/>
      <c r="J206" s="157"/>
    </row>
    <row r="207">
      <c r="A207" s="159" t="str">
        <f t="shared" si="1"/>
        <v/>
      </c>
      <c r="B207" s="160"/>
      <c r="C207" s="161"/>
      <c r="D207" s="160"/>
      <c r="E207" s="160"/>
      <c r="F207" s="160"/>
      <c r="G207" s="161"/>
      <c r="H207" s="160"/>
      <c r="I207" s="160"/>
      <c r="J207" s="161"/>
    </row>
    <row r="208">
      <c r="A208" s="155" t="str">
        <f t="shared" si="1"/>
        <v/>
      </c>
      <c r="B208" s="156"/>
      <c r="C208" s="157"/>
      <c r="D208" s="156"/>
      <c r="E208" s="156"/>
      <c r="F208" s="156"/>
      <c r="G208" s="157"/>
      <c r="H208" s="156"/>
      <c r="I208" s="156"/>
      <c r="J208" s="157"/>
    </row>
    <row r="209">
      <c r="A209" s="159" t="str">
        <f t="shared" si="1"/>
        <v/>
      </c>
      <c r="B209" s="160"/>
      <c r="C209" s="161"/>
      <c r="D209" s="160"/>
      <c r="E209" s="160"/>
      <c r="F209" s="160"/>
      <c r="G209" s="161"/>
      <c r="H209" s="160"/>
      <c r="I209" s="160"/>
      <c r="J209" s="161"/>
    </row>
    <row r="210">
      <c r="A210" s="155" t="str">
        <f t="shared" si="1"/>
        <v/>
      </c>
      <c r="B210" s="156"/>
      <c r="C210" s="157"/>
      <c r="D210" s="156"/>
      <c r="E210" s="156"/>
      <c r="F210" s="156"/>
      <c r="G210" s="157"/>
      <c r="H210" s="156"/>
      <c r="I210" s="156"/>
      <c r="J210" s="157"/>
    </row>
    <row r="211">
      <c r="A211" s="159" t="str">
        <f t="shared" si="1"/>
        <v/>
      </c>
      <c r="B211" s="160"/>
      <c r="C211" s="161"/>
      <c r="D211" s="160"/>
      <c r="E211" s="160"/>
      <c r="F211" s="160"/>
      <c r="G211" s="161"/>
      <c r="H211" s="160"/>
      <c r="I211" s="160"/>
      <c r="J211" s="161"/>
    </row>
    <row r="212">
      <c r="A212" s="155" t="str">
        <f t="shared" si="1"/>
        <v/>
      </c>
      <c r="B212" s="156"/>
      <c r="C212" s="157"/>
      <c r="D212" s="156"/>
      <c r="E212" s="156"/>
      <c r="F212" s="156"/>
      <c r="G212" s="157"/>
      <c r="H212" s="156"/>
      <c r="I212" s="156"/>
      <c r="J212" s="157"/>
    </row>
    <row r="213">
      <c r="A213" s="159" t="str">
        <f t="shared" si="1"/>
        <v/>
      </c>
      <c r="B213" s="160"/>
      <c r="C213" s="161"/>
      <c r="D213" s="160"/>
      <c r="E213" s="160"/>
      <c r="F213" s="160"/>
      <c r="G213" s="161"/>
      <c r="H213" s="160"/>
      <c r="I213" s="160"/>
      <c r="J213" s="161"/>
    </row>
    <row r="214">
      <c r="A214" s="155" t="str">
        <f t="shared" si="1"/>
        <v/>
      </c>
      <c r="B214" s="156"/>
      <c r="C214" s="157"/>
      <c r="D214" s="156"/>
      <c r="E214" s="156"/>
      <c r="F214" s="156"/>
      <c r="G214" s="157"/>
      <c r="H214" s="156"/>
      <c r="I214" s="156"/>
      <c r="J214" s="157"/>
    </row>
    <row r="215">
      <c r="A215" s="159" t="str">
        <f t="shared" si="1"/>
        <v/>
      </c>
      <c r="B215" s="160"/>
      <c r="C215" s="161"/>
      <c r="D215" s="160"/>
      <c r="E215" s="160"/>
      <c r="F215" s="160"/>
      <c r="G215" s="161"/>
      <c r="H215" s="160"/>
      <c r="I215" s="160"/>
      <c r="J215" s="161"/>
    </row>
    <row r="216">
      <c r="A216" s="155" t="str">
        <f t="shared" si="1"/>
        <v/>
      </c>
      <c r="B216" s="156"/>
      <c r="C216" s="157"/>
      <c r="D216" s="156"/>
      <c r="E216" s="156"/>
      <c r="F216" s="156"/>
      <c r="G216" s="157"/>
      <c r="H216" s="156"/>
      <c r="I216" s="156"/>
      <c r="J216" s="157"/>
    </row>
    <row r="217">
      <c r="A217" s="159" t="str">
        <f t="shared" si="1"/>
        <v/>
      </c>
      <c r="B217" s="160"/>
      <c r="C217" s="161"/>
      <c r="D217" s="160"/>
      <c r="E217" s="160"/>
      <c r="F217" s="160"/>
      <c r="G217" s="161"/>
      <c r="H217" s="160"/>
      <c r="I217" s="160"/>
      <c r="J217" s="161"/>
    </row>
    <row r="218">
      <c r="A218" s="155" t="str">
        <f t="shared" si="1"/>
        <v/>
      </c>
      <c r="B218" s="156"/>
      <c r="C218" s="157"/>
      <c r="D218" s="156"/>
      <c r="E218" s="156"/>
      <c r="F218" s="156"/>
      <c r="G218" s="157"/>
      <c r="H218" s="156"/>
      <c r="I218" s="156"/>
      <c r="J218" s="157"/>
    </row>
    <row r="219">
      <c r="A219" s="159" t="str">
        <f t="shared" si="1"/>
        <v/>
      </c>
      <c r="B219" s="160"/>
      <c r="C219" s="161"/>
      <c r="D219" s="160"/>
      <c r="E219" s="160"/>
      <c r="F219" s="160"/>
      <c r="G219" s="161"/>
      <c r="H219" s="160"/>
      <c r="I219" s="160"/>
      <c r="J219" s="161"/>
    </row>
    <row r="220">
      <c r="A220" s="155" t="str">
        <f t="shared" si="1"/>
        <v/>
      </c>
      <c r="B220" s="156"/>
      <c r="C220" s="157"/>
      <c r="D220" s="156"/>
      <c r="E220" s="156"/>
      <c r="F220" s="156"/>
      <c r="G220" s="157"/>
      <c r="H220" s="156"/>
      <c r="I220" s="156"/>
      <c r="J220" s="157"/>
    </row>
    <row r="221">
      <c r="A221" s="159" t="str">
        <f t="shared" si="1"/>
        <v/>
      </c>
      <c r="B221" s="160"/>
      <c r="C221" s="161"/>
      <c r="D221" s="160"/>
      <c r="E221" s="160"/>
      <c r="F221" s="160"/>
      <c r="G221" s="161"/>
      <c r="H221" s="160"/>
      <c r="I221" s="160"/>
      <c r="J221" s="161"/>
    </row>
    <row r="222">
      <c r="A222" s="155" t="str">
        <f t="shared" si="1"/>
        <v/>
      </c>
      <c r="B222" s="156"/>
      <c r="C222" s="157"/>
      <c r="D222" s="156"/>
      <c r="E222" s="156"/>
      <c r="F222" s="156"/>
      <c r="G222" s="157"/>
      <c r="H222" s="156"/>
      <c r="I222" s="156"/>
      <c r="J222" s="157"/>
    </row>
    <row r="223">
      <c r="A223" s="159" t="str">
        <f t="shared" si="1"/>
        <v/>
      </c>
      <c r="B223" s="160"/>
      <c r="C223" s="161"/>
      <c r="D223" s="160"/>
      <c r="E223" s="160"/>
      <c r="F223" s="160"/>
      <c r="G223" s="161"/>
      <c r="H223" s="160"/>
      <c r="I223" s="160"/>
      <c r="J223" s="161"/>
    </row>
    <row r="224">
      <c r="A224" s="155" t="str">
        <f t="shared" si="1"/>
        <v/>
      </c>
      <c r="B224" s="156"/>
      <c r="C224" s="157"/>
      <c r="D224" s="156"/>
      <c r="E224" s="156"/>
      <c r="F224" s="156"/>
      <c r="G224" s="157"/>
      <c r="H224" s="156"/>
      <c r="I224" s="156"/>
      <c r="J224" s="157"/>
    </row>
    <row r="225">
      <c r="A225" s="159" t="str">
        <f t="shared" si="1"/>
        <v/>
      </c>
      <c r="B225" s="160"/>
      <c r="C225" s="161"/>
      <c r="D225" s="160"/>
      <c r="E225" s="160"/>
      <c r="F225" s="160"/>
      <c r="G225" s="161"/>
      <c r="H225" s="160"/>
      <c r="I225" s="160"/>
      <c r="J225" s="161"/>
    </row>
    <row r="226">
      <c r="A226" s="155" t="str">
        <f t="shared" si="1"/>
        <v/>
      </c>
      <c r="B226" s="156"/>
      <c r="C226" s="157"/>
      <c r="D226" s="156"/>
      <c r="E226" s="156"/>
      <c r="F226" s="156"/>
      <c r="G226" s="157"/>
      <c r="H226" s="156"/>
      <c r="I226" s="156"/>
      <c r="J226" s="157"/>
    </row>
    <row r="227">
      <c r="A227" s="159" t="str">
        <f t="shared" si="1"/>
        <v/>
      </c>
      <c r="B227" s="160"/>
      <c r="C227" s="161"/>
      <c r="D227" s="160"/>
      <c r="E227" s="160"/>
      <c r="F227" s="160"/>
      <c r="G227" s="161"/>
      <c r="H227" s="160"/>
      <c r="I227" s="160"/>
      <c r="J227" s="161"/>
    </row>
    <row r="228">
      <c r="A228" s="155" t="str">
        <f t="shared" si="1"/>
        <v/>
      </c>
      <c r="B228" s="156"/>
      <c r="C228" s="157"/>
      <c r="D228" s="156"/>
      <c r="E228" s="156"/>
      <c r="F228" s="156"/>
      <c r="G228" s="157"/>
      <c r="H228" s="156"/>
      <c r="I228" s="156"/>
      <c r="J228" s="157"/>
    </row>
    <row r="229">
      <c r="A229" s="159" t="str">
        <f t="shared" si="1"/>
        <v/>
      </c>
      <c r="B229" s="160"/>
      <c r="C229" s="161"/>
      <c r="D229" s="160"/>
      <c r="E229" s="160"/>
      <c r="F229" s="160"/>
      <c r="G229" s="161"/>
      <c r="H229" s="160"/>
      <c r="I229" s="160"/>
      <c r="J229" s="161"/>
    </row>
    <row r="230">
      <c r="A230" s="155" t="str">
        <f t="shared" si="1"/>
        <v/>
      </c>
      <c r="B230" s="156"/>
      <c r="C230" s="157"/>
      <c r="D230" s="156"/>
      <c r="E230" s="156"/>
      <c r="F230" s="156"/>
      <c r="G230" s="157"/>
      <c r="H230" s="156"/>
      <c r="I230" s="156"/>
      <c r="J230" s="157"/>
    </row>
    <row r="231">
      <c r="A231" s="159" t="str">
        <f t="shared" si="1"/>
        <v/>
      </c>
      <c r="B231" s="160"/>
      <c r="C231" s="161"/>
      <c r="D231" s="160"/>
      <c r="E231" s="160"/>
      <c r="F231" s="160"/>
      <c r="G231" s="161"/>
      <c r="H231" s="160"/>
      <c r="I231" s="160"/>
      <c r="J231" s="161"/>
    </row>
    <row r="232">
      <c r="A232" s="155" t="str">
        <f t="shared" si="1"/>
        <v/>
      </c>
      <c r="B232" s="156"/>
      <c r="C232" s="157"/>
      <c r="D232" s="156"/>
      <c r="E232" s="156"/>
      <c r="F232" s="156"/>
      <c r="G232" s="157"/>
      <c r="H232" s="156"/>
      <c r="I232" s="156"/>
      <c r="J232" s="157"/>
    </row>
    <row r="233">
      <c r="A233" s="159" t="str">
        <f t="shared" si="1"/>
        <v/>
      </c>
      <c r="B233" s="160"/>
      <c r="C233" s="161"/>
      <c r="D233" s="160"/>
      <c r="E233" s="160"/>
      <c r="F233" s="160"/>
      <c r="G233" s="161"/>
      <c r="H233" s="160"/>
      <c r="I233" s="160"/>
      <c r="J233" s="161"/>
    </row>
    <row r="234">
      <c r="A234" s="155" t="str">
        <f t="shared" si="1"/>
        <v/>
      </c>
      <c r="B234" s="156"/>
      <c r="C234" s="157"/>
      <c r="D234" s="156"/>
      <c r="E234" s="156"/>
      <c r="F234" s="156"/>
      <c r="G234" s="157"/>
      <c r="H234" s="156"/>
      <c r="I234" s="156"/>
      <c r="J234" s="157"/>
    </row>
    <row r="235">
      <c r="A235" s="159" t="str">
        <f t="shared" si="1"/>
        <v/>
      </c>
      <c r="B235" s="160"/>
      <c r="C235" s="161"/>
      <c r="D235" s="160"/>
      <c r="E235" s="160"/>
      <c r="F235" s="160"/>
      <c r="G235" s="161"/>
      <c r="H235" s="160"/>
      <c r="I235" s="160"/>
      <c r="J235" s="161"/>
    </row>
    <row r="236">
      <c r="A236" s="155" t="str">
        <f t="shared" si="1"/>
        <v/>
      </c>
      <c r="B236" s="156"/>
      <c r="C236" s="157"/>
      <c r="D236" s="156"/>
      <c r="E236" s="156"/>
      <c r="F236" s="156"/>
      <c r="G236" s="157"/>
      <c r="H236" s="156"/>
      <c r="I236" s="156"/>
      <c r="J236" s="157"/>
    </row>
    <row r="237">
      <c r="A237" s="159" t="str">
        <f t="shared" si="1"/>
        <v/>
      </c>
      <c r="B237" s="160"/>
      <c r="C237" s="161"/>
      <c r="D237" s="160"/>
      <c r="E237" s="160"/>
      <c r="F237" s="160"/>
      <c r="G237" s="161"/>
      <c r="H237" s="160"/>
      <c r="I237" s="160"/>
      <c r="J237" s="161"/>
    </row>
    <row r="238">
      <c r="A238" s="155" t="str">
        <f t="shared" si="1"/>
        <v/>
      </c>
      <c r="B238" s="156"/>
      <c r="C238" s="157"/>
      <c r="D238" s="156"/>
      <c r="E238" s="156"/>
      <c r="F238" s="156"/>
      <c r="G238" s="157"/>
      <c r="H238" s="156"/>
      <c r="I238" s="156"/>
      <c r="J238" s="157"/>
    </row>
    <row r="239">
      <c r="A239" s="159" t="str">
        <f t="shared" si="1"/>
        <v/>
      </c>
      <c r="B239" s="160"/>
      <c r="C239" s="161"/>
      <c r="D239" s="160"/>
      <c r="E239" s="160"/>
      <c r="F239" s="160"/>
      <c r="G239" s="161"/>
      <c r="H239" s="160"/>
      <c r="I239" s="160"/>
      <c r="J239" s="161"/>
    </row>
    <row r="240">
      <c r="A240" s="155" t="str">
        <f t="shared" si="1"/>
        <v/>
      </c>
      <c r="B240" s="156"/>
      <c r="C240" s="157"/>
      <c r="D240" s="156"/>
      <c r="E240" s="156"/>
      <c r="F240" s="156"/>
      <c r="G240" s="157"/>
      <c r="H240" s="156"/>
      <c r="I240" s="156"/>
      <c r="J240" s="157"/>
    </row>
    <row r="241">
      <c r="A241" s="159" t="str">
        <f t="shared" si="1"/>
        <v/>
      </c>
      <c r="B241" s="160"/>
      <c r="C241" s="161"/>
      <c r="D241" s="160"/>
      <c r="E241" s="160"/>
      <c r="F241" s="160"/>
      <c r="G241" s="161"/>
      <c r="H241" s="160"/>
      <c r="I241" s="160"/>
      <c r="J241" s="161"/>
    </row>
    <row r="242">
      <c r="A242" s="155" t="str">
        <f t="shared" si="1"/>
        <v/>
      </c>
      <c r="B242" s="156"/>
      <c r="C242" s="157"/>
      <c r="D242" s="156"/>
      <c r="E242" s="156"/>
      <c r="F242" s="156"/>
      <c r="G242" s="157"/>
      <c r="H242" s="156"/>
      <c r="I242" s="156"/>
      <c r="J242" s="157"/>
    </row>
    <row r="243">
      <c r="A243" s="159" t="str">
        <f t="shared" si="1"/>
        <v/>
      </c>
      <c r="B243" s="160"/>
      <c r="C243" s="161"/>
      <c r="D243" s="160"/>
      <c r="E243" s="160"/>
      <c r="F243" s="160"/>
      <c r="G243" s="161"/>
      <c r="H243" s="160"/>
      <c r="I243" s="160"/>
      <c r="J243" s="161"/>
    </row>
    <row r="244">
      <c r="A244" s="155" t="str">
        <f t="shared" si="1"/>
        <v/>
      </c>
      <c r="B244" s="156"/>
      <c r="C244" s="157"/>
      <c r="D244" s="156"/>
      <c r="E244" s="156"/>
      <c r="F244" s="156"/>
      <c r="G244" s="157"/>
      <c r="H244" s="156"/>
      <c r="I244" s="156"/>
      <c r="J244" s="157"/>
    </row>
    <row r="245">
      <c r="A245" s="159" t="str">
        <f t="shared" si="1"/>
        <v/>
      </c>
      <c r="B245" s="160"/>
      <c r="C245" s="161"/>
      <c r="D245" s="160"/>
      <c r="E245" s="160"/>
      <c r="F245" s="160"/>
      <c r="G245" s="161"/>
      <c r="H245" s="160"/>
      <c r="I245" s="160"/>
      <c r="J245" s="161"/>
    </row>
    <row r="246">
      <c r="A246" s="155" t="str">
        <f t="shared" si="1"/>
        <v/>
      </c>
      <c r="B246" s="156"/>
      <c r="C246" s="157"/>
      <c r="D246" s="156"/>
      <c r="E246" s="156"/>
      <c r="F246" s="156"/>
      <c r="G246" s="157"/>
      <c r="H246" s="156"/>
      <c r="I246" s="156"/>
      <c r="J246" s="157"/>
    </row>
    <row r="247">
      <c r="A247" s="159" t="str">
        <f t="shared" si="1"/>
        <v/>
      </c>
      <c r="B247" s="160"/>
      <c r="C247" s="161"/>
      <c r="D247" s="160"/>
      <c r="E247" s="160"/>
      <c r="F247" s="160"/>
      <c r="G247" s="161"/>
      <c r="H247" s="160"/>
      <c r="I247" s="160"/>
      <c r="J247" s="161"/>
    </row>
    <row r="248">
      <c r="A248" s="155" t="str">
        <f t="shared" si="1"/>
        <v/>
      </c>
      <c r="B248" s="156"/>
      <c r="C248" s="157"/>
      <c r="D248" s="156"/>
      <c r="E248" s="156"/>
      <c r="F248" s="156"/>
      <c r="G248" s="157"/>
      <c r="H248" s="156"/>
      <c r="I248" s="156"/>
      <c r="J248" s="157"/>
    </row>
    <row r="249">
      <c r="A249" s="159" t="str">
        <f t="shared" si="1"/>
        <v/>
      </c>
      <c r="B249" s="160"/>
      <c r="C249" s="161"/>
      <c r="D249" s="160"/>
      <c r="E249" s="160"/>
      <c r="F249" s="160"/>
      <c r="G249" s="161"/>
      <c r="H249" s="160"/>
      <c r="I249" s="160"/>
      <c r="J249" s="161"/>
    </row>
    <row r="250">
      <c r="A250" s="155" t="str">
        <f t="shared" si="1"/>
        <v/>
      </c>
      <c r="B250" s="156"/>
      <c r="C250" s="157"/>
      <c r="D250" s="156"/>
      <c r="E250" s="156"/>
      <c r="F250" s="156"/>
      <c r="G250" s="157"/>
      <c r="H250" s="156"/>
      <c r="I250" s="156"/>
      <c r="J250" s="157"/>
    </row>
    <row r="251">
      <c r="A251" s="159" t="str">
        <f t="shared" si="1"/>
        <v/>
      </c>
      <c r="B251" s="160"/>
      <c r="C251" s="161"/>
      <c r="D251" s="160"/>
      <c r="E251" s="160"/>
      <c r="F251" s="160"/>
      <c r="G251" s="161"/>
      <c r="H251" s="160"/>
      <c r="I251" s="160"/>
      <c r="J251" s="161"/>
    </row>
    <row r="252">
      <c r="A252" s="155" t="str">
        <f t="shared" si="1"/>
        <v/>
      </c>
      <c r="B252" s="156"/>
      <c r="C252" s="157"/>
      <c r="D252" s="156"/>
      <c r="E252" s="156"/>
      <c r="F252" s="156"/>
      <c r="G252" s="157"/>
      <c r="H252" s="156"/>
      <c r="I252" s="156"/>
      <c r="J252" s="157"/>
    </row>
    <row r="253">
      <c r="A253" s="159" t="str">
        <f t="shared" si="1"/>
        <v/>
      </c>
      <c r="B253" s="160"/>
      <c r="C253" s="161"/>
      <c r="D253" s="160"/>
      <c r="E253" s="160"/>
      <c r="F253" s="160"/>
      <c r="G253" s="161"/>
      <c r="H253" s="160"/>
      <c r="I253" s="160"/>
      <c r="J253" s="161"/>
    </row>
    <row r="254">
      <c r="A254" s="155" t="str">
        <f t="shared" si="1"/>
        <v/>
      </c>
      <c r="B254" s="156"/>
      <c r="C254" s="157"/>
      <c r="D254" s="156"/>
      <c r="E254" s="156"/>
      <c r="F254" s="156"/>
      <c r="G254" s="157"/>
      <c r="H254" s="156"/>
      <c r="I254" s="156"/>
      <c r="J254" s="157"/>
    </row>
    <row r="255">
      <c r="A255" s="159" t="str">
        <f t="shared" si="1"/>
        <v/>
      </c>
      <c r="B255" s="160"/>
      <c r="C255" s="161"/>
      <c r="D255" s="160"/>
      <c r="E255" s="160"/>
      <c r="F255" s="160"/>
      <c r="G255" s="161"/>
      <c r="H255" s="160"/>
      <c r="I255" s="160"/>
      <c r="J255" s="161"/>
    </row>
    <row r="256">
      <c r="A256" s="155" t="str">
        <f t="shared" si="1"/>
        <v/>
      </c>
      <c r="B256" s="156"/>
      <c r="C256" s="157"/>
      <c r="D256" s="156"/>
      <c r="E256" s="156"/>
      <c r="F256" s="156"/>
      <c r="G256" s="157"/>
      <c r="H256" s="156"/>
      <c r="I256" s="156"/>
      <c r="J256" s="157"/>
    </row>
    <row r="257">
      <c r="A257" s="159" t="str">
        <f t="shared" si="1"/>
        <v/>
      </c>
      <c r="B257" s="160"/>
      <c r="C257" s="161"/>
      <c r="D257" s="160"/>
      <c r="E257" s="160"/>
      <c r="F257" s="160"/>
      <c r="G257" s="161"/>
      <c r="H257" s="160"/>
      <c r="I257" s="160"/>
      <c r="J257" s="161"/>
    </row>
    <row r="258">
      <c r="A258" s="155" t="str">
        <f t="shared" si="1"/>
        <v/>
      </c>
      <c r="B258" s="156"/>
      <c r="C258" s="157"/>
      <c r="D258" s="156"/>
      <c r="E258" s="156"/>
      <c r="F258" s="156"/>
      <c r="G258" s="157"/>
      <c r="H258" s="156"/>
      <c r="I258" s="156"/>
      <c r="J258" s="157"/>
    </row>
    <row r="259">
      <c r="A259" s="159" t="str">
        <f t="shared" si="1"/>
        <v/>
      </c>
      <c r="B259" s="160"/>
      <c r="C259" s="161"/>
      <c r="D259" s="160"/>
      <c r="E259" s="160"/>
      <c r="F259" s="160"/>
      <c r="G259" s="161"/>
      <c r="H259" s="160"/>
      <c r="I259" s="160"/>
      <c r="J259" s="161"/>
    </row>
    <row r="260">
      <c r="A260" s="155" t="str">
        <f t="shared" si="1"/>
        <v/>
      </c>
      <c r="B260" s="156"/>
      <c r="C260" s="157"/>
      <c r="D260" s="156"/>
      <c r="E260" s="156"/>
      <c r="F260" s="156"/>
      <c r="G260" s="157"/>
      <c r="H260" s="156"/>
      <c r="I260" s="156"/>
      <c r="J260" s="157"/>
    </row>
    <row r="261">
      <c r="A261" s="159" t="str">
        <f t="shared" si="1"/>
        <v/>
      </c>
      <c r="B261" s="160"/>
      <c r="C261" s="161"/>
      <c r="D261" s="160"/>
      <c r="E261" s="160"/>
      <c r="F261" s="160"/>
      <c r="G261" s="161"/>
      <c r="H261" s="160"/>
      <c r="I261" s="160"/>
      <c r="J261" s="161"/>
    </row>
    <row r="262">
      <c r="A262" s="155" t="str">
        <f t="shared" si="1"/>
        <v/>
      </c>
      <c r="B262" s="156"/>
      <c r="C262" s="157"/>
      <c r="D262" s="156"/>
      <c r="E262" s="156"/>
      <c r="F262" s="156"/>
      <c r="G262" s="157"/>
      <c r="H262" s="156"/>
      <c r="I262" s="156"/>
      <c r="J262" s="157"/>
    </row>
    <row r="263">
      <c r="A263" s="159" t="str">
        <f t="shared" si="1"/>
        <v/>
      </c>
      <c r="B263" s="160"/>
      <c r="C263" s="161"/>
      <c r="D263" s="160"/>
      <c r="E263" s="160"/>
      <c r="F263" s="160"/>
      <c r="G263" s="161"/>
      <c r="H263" s="160"/>
      <c r="I263" s="160"/>
      <c r="J263" s="161"/>
    </row>
    <row r="264">
      <c r="A264" s="155" t="str">
        <f t="shared" si="1"/>
        <v/>
      </c>
      <c r="B264" s="156"/>
      <c r="C264" s="157"/>
      <c r="D264" s="156"/>
      <c r="E264" s="156"/>
      <c r="F264" s="156"/>
      <c r="G264" s="157"/>
      <c r="H264" s="156"/>
      <c r="I264" s="156"/>
      <c r="J264" s="157"/>
    </row>
    <row r="265">
      <c r="A265" s="159" t="str">
        <f t="shared" si="1"/>
        <v/>
      </c>
      <c r="B265" s="160"/>
      <c r="C265" s="161"/>
      <c r="D265" s="160"/>
      <c r="E265" s="160"/>
      <c r="F265" s="160"/>
      <c r="G265" s="161"/>
      <c r="H265" s="160"/>
      <c r="I265" s="160"/>
      <c r="J265" s="161"/>
    </row>
    <row r="266">
      <c r="A266" s="155" t="str">
        <f t="shared" si="1"/>
        <v/>
      </c>
      <c r="B266" s="156"/>
      <c r="C266" s="157"/>
      <c r="D266" s="156"/>
      <c r="E266" s="156"/>
      <c r="F266" s="156"/>
      <c r="G266" s="157"/>
      <c r="H266" s="156"/>
      <c r="I266" s="156"/>
      <c r="J266" s="157"/>
    </row>
    <row r="267">
      <c r="A267" s="159" t="str">
        <f t="shared" si="1"/>
        <v/>
      </c>
      <c r="B267" s="160"/>
      <c r="C267" s="161"/>
      <c r="D267" s="160"/>
      <c r="E267" s="160"/>
      <c r="F267" s="160"/>
      <c r="G267" s="161"/>
      <c r="H267" s="160"/>
      <c r="I267" s="160"/>
      <c r="J267" s="161"/>
    </row>
    <row r="268">
      <c r="A268" s="155" t="str">
        <f t="shared" si="1"/>
        <v/>
      </c>
      <c r="B268" s="156"/>
      <c r="C268" s="157"/>
      <c r="D268" s="156"/>
      <c r="E268" s="156"/>
      <c r="F268" s="156"/>
      <c r="G268" s="157"/>
      <c r="H268" s="156"/>
      <c r="I268" s="156"/>
      <c r="J268" s="157"/>
    </row>
    <row r="269">
      <c r="A269" s="159" t="str">
        <f t="shared" si="1"/>
        <v/>
      </c>
      <c r="B269" s="160"/>
      <c r="C269" s="161"/>
      <c r="D269" s="160"/>
      <c r="E269" s="160"/>
      <c r="F269" s="160"/>
      <c r="G269" s="161"/>
      <c r="H269" s="160"/>
      <c r="I269" s="160"/>
      <c r="J269" s="161"/>
    </row>
    <row r="270">
      <c r="A270" s="155" t="str">
        <f t="shared" si="1"/>
        <v/>
      </c>
      <c r="B270" s="156"/>
      <c r="C270" s="157"/>
      <c r="D270" s="156"/>
      <c r="E270" s="156"/>
      <c r="F270" s="156"/>
      <c r="G270" s="157"/>
      <c r="H270" s="156"/>
      <c r="I270" s="156"/>
      <c r="J270" s="157"/>
    </row>
    <row r="271">
      <c r="A271" s="159" t="str">
        <f t="shared" si="1"/>
        <v/>
      </c>
      <c r="B271" s="160"/>
      <c r="C271" s="161"/>
      <c r="D271" s="160"/>
      <c r="E271" s="160"/>
      <c r="F271" s="160"/>
      <c r="G271" s="161"/>
      <c r="H271" s="160"/>
      <c r="I271" s="160"/>
      <c r="J271" s="161"/>
    </row>
    <row r="272">
      <c r="A272" s="155" t="str">
        <f t="shared" si="1"/>
        <v/>
      </c>
      <c r="B272" s="156"/>
      <c r="C272" s="157"/>
      <c r="D272" s="156"/>
      <c r="E272" s="156"/>
      <c r="F272" s="156"/>
      <c r="G272" s="157"/>
      <c r="H272" s="156"/>
      <c r="I272" s="156"/>
      <c r="J272" s="157"/>
    </row>
    <row r="273">
      <c r="A273" s="159" t="str">
        <f t="shared" si="1"/>
        <v/>
      </c>
      <c r="B273" s="160"/>
      <c r="C273" s="161"/>
      <c r="D273" s="160"/>
      <c r="E273" s="160"/>
      <c r="F273" s="160"/>
      <c r="G273" s="161"/>
      <c r="H273" s="160"/>
      <c r="I273" s="160"/>
      <c r="J273" s="161"/>
    </row>
    <row r="274">
      <c r="A274" s="155" t="str">
        <f t="shared" si="1"/>
        <v/>
      </c>
      <c r="B274" s="156"/>
      <c r="C274" s="157"/>
      <c r="D274" s="156"/>
      <c r="E274" s="156"/>
      <c r="F274" s="156"/>
      <c r="G274" s="157"/>
      <c r="H274" s="156"/>
      <c r="I274" s="156"/>
      <c r="J274" s="157"/>
    </row>
    <row r="275">
      <c r="A275" s="159" t="str">
        <f t="shared" si="1"/>
        <v/>
      </c>
      <c r="B275" s="160"/>
      <c r="C275" s="161"/>
      <c r="D275" s="160"/>
      <c r="E275" s="160"/>
      <c r="F275" s="160"/>
      <c r="G275" s="161"/>
      <c r="H275" s="160"/>
      <c r="I275" s="160"/>
      <c r="J275" s="161"/>
    </row>
    <row r="276">
      <c r="A276" s="155" t="str">
        <f t="shared" si="1"/>
        <v/>
      </c>
      <c r="B276" s="156"/>
      <c r="C276" s="157"/>
      <c r="D276" s="156"/>
      <c r="E276" s="156"/>
      <c r="F276" s="156"/>
      <c r="G276" s="157"/>
      <c r="H276" s="156"/>
      <c r="I276" s="156"/>
      <c r="J276" s="157"/>
    </row>
    <row r="277">
      <c r="A277" s="159" t="str">
        <f t="shared" si="1"/>
        <v/>
      </c>
      <c r="B277" s="160"/>
      <c r="C277" s="161"/>
      <c r="D277" s="160"/>
      <c r="E277" s="160"/>
      <c r="F277" s="160"/>
      <c r="G277" s="161"/>
      <c r="H277" s="160"/>
      <c r="I277" s="160"/>
      <c r="J277" s="161"/>
    </row>
    <row r="278">
      <c r="A278" s="155" t="str">
        <f t="shared" si="1"/>
        <v/>
      </c>
      <c r="B278" s="156"/>
      <c r="C278" s="157"/>
      <c r="D278" s="156"/>
      <c r="E278" s="156"/>
      <c r="F278" s="156"/>
      <c r="G278" s="157"/>
      <c r="H278" s="156"/>
      <c r="I278" s="156"/>
      <c r="J278" s="157"/>
    </row>
    <row r="279">
      <c r="A279" s="159" t="str">
        <f t="shared" si="1"/>
        <v/>
      </c>
      <c r="B279" s="160"/>
      <c r="C279" s="161"/>
      <c r="D279" s="160"/>
      <c r="E279" s="160"/>
      <c r="F279" s="160"/>
      <c r="G279" s="161"/>
      <c r="H279" s="160"/>
      <c r="I279" s="160"/>
      <c r="J279" s="161"/>
    </row>
    <row r="280">
      <c r="A280" s="155" t="str">
        <f t="shared" si="1"/>
        <v/>
      </c>
      <c r="B280" s="156"/>
      <c r="C280" s="157"/>
      <c r="D280" s="156"/>
      <c r="E280" s="156"/>
      <c r="F280" s="156"/>
      <c r="G280" s="157"/>
      <c r="H280" s="156"/>
      <c r="I280" s="156"/>
      <c r="J280" s="157"/>
    </row>
    <row r="281">
      <c r="A281" s="159" t="str">
        <f t="shared" si="1"/>
        <v/>
      </c>
      <c r="B281" s="160"/>
      <c r="C281" s="161"/>
      <c r="D281" s="160"/>
      <c r="E281" s="160"/>
      <c r="F281" s="160"/>
      <c r="G281" s="161"/>
      <c r="H281" s="160"/>
      <c r="I281" s="160"/>
      <c r="J281" s="161"/>
    </row>
    <row r="282">
      <c r="A282" s="155" t="str">
        <f t="shared" si="1"/>
        <v/>
      </c>
      <c r="B282" s="156"/>
      <c r="C282" s="157"/>
      <c r="D282" s="156"/>
      <c r="E282" s="156"/>
      <c r="F282" s="156"/>
      <c r="G282" s="157"/>
      <c r="H282" s="156"/>
      <c r="I282" s="156"/>
      <c r="J282" s="157"/>
    </row>
    <row r="283">
      <c r="A283" s="159" t="str">
        <f t="shared" si="1"/>
        <v/>
      </c>
      <c r="B283" s="160"/>
      <c r="C283" s="161"/>
      <c r="D283" s="160"/>
      <c r="E283" s="160"/>
      <c r="F283" s="160"/>
      <c r="G283" s="161"/>
      <c r="H283" s="160"/>
      <c r="I283" s="160"/>
      <c r="J283" s="161"/>
    </row>
    <row r="284">
      <c r="A284" s="155" t="str">
        <f t="shared" si="1"/>
        <v/>
      </c>
      <c r="B284" s="156"/>
      <c r="C284" s="157"/>
      <c r="D284" s="156"/>
      <c r="E284" s="156"/>
      <c r="F284" s="156"/>
      <c r="G284" s="157"/>
      <c r="H284" s="156"/>
      <c r="I284" s="156"/>
      <c r="J284" s="157"/>
    </row>
    <row r="285">
      <c r="A285" s="159" t="str">
        <f t="shared" si="1"/>
        <v/>
      </c>
      <c r="B285" s="160"/>
      <c r="C285" s="161"/>
      <c r="D285" s="160"/>
      <c r="E285" s="160"/>
      <c r="F285" s="160"/>
      <c r="G285" s="161"/>
      <c r="H285" s="160"/>
      <c r="I285" s="160"/>
      <c r="J285" s="161"/>
    </row>
    <row r="286">
      <c r="A286" s="155" t="str">
        <f t="shared" si="1"/>
        <v/>
      </c>
      <c r="B286" s="156"/>
      <c r="C286" s="157"/>
      <c r="D286" s="156"/>
      <c r="E286" s="156"/>
      <c r="F286" s="156"/>
      <c r="G286" s="157"/>
      <c r="H286" s="156"/>
      <c r="I286" s="156"/>
      <c r="J286" s="157"/>
    </row>
    <row r="287">
      <c r="A287" s="159" t="str">
        <f t="shared" si="1"/>
        <v/>
      </c>
      <c r="B287" s="160"/>
      <c r="C287" s="161"/>
      <c r="D287" s="160"/>
      <c r="E287" s="160"/>
      <c r="F287" s="160"/>
      <c r="G287" s="161"/>
      <c r="H287" s="160"/>
      <c r="I287" s="160"/>
      <c r="J287" s="161"/>
    </row>
    <row r="288">
      <c r="A288" s="155" t="str">
        <f t="shared" si="1"/>
        <v/>
      </c>
      <c r="B288" s="156"/>
      <c r="C288" s="157"/>
      <c r="D288" s="156"/>
      <c r="E288" s="156"/>
      <c r="F288" s="156"/>
      <c r="G288" s="157"/>
      <c r="H288" s="156"/>
      <c r="I288" s="156"/>
      <c r="J288" s="157"/>
    </row>
    <row r="289">
      <c r="A289" s="159" t="str">
        <f t="shared" si="1"/>
        <v/>
      </c>
      <c r="B289" s="160"/>
      <c r="C289" s="161"/>
      <c r="D289" s="160"/>
      <c r="E289" s="160"/>
      <c r="F289" s="160"/>
      <c r="G289" s="161"/>
      <c r="H289" s="160"/>
      <c r="I289" s="160"/>
      <c r="J289" s="161"/>
    </row>
    <row r="290">
      <c r="A290" s="155" t="str">
        <f t="shared" si="1"/>
        <v/>
      </c>
      <c r="B290" s="156"/>
      <c r="C290" s="157"/>
      <c r="D290" s="156"/>
      <c r="E290" s="156"/>
      <c r="F290" s="156"/>
      <c r="G290" s="157"/>
      <c r="H290" s="156"/>
      <c r="I290" s="156"/>
      <c r="J290" s="157"/>
    </row>
    <row r="291">
      <c r="A291" s="159" t="str">
        <f t="shared" si="1"/>
        <v/>
      </c>
      <c r="B291" s="160"/>
      <c r="C291" s="161"/>
      <c r="D291" s="160"/>
      <c r="E291" s="160"/>
      <c r="F291" s="160"/>
      <c r="G291" s="161"/>
      <c r="H291" s="160"/>
      <c r="I291" s="160"/>
      <c r="J291" s="161"/>
    </row>
    <row r="292">
      <c r="A292" s="155" t="str">
        <f t="shared" si="1"/>
        <v/>
      </c>
      <c r="B292" s="156"/>
      <c r="C292" s="157"/>
      <c r="D292" s="156"/>
      <c r="E292" s="156"/>
      <c r="F292" s="156"/>
      <c r="G292" s="157"/>
      <c r="H292" s="156"/>
      <c r="I292" s="156"/>
      <c r="J292" s="157"/>
    </row>
    <row r="293">
      <c r="A293" s="159" t="str">
        <f t="shared" si="1"/>
        <v/>
      </c>
      <c r="B293" s="160"/>
      <c r="C293" s="161"/>
      <c r="D293" s="160"/>
      <c r="E293" s="160"/>
      <c r="F293" s="160"/>
      <c r="G293" s="161"/>
      <c r="H293" s="160"/>
      <c r="I293" s="160"/>
      <c r="J293" s="161"/>
    </row>
    <row r="294">
      <c r="A294" s="155" t="str">
        <f t="shared" si="1"/>
        <v/>
      </c>
      <c r="B294" s="156"/>
      <c r="C294" s="157"/>
      <c r="D294" s="156"/>
      <c r="E294" s="156"/>
      <c r="F294" s="156"/>
      <c r="G294" s="157"/>
      <c r="H294" s="156"/>
      <c r="I294" s="156"/>
      <c r="J294" s="157"/>
    </row>
    <row r="295">
      <c r="A295" s="159" t="str">
        <f t="shared" si="1"/>
        <v/>
      </c>
      <c r="B295" s="160"/>
      <c r="C295" s="161"/>
      <c r="D295" s="160"/>
      <c r="E295" s="160"/>
      <c r="F295" s="160"/>
      <c r="G295" s="161"/>
      <c r="H295" s="160"/>
      <c r="I295" s="160"/>
      <c r="J295" s="161"/>
    </row>
    <row r="296">
      <c r="A296" s="155" t="str">
        <f t="shared" si="1"/>
        <v/>
      </c>
      <c r="B296" s="156"/>
      <c r="C296" s="157"/>
      <c r="D296" s="156"/>
      <c r="E296" s="156"/>
      <c r="F296" s="156"/>
      <c r="G296" s="157"/>
      <c r="H296" s="156"/>
      <c r="I296" s="156"/>
      <c r="J296" s="157"/>
    </row>
    <row r="297">
      <c r="A297" s="159" t="str">
        <f t="shared" si="1"/>
        <v/>
      </c>
      <c r="B297" s="160"/>
      <c r="C297" s="161"/>
      <c r="D297" s="160"/>
      <c r="E297" s="160"/>
      <c r="F297" s="160"/>
      <c r="G297" s="161"/>
      <c r="H297" s="160"/>
      <c r="I297" s="160"/>
      <c r="J297" s="161"/>
    </row>
    <row r="298">
      <c r="A298" s="155" t="str">
        <f t="shared" si="1"/>
        <v/>
      </c>
      <c r="B298" s="156"/>
      <c r="C298" s="157"/>
      <c r="D298" s="156"/>
      <c r="E298" s="156"/>
      <c r="F298" s="156"/>
      <c r="G298" s="157"/>
      <c r="H298" s="156"/>
      <c r="I298" s="156"/>
      <c r="J298" s="157"/>
    </row>
    <row r="299">
      <c r="A299" s="159" t="str">
        <f t="shared" si="1"/>
        <v/>
      </c>
      <c r="B299" s="160"/>
      <c r="C299" s="161"/>
      <c r="D299" s="160"/>
      <c r="E299" s="160"/>
      <c r="F299" s="160"/>
      <c r="G299" s="161"/>
      <c r="H299" s="160"/>
      <c r="I299" s="160"/>
      <c r="J299" s="161"/>
    </row>
    <row r="300">
      <c r="A300" s="155" t="str">
        <f t="shared" si="1"/>
        <v/>
      </c>
      <c r="B300" s="156"/>
      <c r="C300" s="157"/>
      <c r="D300" s="156"/>
      <c r="E300" s="156"/>
      <c r="F300" s="156"/>
      <c r="G300" s="157"/>
      <c r="H300" s="156"/>
      <c r="I300" s="156"/>
      <c r="J300" s="157"/>
    </row>
    <row r="301">
      <c r="A301" s="159" t="str">
        <f t="shared" si="1"/>
        <v/>
      </c>
      <c r="B301" s="160"/>
      <c r="C301" s="161"/>
      <c r="D301" s="160"/>
      <c r="E301" s="160"/>
      <c r="F301" s="160"/>
      <c r="G301" s="161"/>
      <c r="H301" s="160"/>
      <c r="I301" s="160"/>
      <c r="J301" s="161"/>
    </row>
    <row r="302">
      <c r="A302" s="155" t="str">
        <f t="shared" si="1"/>
        <v/>
      </c>
      <c r="B302" s="156"/>
      <c r="C302" s="157"/>
      <c r="D302" s="156"/>
      <c r="E302" s="156"/>
      <c r="F302" s="156"/>
      <c r="G302" s="157"/>
      <c r="H302" s="156"/>
      <c r="I302" s="156"/>
      <c r="J302" s="157"/>
    </row>
    <row r="303">
      <c r="A303" s="159" t="str">
        <f t="shared" si="1"/>
        <v/>
      </c>
      <c r="B303" s="160"/>
      <c r="C303" s="161"/>
      <c r="D303" s="160"/>
      <c r="E303" s="160"/>
      <c r="F303" s="160"/>
      <c r="G303" s="161"/>
      <c r="H303" s="160"/>
      <c r="I303" s="160"/>
      <c r="J303" s="161"/>
    </row>
    <row r="304">
      <c r="A304" s="155" t="str">
        <f t="shared" si="1"/>
        <v/>
      </c>
      <c r="B304" s="156"/>
      <c r="C304" s="157"/>
      <c r="D304" s="156"/>
      <c r="E304" s="156"/>
      <c r="F304" s="156"/>
      <c r="G304" s="157"/>
      <c r="H304" s="156"/>
      <c r="I304" s="156"/>
      <c r="J304" s="157"/>
    </row>
    <row r="305">
      <c r="A305" s="159" t="str">
        <f t="shared" si="1"/>
        <v/>
      </c>
      <c r="B305" s="160"/>
      <c r="C305" s="161"/>
      <c r="D305" s="160"/>
      <c r="E305" s="160"/>
      <c r="F305" s="160"/>
      <c r="G305" s="161"/>
      <c r="H305" s="160"/>
      <c r="I305" s="160"/>
      <c r="J305" s="161"/>
    </row>
    <row r="306">
      <c r="A306" s="155" t="str">
        <f t="shared" si="1"/>
        <v/>
      </c>
      <c r="B306" s="156"/>
      <c r="C306" s="157"/>
      <c r="D306" s="156"/>
      <c r="E306" s="156"/>
      <c r="F306" s="156"/>
      <c r="G306" s="157"/>
      <c r="H306" s="156"/>
      <c r="I306" s="156"/>
      <c r="J306" s="157"/>
    </row>
    <row r="307">
      <c r="A307" s="159" t="str">
        <f t="shared" si="1"/>
        <v/>
      </c>
      <c r="B307" s="160"/>
      <c r="C307" s="161"/>
      <c r="D307" s="160"/>
      <c r="E307" s="160"/>
      <c r="F307" s="160"/>
      <c r="G307" s="161"/>
      <c r="H307" s="160"/>
      <c r="I307" s="160"/>
      <c r="J307" s="161"/>
    </row>
    <row r="308">
      <c r="A308" s="155" t="str">
        <f t="shared" si="1"/>
        <v/>
      </c>
      <c r="B308" s="156"/>
      <c r="C308" s="157"/>
      <c r="D308" s="156"/>
      <c r="E308" s="156"/>
      <c r="F308" s="156"/>
      <c r="G308" s="157"/>
      <c r="H308" s="156"/>
      <c r="I308" s="156"/>
      <c r="J308" s="157"/>
    </row>
    <row r="309">
      <c r="A309" s="159" t="str">
        <f t="shared" si="1"/>
        <v/>
      </c>
      <c r="B309" s="160"/>
      <c r="C309" s="161"/>
      <c r="D309" s="160"/>
      <c r="E309" s="160"/>
      <c r="F309" s="160"/>
      <c r="G309" s="161"/>
      <c r="H309" s="160"/>
      <c r="I309" s="160"/>
      <c r="J309" s="161"/>
    </row>
    <row r="310">
      <c r="A310" s="155" t="str">
        <f t="shared" si="1"/>
        <v/>
      </c>
      <c r="B310" s="156"/>
      <c r="C310" s="157"/>
      <c r="D310" s="156"/>
      <c r="E310" s="156"/>
      <c r="F310" s="156"/>
      <c r="G310" s="157"/>
      <c r="H310" s="156"/>
      <c r="I310" s="156"/>
      <c r="J310" s="157"/>
    </row>
    <row r="311">
      <c r="A311" s="159" t="str">
        <f t="shared" si="1"/>
        <v/>
      </c>
      <c r="B311" s="160"/>
      <c r="C311" s="161"/>
      <c r="D311" s="160"/>
      <c r="E311" s="160"/>
      <c r="F311" s="160"/>
      <c r="G311" s="161"/>
      <c r="H311" s="160"/>
      <c r="I311" s="160"/>
      <c r="J311" s="161"/>
    </row>
    <row r="312">
      <c r="A312" s="155" t="str">
        <f t="shared" si="1"/>
        <v/>
      </c>
      <c r="B312" s="156"/>
      <c r="C312" s="157"/>
      <c r="D312" s="156"/>
      <c r="E312" s="156"/>
      <c r="F312" s="156"/>
      <c r="G312" s="157"/>
      <c r="H312" s="156"/>
      <c r="I312" s="156"/>
      <c r="J312" s="157"/>
    </row>
    <row r="313">
      <c r="A313" s="159" t="str">
        <f t="shared" si="1"/>
        <v/>
      </c>
      <c r="B313" s="160"/>
      <c r="C313" s="161"/>
      <c r="D313" s="160"/>
      <c r="E313" s="160"/>
      <c r="F313" s="160"/>
      <c r="G313" s="161"/>
      <c r="H313" s="160"/>
      <c r="I313" s="160"/>
      <c r="J313" s="161"/>
    </row>
    <row r="314">
      <c r="A314" s="155" t="str">
        <f t="shared" si="1"/>
        <v/>
      </c>
      <c r="B314" s="156"/>
      <c r="C314" s="157"/>
      <c r="D314" s="156"/>
      <c r="E314" s="156"/>
      <c r="F314" s="156"/>
      <c r="G314" s="157"/>
      <c r="H314" s="156"/>
      <c r="I314" s="156"/>
      <c r="J314" s="157"/>
    </row>
    <row r="315">
      <c r="A315" s="159" t="str">
        <f t="shared" si="1"/>
        <v/>
      </c>
      <c r="B315" s="160"/>
      <c r="C315" s="161"/>
      <c r="D315" s="160"/>
      <c r="E315" s="160"/>
      <c r="F315" s="160"/>
      <c r="G315" s="161"/>
      <c r="H315" s="160"/>
      <c r="I315" s="160"/>
      <c r="J315" s="161"/>
    </row>
    <row r="316">
      <c r="A316" s="155" t="str">
        <f t="shared" si="1"/>
        <v/>
      </c>
      <c r="B316" s="156"/>
      <c r="C316" s="157"/>
      <c r="D316" s="156"/>
      <c r="E316" s="156"/>
      <c r="F316" s="156"/>
      <c r="G316" s="157"/>
      <c r="H316" s="156"/>
      <c r="I316" s="156"/>
      <c r="J316" s="157"/>
    </row>
    <row r="317">
      <c r="A317" s="159" t="str">
        <f t="shared" si="1"/>
        <v/>
      </c>
      <c r="B317" s="160"/>
      <c r="C317" s="161"/>
      <c r="D317" s="160"/>
      <c r="E317" s="160"/>
      <c r="F317" s="160"/>
      <c r="G317" s="161"/>
      <c r="H317" s="160"/>
      <c r="I317" s="160"/>
      <c r="J317" s="161"/>
    </row>
    <row r="318">
      <c r="A318" s="155" t="str">
        <f t="shared" si="1"/>
        <v/>
      </c>
      <c r="B318" s="156"/>
      <c r="C318" s="157"/>
      <c r="D318" s="156"/>
      <c r="E318" s="156"/>
      <c r="F318" s="156"/>
      <c r="G318" s="157"/>
      <c r="H318" s="156"/>
      <c r="I318" s="156"/>
      <c r="J318" s="157"/>
    </row>
    <row r="319">
      <c r="A319" s="159" t="str">
        <f t="shared" si="1"/>
        <v/>
      </c>
      <c r="B319" s="160"/>
      <c r="C319" s="161"/>
      <c r="D319" s="160"/>
      <c r="E319" s="160"/>
      <c r="F319" s="160"/>
      <c r="G319" s="161"/>
      <c r="H319" s="160"/>
      <c r="I319" s="160"/>
      <c r="J319" s="161"/>
    </row>
    <row r="320">
      <c r="A320" s="155" t="str">
        <f t="shared" si="1"/>
        <v/>
      </c>
      <c r="B320" s="156"/>
      <c r="C320" s="157"/>
      <c r="D320" s="156"/>
      <c r="E320" s="156"/>
      <c r="F320" s="156"/>
      <c r="G320" s="157"/>
      <c r="H320" s="156"/>
      <c r="I320" s="156"/>
      <c r="J320" s="157"/>
    </row>
    <row r="321">
      <c r="A321" s="159" t="str">
        <f t="shared" si="1"/>
        <v/>
      </c>
      <c r="B321" s="160"/>
      <c r="C321" s="161"/>
      <c r="D321" s="160"/>
      <c r="E321" s="160"/>
      <c r="F321" s="160"/>
      <c r="G321" s="161"/>
      <c r="H321" s="160"/>
      <c r="I321" s="160"/>
      <c r="J321" s="161"/>
    </row>
    <row r="322">
      <c r="A322" s="155" t="str">
        <f t="shared" si="1"/>
        <v/>
      </c>
      <c r="B322" s="156"/>
      <c r="C322" s="157"/>
      <c r="D322" s="156"/>
      <c r="E322" s="156"/>
      <c r="F322" s="156"/>
      <c r="G322" s="157"/>
      <c r="H322" s="156"/>
      <c r="I322" s="156"/>
      <c r="J322" s="157"/>
    </row>
    <row r="323">
      <c r="A323" s="159" t="str">
        <f t="shared" si="1"/>
        <v/>
      </c>
      <c r="B323" s="160"/>
      <c r="C323" s="161"/>
      <c r="D323" s="160"/>
      <c r="E323" s="160"/>
      <c r="F323" s="160"/>
      <c r="G323" s="161"/>
      <c r="H323" s="160"/>
      <c r="I323" s="160"/>
      <c r="J323" s="161"/>
    </row>
    <row r="324">
      <c r="A324" s="155" t="str">
        <f t="shared" si="1"/>
        <v/>
      </c>
      <c r="B324" s="156"/>
      <c r="C324" s="157"/>
      <c r="D324" s="156"/>
      <c r="E324" s="156"/>
      <c r="F324" s="156"/>
      <c r="G324" s="157"/>
      <c r="H324" s="156"/>
      <c r="I324" s="156"/>
      <c r="J324" s="157"/>
    </row>
    <row r="325">
      <c r="A325" s="159" t="str">
        <f t="shared" si="1"/>
        <v/>
      </c>
      <c r="B325" s="160"/>
      <c r="C325" s="161"/>
      <c r="D325" s="160"/>
      <c r="E325" s="160"/>
      <c r="F325" s="160"/>
      <c r="G325" s="161"/>
      <c r="H325" s="160"/>
      <c r="I325" s="160"/>
      <c r="J325" s="161"/>
    </row>
    <row r="326">
      <c r="A326" s="155" t="str">
        <f t="shared" si="1"/>
        <v/>
      </c>
      <c r="B326" s="156"/>
      <c r="C326" s="157"/>
      <c r="D326" s="156"/>
      <c r="E326" s="156"/>
      <c r="F326" s="156"/>
      <c r="G326" s="157"/>
      <c r="H326" s="156"/>
      <c r="I326" s="156"/>
      <c r="J326" s="157"/>
    </row>
    <row r="327">
      <c r="A327" s="159" t="str">
        <f t="shared" si="1"/>
        <v/>
      </c>
      <c r="B327" s="160"/>
      <c r="C327" s="161"/>
      <c r="D327" s="160"/>
      <c r="E327" s="160"/>
      <c r="F327" s="160"/>
      <c r="G327" s="161"/>
      <c r="H327" s="160"/>
      <c r="I327" s="160"/>
      <c r="J327" s="161"/>
    </row>
    <row r="328">
      <c r="A328" s="155" t="str">
        <f t="shared" si="1"/>
        <v/>
      </c>
      <c r="B328" s="156"/>
      <c r="C328" s="157"/>
      <c r="D328" s="156"/>
      <c r="E328" s="156"/>
      <c r="F328" s="156"/>
      <c r="G328" s="157"/>
      <c r="H328" s="156"/>
      <c r="I328" s="156"/>
      <c r="J328" s="157"/>
    </row>
    <row r="329">
      <c r="A329" s="159" t="str">
        <f t="shared" si="1"/>
        <v/>
      </c>
      <c r="B329" s="160"/>
      <c r="C329" s="161"/>
      <c r="D329" s="160"/>
      <c r="E329" s="160"/>
      <c r="F329" s="160"/>
      <c r="G329" s="161"/>
      <c r="H329" s="160"/>
      <c r="I329" s="160"/>
      <c r="J329" s="161"/>
    </row>
    <row r="330">
      <c r="A330" s="155" t="str">
        <f t="shared" si="1"/>
        <v/>
      </c>
      <c r="B330" s="156"/>
      <c r="C330" s="157"/>
      <c r="D330" s="156"/>
      <c r="E330" s="156"/>
      <c r="F330" s="156"/>
      <c r="G330" s="157"/>
      <c r="H330" s="156"/>
      <c r="I330" s="156"/>
      <c r="J330" s="157"/>
    </row>
    <row r="331">
      <c r="A331" s="159" t="str">
        <f t="shared" si="1"/>
        <v/>
      </c>
      <c r="B331" s="160"/>
      <c r="C331" s="161"/>
      <c r="D331" s="160"/>
      <c r="E331" s="160"/>
      <c r="F331" s="160"/>
      <c r="G331" s="161"/>
      <c r="H331" s="160"/>
      <c r="I331" s="160"/>
      <c r="J331" s="161"/>
    </row>
    <row r="332">
      <c r="A332" s="155" t="str">
        <f t="shared" si="1"/>
        <v/>
      </c>
      <c r="B332" s="156"/>
      <c r="C332" s="157"/>
      <c r="D332" s="156"/>
      <c r="E332" s="156"/>
      <c r="F332" s="156"/>
      <c r="G332" s="157"/>
      <c r="H332" s="156"/>
      <c r="I332" s="156"/>
      <c r="J332" s="157"/>
    </row>
    <row r="333">
      <c r="A333" s="159" t="str">
        <f t="shared" si="1"/>
        <v/>
      </c>
      <c r="B333" s="160"/>
      <c r="C333" s="161"/>
      <c r="D333" s="160"/>
      <c r="E333" s="160"/>
      <c r="F333" s="160"/>
      <c r="G333" s="161"/>
      <c r="H333" s="160"/>
      <c r="I333" s="160"/>
      <c r="J333" s="161"/>
    </row>
    <row r="334">
      <c r="A334" s="155" t="str">
        <f t="shared" si="1"/>
        <v/>
      </c>
      <c r="B334" s="156"/>
      <c r="C334" s="157"/>
      <c r="D334" s="156"/>
      <c r="E334" s="156"/>
      <c r="F334" s="156"/>
      <c r="G334" s="157"/>
      <c r="H334" s="156"/>
      <c r="I334" s="156"/>
      <c r="J334" s="157"/>
    </row>
    <row r="335">
      <c r="A335" s="159" t="str">
        <f t="shared" si="1"/>
        <v/>
      </c>
      <c r="B335" s="160"/>
      <c r="C335" s="161"/>
      <c r="D335" s="160"/>
      <c r="E335" s="160"/>
      <c r="F335" s="160"/>
      <c r="G335" s="161"/>
      <c r="H335" s="160"/>
      <c r="I335" s="160"/>
      <c r="J335" s="161"/>
    </row>
    <row r="336">
      <c r="A336" s="155" t="str">
        <f t="shared" si="1"/>
        <v/>
      </c>
      <c r="B336" s="156"/>
      <c r="C336" s="157"/>
      <c r="D336" s="156"/>
      <c r="E336" s="156"/>
      <c r="F336" s="156"/>
      <c r="G336" s="157"/>
      <c r="H336" s="156"/>
      <c r="I336" s="156"/>
      <c r="J336" s="157"/>
    </row>
    <row r="337">
      <c r="A337" s="159" t="str">
        <f t="shared" si="1"/>
        <v/>
      </c>
      <c r="B337" s="160"/>
      <c r="C337" s="161"/>
      <c r="D337" s="160"/>
      <c r="E337" s="160"/>
      <c r="F337" s="160"/>
      <c r="G337" s="161"/>
      <c r="H337" s="160"/>
      <c r="I337" s="160"/>
      <c r="J337" s="161"/>
    </row>
    <row r="338">
      <c r="A338" s="155" t="str">
        <f t="shared" si="1"/>
        <v/>
      </c>
      <c r="B338" s="156"/>
      <c r="C338" s="157"/>
      <c r="D338" s="156"/>
      <c r="E338" s="156"/>
      <c r="F338" s="156"/>
      <c r="G338" s="157"/>
      <c r="H338" s="156"/>
      <c r="I338" s="156"/>
      <c r="J338" s="157"/>
    </row>
    <row r="339">
      <c r="A339" s="159" t="str">
        <f t="shared" si="1"/>
        <v/>
      </c>
      <c r="B339" s="160"/>
      <c r="C339" s="161"/>
      <c r="D339" s="160"/>
      <c r="E339" s="160"/>
      <c r="F339" s="160"/>
      <c r="G339" s="161"/>
      <c r="H339" s="160"/>
      <c r="I339" s="160"/>
      <c r="J339" s="161"/>
    </row>
    <row r="340">
      <c r="A340" s="155" t="str">
        <f t="shared" si="1"/>
        <v/>
      </c>
      <c r="B340" s="156"/>
      <c r="C340" s="157"/>
      <c r="D340" s="156"/>
      <c r="E340" s="156"/>
      <c r="F340" s="156"/>
      <c r="G340" s="157"/>
      <c r="H340" s="156"/>
      <c r="I340" s="156"/>
      <c r="J340" s="157"/>
    </row>
    <row r="341">
      <c r="A341" s="159" t="str">
        <f t="shared" si="1"/>
        <v/>
      </c>
      <c r="B341" s="160"/>
      <c r="C341" s="161"/>
      <c r="D341" s="160"/>
      <c r="E341" s="160"/>
      <c r="F341" s="160"/>
      <c r="G341" s="161"/>
      <c r="H341" s="160"/>
      <c r="I341" s="160"/>
      <c r="J341" s="161"/>
    </row>
    <row r="342">
      <c r="A342" s="155" t="str">
        <f t="shared" si="1"/>
        <v/>
      </c>
      <c r="B342" s="156"/>
      <c r="C342" s="157"/>
      <c r="D342" s="156"/>
      <c r="E342" s="156"/>
      <c r="F342" s="156"/>
      <c r="G342" s="157"/>
      <c r="H342" s="156"/>
      <c r="I342" s="156"/>
      <c r="J342" s="157"/>
    </row>
    <row r="343">
      <c r="A343" s="159" t="str">
        <f t="shared" si="1"/>
        <v/>
      </c>
      <c r="B343" s="160"/>
      <c r="C343" s="161"/>
      <c r="D343" s="160"/>
      <c r="E343" s="160"/>
      <c r="F343" s="160"/>
      <c r="G343" s="161"/>
      <c r="H343" s="160"/>
      <c r="I343" s="160"/>
      <c r="J343" s="161"/>
    </row>
    <row r="344">
      <c r="A344" s="155" t="str">
        <f t="shared" si="1"/>
        <v/>
      </c>
      <c r="B344" s="156"/>
      <c r="C344" s="157"/>
      <c r="D344" s="156"/>
      <c r="E344" s="156"/>
      <c r="F344" s="156"/>
      <c r="G344" s="157"/>
      <c r="H344" s="156"/>
      <c r="I344" s="156"/>
      <c r="J344" s="157"/>
    </row>
    <row r="345">
      <c r="A345" s="159" t="str">
        <f t="shared" si="1"/>
        <v/>
      </c>
      <c r="B345" s="160"/>
      <c r="C345" s="161"/>
      <c r="D345" s="160"/>
      <c r="E345" s="160"/>
      <c r="F345" s="160"/>
      <c r="G345" s="161"/>
      <c r="H345" s="160"/>
      <c r="I345" s="160"/>
      <c r="J345" s="161"/>
    </row>
    <row r="346">
      <c r="A346" s="155" t="str">
        <f t="shared" si="1"/>
        <v/>
      </c>
      <c r="B346" s="156"/>
      <c r="C346" s="157"/>
      <c r="D346" s="156"/>
      <c r="E346" s="156"/>
      <c r="F346" s="156"/>
      <c r="G346" s="157"/>
      <c r="H346" s="156"/>
      <c r="I346" s="156"/>
      <c r="J346" s="157"/>
    </row>
    <row r="347">
      <c r="A347" s="159" t="str">
        <f t="shared" si="1"/>
        <v/>
      </c>
      <c r="B347" s="160"/>
      <c r="C347" s="161"/>
      <c r="D347" s="160"/>
      <c r="E347" s="160"/>
      <c r="F347" s="160"/>
      <c r="G347" s="161"/>
      <c r="H347" s="160"/>
      <c r="I347" s="160"/>
      <c r="J347" s="161"/>
    </row>
    <row r="348">
      <c r="A348" s="155" t="str">
        <f t="shared" si="1"/>
        <v/>
      </c>
      <c r="B348" s="156"/>
      <c r="C348" s="157"/>
      <c r="D348" s="156"/>
      <c r="E348" s="156"/>
      <c r="F348" s="156"/>
      <c r="G348" s="157"/>
      <c r="H348" s="156"/>
      <c r="I348" s="156"/>
      <c r="J348" s="157"/>
    </row>
    <row r="349">
      <c r="A349" s="159" t="str">
        <f t="shared" si="1"/>
        <v/>
      </c>
      <c r="B349" s="160"/>
      <c r="C349" s="161"/>
      <c r="D349" s="160"/>
      <c r="E349" s="160"/>
      <c r="F349" s="160"/>
      <c r="G349" s="161"/>
      <c r="H349" s="160"/>
      <c r="I349" s="160"/>
      <c r="J349" s="161"/>
    </row>
    <row r="350">
      <c r="A350" s="155" t="str">
        <f t="shared" si="1"/>
        <v/>
      </c>
      <c r="B350" s="156"/>
      <c r="C350" s="157"/>
      <c r="D350" s="156"/>
      <c r="E350" s="156"/>
      <c r="F350" s="156"/>
      <c r="G350" s="157"/>
      <c r="H350" s="156"/>
      <c r="I350" s="156"/>
      <c r="J350" s="157"/>
    </row>
    <row r="351">
      <c r="A351" s="159" t="str">
        <f t="shared" si="1"/>
        <v/>
      </c>
      <c r="B351" s="160"/>
      <c r="C351" s="161"/>
      <c r="D351" s="160"/>
      <c r="E351" s="160"/>
      <c r="F351" s="160"/>
      <c r="G351" s="161"/>
      <c r="H351" s="160"/>
      <c r="I351" s="160"/>
      <c r="J351" s="161"/>
    </row>
    <row r="352">
      <c r="A352" s="155" t="str">
        <f t="shared" si="1"/>
        <v/>
      </c>
      <c r="B352" s="156"/>
      <c r="C352" s="157"/>
      <c r="D352" s="156"/>
      <c r="E352" s="156"/>
      <c r="F352" s="156"/>
      <c r="G352" s="157"/>
      <c r="H352" s="156"/>
      <c r="I352" s="156"/>
      <c r="J352" s="157"/>
    </row>
    <row r="353">
      <c r="A353" s="159" t="str">
        <f t="shared" si="1"/>
        <v/>
      </c>
      <c r="B353" s="160"/>
      <c r="C353" s="161"/>
      <c r="D353" s="160"/>
      <c r="E353" s="160"/>
      <c r="F353" s="160"/>
      <c r="G353" s="161"/>
      <c r="H353" s="160"/>
      <c r="I353" s="160"/>
      <c r="J353" s="161"/>
    </row>
    <row r="354">
      <c r="A354" s="155" t="str">
        <f t="shared" si="1"/>
        <v/>
      </c>
      <c r="B354" s="156"/>
      <c r="C354" s="157"/>
      <c r="D354" s="156"/>
      <c r="E354" s="156"/>
      <c r="F354" s="156"/>
      <c r="G354" s="157"/>
      <c r="H354" s="156"/>
      <c r="I354" s="156"/>
      <c r="J354" s="157"/>
    </row>
    <row r="355">
      <c r="A355" s="159" t="str">
        <f t="shared" si="1"/>
        <v/>
      </c>
      <c r="B355" s="160"/>
      <c r="C355" s="161"/>
      <c r="D355" s="160"/>
      <c r="E355" s="160"/>
      <c r="F355" s="160"/>
      <c r="G355" s="161"/>
      <c r="H355" s="160"/>
      <c r="I355" s="160"/>
      <c r="J355" s="161"/>
    </row>
    <row r="356">
      <c r="A356" s="155" t="str">
        <f t="shared" si="1"/>
        <v/>
      </c>
      <c r="B356" s="156"/>
      <c r="C356" s="157"/>
      <c r="D356" s="156"/>
      <c r="E356" s="156"/>
      <c r="F356" s="156"/>
      <c r="G356" s="157"/>
      <c r="H356" s="156"/>
      <c r="I356" s="156"/>
      <c r="J356" s="157"/>
    </row>
    <row r="357">
      <c r="A357" s="159" t="str">
        <f t="shared" si="1"/>
        <v/>
      </c>
      <c r="B357" s="160"/>
      <c r="C357" s="161"/>
      <c r="D357" s="160"/>
      <c r="E357" s="160"/>
      <c r="F357" s="160"/>
      <c r="G357" s="161"/>
      <c r="H357" s="160"/>
      <c r="I357" s="160"/>
      <c r="J357" s="161"/>
    </row>
    <row r="358">
      <c r="A358" s="155" t="str">
        <f t="shared" si="1"/>
        <v/>
      </c>
      <c r="B358" s="156"/>
      <c r="C358" s="157"/>
      <c r="D358" s="156"/>
      <c r="E358" s="156"/>
      <c r="F358" s="156"/>
      <c r="G358" s="157"/>
      <c r="H358" s="156"/>
      <c r="I358" s="156"/>
      <c r="J358" s="157"/>
    </row>
    <row r="359">
      <c r="A359" s="159" t="str">
        <f t="shared" si="1"/>
        <v/>
      </c>
      <c r="B359" s="160"/>
      <c r="C359" s="161"/>
      <c r="D359" s="160"/>
      <c r="E359" s="160"/>
      <c r="F359" s="160"/>
      <c r="G359" s="161"/>
      <c r="H359" s="160"/>
      <c r="I359" s="160"/>
      <c r="J359" s="161"/>
    </row>
    <row r="360">
      <c r="A360" s="155" t="str">
        <f t="shared" si="1"/>
        <v/>
      </c>
      <c r="B360" s="156"/>
      <c r="C360" s="157"/>
      <c r="D360" s="156"/>
      <c r="E360" s="156"/>
      <c r="F360" s="156"/>
      <c r="G360" s="157"/>
      <c r="H360" s="156"/>
      <c r="I360" s="156"/>
      <c r="J360" s="157"/>
    </row>
    <row r="361">
      <c r="A361" s="159" t="str">
        <f t="shared" si="1"/>
        <v/>
      </c>
      <c r="B361" s="160"/>
      <c r="C361" s="161"/>
      <c r="D361" s="160"/>
      <c r="E361" s="160"/>
      <c r="F361" s="160"/>
      <c r="G361" s="161"/>
      <c r="H361" s="160"/>
      <c r="I361" s="160"/>
      <c r="J361" s="161"/>
    </row>
    <row r="362">
      <c r="A362" s="155" t="str">
        <f t="shared" si="1"/>
        <v/>
      </c>
      <c r="B362" s="156"/>
      <c r="C362" s="157"/>
      <c r="D362" s="156"/>
      <c r="E362" s="156"/>
      <c r="F362" s="156"/>
      <c r="G362" s="157"/>
      <c r="H362" s="156"/>
      <c r="I362" s="156"/>
      <c r="J362" s="157"/>
    </row>
    <row r="363">
      <c r="A363" s="159" t="str">
        <f t="shared" si="1"/>
        <v/>
      </c>
      <c r="B363" s="160"/>
      <c r="C363" s="161"/>
      <c r="D363" s="160"/>
      <c r="E363" s="160"/>
      <c r="F363" s="160"/>
      <c r="G363" s="161"/>
      <c r="H363" s="160"/>
      <c r="I363" s="160"/>
      <c r="J363" s="161"/>
    </row>
    <row r="364">
      <c r="A364" s="155" t="str">
        <f t="shared" si="1"/>
        <v/>
      </c>
      <c r="B364" s="156"/>
      <c r="C364" s="157"/>
      <c r="D364" s="156"/>
      <c r="E364" s="156"/>
      <c r="F364" s="156"/>
      <c r="G364" s="157"/>
      <c r="H364" s="156"/>
      <c r="I364" s="156"/>
      <c r="J364" s="157"/>
    </row>
    <row r="365">
      <c r="A365" s="159" t="str">
        <f t="shared" si="1"/>
        <v/>
      </c>
      <c r="B365" s="160"/>
      <c r="C365" s="161"/>
      <c r="D365" s="160"/>
      <c r="E365" s="160"/>
      <c r="F365" s="160"/>
      <c r="G365" s="161"/>
      <c r="H365" s="160"/>
      <c r="I365" s="160"/>
      <c r="J365" s="161"/>
    </row>
    <row r="366">
      <c r="A366" s="155" t="str">
        <f t="shared" si="1"/>
        <v/>
      </c>
      <c r="B366" s="156"/>
      <c r="C366" s="157"/>
      <c r="D366" s="156"/>
      <c r="E366" s="156"/>
      <c r="F366" s="156"/>
      <c r="G366" s="157"/>
      <c r="H366" s="156"/>
      <c r="I366" s="156"/>
      <c r="J366" s="157"/>
    </row>
    <row r="367">
      <c r="A367" s="159" t="str">
        <f t="shared" si="1"/>
        <v/>
      </c>
      <c r="B367" s="160"/>
      <c r="C367" s="161"/>
      <c r="D367" s="160"/>
      <c r="E367" s="160"/>
      <c r="F367" s="160"/>
      <c r="G367" s="161"/>
      <c r="H367" s="160"/>
      <c r="I367" s="160"/>
      <c r="J367" s="161"/>
    </row>
    <row r="368">
      <c r="A368" s="155" t="str">
        <f t="shared" si="1"/>
        <v/>
      </c>
      <c r="B368" s="156"/>
      <c r="C368" s="157"/>
      <c r="D368" s="156"/>
      <c r="E368" s="156"/>
      <c r="F368" s="156"/>
      <c r="G368" s="157"/>
      <c r="H368" s="156"/>
      <c r="I368" s="156"/>
      <c r="J368" s="157"/>
    </row>
    <row r="369">
      <c r="A369" s="159" t="str">
        <f t="shared" si="1"/>
        <v/>
      </c>
      <c r="B369" s="160"/>
      <c r="C369" s="161"/>
      <c r="D369" s="160"/>
      <c r="E369" s="160"/>
      <c r="F369" s="160"/>
      <c r="G369" s="161"/>
      <c r="H369" s="160"/>
      <c r="I369" s="160"/>
      <c r="J369" s="161"/>
    </row>
    <row r="370">
      <c r="A370" s="155" t="str">
        <f t="shared" si="1"/>
        <v/>
      </c>
      <c r="B370" s="156"/>
      <c r="C370" s="157"/>
      <c r="D370" s="156"/>
      <c r="E370" s="156"/>
      <c r="F370" s="156"/>
      <c r="G370" s="157"/>
      <c r="H370" s="156"/>
      <c r="I370" s="156"/>
      <c r="J370" s="157"/>
    </row>
    <row r="371">
      <c r="A371" s="159" t="str">
        <f t="shared" si="1"/>
        <v/>
      </c>
      <c r="B371" s="160"/>
      <c r="C371" s="161"/>
      <c r="D371" s="160"/>
      <c r="E371" s="160"/>
      <c r="F371" s="160"/>
      <c r="G371" s="161"/>
      <c r="H371" s="160"/>
      <c r="I371" s="160"/>
      <c r="J371" s="161"/>
    </row>
    <row r="372">
      <c r="A372" s="155" t="str">
        <f t="shared" si="1"/>
        <v/>
      </c>
      <c r="B372" s="156"/>
      <c r="C372" s="157"/>
      <c r="D372" s="156"/>
      <c r="E372" s="156"/>
      <c r="F372" s="156"/>
      <c r="G372" s="157"/>
      <c r="H372" s="156"/>
      <c r="I372" s="156"/>
      <c r="J372" s="157"/>
    </row>
    <row r="373">
      <c r="A373" s="159" t="str">
        <f t="shared" si="1"/>
        <v/>
      </c>
      <c r="B373" s="160"/>
      <c r="C373" s="161"/>
      <c r="D373" s="160"/>
      <c r="E373" s="160"/>
      <c r="F373" s="160"/>
      <c r="G373" s="161"/>
      <c r="H373" s="160"/>
      <c r="I373" s="160"/>
      <c r="J373" s="161"/>
    </row>
    <row r="374">
      <c r="A374" s="155" t="str">
        <f t="shared" si="1"/>
        <v/>
      </c>
      <c r="B374" s="156"/>
      <c r="C374" s="157"/>
      <c r="D374" s="156"/>
      <c r="E374" s="156"/>
      <c r="F374" s="156"/>
      <c r="G374" s="157"/>
      <c r="H374" s="156"/>
      <c r="I374" s="156"/>
      <c r="J374" s="157"/>
    </row>
    <row r="375">
      <c r="A375" s="159" t="str">
        <f t="shared" si="1"/>
        <v/>
      </c>
      <c r="B375" s="160"/>
      <c r="C375" s="161"/>
      <c r="D375" s="160"/>
      <c r="E375" s="160"/>
      <c r="F375" s="160"/>
      <c r="G375" s="161"/>
      <c r="H375" s="160"/>
      <c r="I375" s="160"/>
      <c r="J375" s="161"/>
    </row>
    <row r="376">
      <c r="A376" s="155" t="str">
        <f t="shared" si="1"/>
        <v/>
      </c>
      <c r="B376" s="156"/>
      <c r="C376" s="157"/>
      <c r="D376" s="156"/>
      <c r="E376" s="156"/>
      <c r="F376" s="156"/>
      <c r="G376" s="157"/>
      <c r="H376" s="156"/>
      <c r="I376" s="156"/>
      <c r="J376" s="157"/>
    </row>
    <row r="377">
      <c r="A377" s="159" t="str">
        <f t="shared" si="1"/>
        <v/>
      </c>
      <c r="B377" s="160"/>
      <c r="C377" s="161"/>
      <c r="D377" s="160"/>
      <c r="E377" s="160"/>
      <c r="F377" s="160"/>
      <c r="G377" s="161"/>
      <c r="H377" s="160"/>
      <c r="I377" s="160"/>
      <c r="J377" s="161"/>
    </row>
    <row r="378">
      <c r="A378" s="155" t="str">
        <f t="shared" si="1"/>
        <v/>
      </c>
      <c r="B378" s="156"/>
      <c r="C378" s="157"/>
      <c r="D378" s="156"/>
      <c r="E378" s="156"/>
      <c r="F378" s="156"/>
      <c r="G378" s="157"/>
      <c r="H378" s="156"/>
      <c r="I378" s="156"/>
      <c r="J378" s="157"/>
    </row>
    <row r="379">
      <c r="A379" s="159" t="str">
        <f t="shared" si="1"/>
        <v/>
      </c>
      <c r="B379" s="160"/>
      <c r="C379" s="161"/>
      <c r="D379" s="160"/>
      <c r="E379" s="160"/>
      <c r="F379" s="160"/>
      <c r="G379" s="161"/>
      <c r="H379" s="160"/>
      <c r="I379" s="160"/>
      <c r="J379" s="161"/>
    </row>
    <row r="380">
      <c r="A380" s="155" t="str">
        <f t="shared" si="1"/>
        <v/>
      </c>
      <c r="B380" s="156"/>
      <c r="C380" s="157"/>
      <c r="D380" s="156"/>
      <c r="E380" s="156"/>
      <c r="F380" s="156"/>
      <c r="G380" s="157"/>
      <c r="H380" s="156"/>
      <c r="I380" s="156"/>
      <c r="J380" s="157"/>
    </row>
    <row r="381">
      <c r="A381" s="159" t="str">
        <f t="shared" si="1"/>
        <v/>
      </c>
      <c r="B381" s="160"/>
      <c r="C381" s="161"/>
      <c r="D381" s="160"/>
      <c r="E381" s="160"/>
      <c r="F381" s="160"/>
      <c r="G381" s="161"/>
      <c r="H381" s="160"/>
      <c r="I381" s="160"/>
      <c r="J381" s="161"/>
    </row>
    <row r="382">
      <c r="A382" s="155" t="str">
        <f t="shared" si="1"/>
        <v/>
      </c>
      <c r="B382" s="156"/>
      <c r="C382" s="157"/>
      <c r="D382" s="156"/>
      <c r="E382" s="156"/>
      <c r="F382" s="156"/>
      <c r="G382" s="157"/>
      <c r="H382" s="156"/>
      <c r="I382" s="156"/>
      <c r="J382" s="157"/>
    </row>
    <row r="383">
      <c r="A383" s="159" t="str">
        <f t="shared" si="1"/>
        <v/>
      </c>
      <c r="B383" s="160"/>
      <c r="C383" s="161"/>
      <c r="D383" s="160"/>
      <c r="E383" s="160"/>
      <c r="F383" s="160"/>
      <c r="G383" s="161"/>
      <c r="H383" s="160"/>
      <c r="I383" s="160"/>
      <c r="J383" s="161"/>
    </row>
    <row r="384">
      <c r="A384" s="155" t="str">
        <f t="shared" si="1"/>
        <v/>
      </c>
      <c r="B384" s="156"/>
      <c r="C384" s="157"/>
      <c r="D384" s="156"/>
      <c r="E384" s="156"/>
      <c r="F384" s="156"/>
      <c r="G384" s="157"/>
      <c r="H384" s="156"/>
      <c r="I384" s="156"/>
      <c r="J384" s="157"/>
    </row>
    <row r="385">
      <c r="A385" s="159" t="str">
        <f t="shared" si="1"/>
        <v/>
      </c>
      <c r="B385" s="160"/>
      <c r="C385" s="161"/>
      <c r="D385" s="160"/>
      <c r="E385" s="160"/>
      <c r="F385" s="160"/>
      <c r="G385" s="161"/>
      <c r="H385" s="160"/>
      <c r="I385" s="160"/>
      <c r="J385" s="161"/>
    </row>
    <row r="386">
      <c r="A386" s="155" t="str">
        <f t="shared" si="1"/>
        <v/>
      </c>
      <c r="B386" s="156"/>
      <c r="C386" s="157"/>
      <c r="D386" s="156"/>
      <c r="E386" s="156"/>
      <c r="F386" s="156"/>
      <c r="G386" s="157"/>
      <c r="H386" s="156"/>
      <c r="I386" s="156"/>
      <c r="J386" s="157"/>
    </row>
    <row r="387">
      <c r="A387" s="159" t="str">
        <f t="shared" si="1"/>
        <v/>
      </c>
      <c r="B387" s="160"/>
      <c r="C387" s="161"/>
      <c r="D387" s="160"/>
      <c r="E387" s="160"/>
      <c r="F387" s="160"/>
      <c r="G387" s="161"/>
      <c r="H387" s="160"/>
      <c r="I387" s="160"/>
      <c r="J387" s="161"/>
    </row>
    <row r="388">
      <c r="A388" s="155" t="str">
        <f t="shared" si="1"/>
        <v/>
      </c>
      <c r="B388" s="156"/>
      <c r="C388" s="157"/>
      <c r="D388" s="156"/>
      <c r="E388" s="156"/>
      <c r="F388" s="156"/>
      <c r="G388" s="157"/>
      <c r="H388" s="156"/>
      <c r="I388" s="156"/>
      <c r="J388" s="157"/>
    </row>
    <row r="389">
      <c r="A389" s="159" t="str">
        <f t="shared" si="1"/>
        <v/>
      </c>
      <c r="B389" s="160"/>
      <c r="C389" s="161"/>
      <c r="D389" s="160"/>
      <c r="E389" s="160"/>
      <c r="F389" s="160"/>
      <c r="G389" s="161"/>
      <c r="H389" s="160"/>
      <c r="I389" s="160"/>
      <c r="J389" s="161"/>
    </row>
    <row r="390">
      <c r="A390" s="155" t="str">
        <f t="shared" si="1"/>
        <v/>
      </c>
      <c r="B390" s="156"/>
      <c r="C390" s="157"/>
      <c r="D390" s="156"/>
      <c r="E390" s="156"/>
      <c r="F390" s="156"/>
      <c r="G390" s="157"/>
      <c r="H390" s="156"/>
      <c r="I390" s="156"/>
      <c r="J390" s="157"/>
    </row>
    <row r="391">
      <c r="A391" s="159" t="str">
        <f t="shared" si="1"/>
        <v/>
      </c>
      <c r="B391" s="160"/>
      <c r="C391" s="161"/>
      <c r="D391" s="160"/>
      <c r="E391" s="160"/>
      <c r="F391" s="160"/>
      <c r="G391" s="161"/>
      <c r="H391" s="160"/>
      <c r="I391" s="160"/>
      <c r="J391" s="161"/>
    </row>
    <row r="392">
      <c r="A392" s="155" t="str">
        <f t="shared" si="1"/>
        <v/>
      </c>
      <c r="B392" s="156"/>
      <c r="C392" s="157"/>
      <c r="D392" s="156"/>
      <c r="E392" s="156"/>
      <c r="F392" s="156"/>
      <c r="G392" s="157"/>
      <c r="H392" s="156"/>
      <c r="I392" s="156"/>
      <c r="J392" s="157"/>
    </row>
    <row r="393">
      <c r="A393" s="159" t="str">
        <f t="shared" si="1"/>
        <v/>
      </c>
      <c r="B393" s="160"/>
      <c r="C393" s="161"/>
      <c r="D393" s="160"/>
      <c r="E393" s="160"/>
      <c r="F393" s="160"/>
      <c r="G393" s="161"/>
      <c r="H393" s="160"/>
      <c r="I393" s="160"/>
      <c r="J393" s="161"/>
    </row>
    <row r="394">
      <c r="A394" s="155" t="str">
        <f t="shared" si="1"/>
        <v/>
      </c>
      <c r="B394" s="156"/>
      <c r="C394" s="157"/>
      <c r="D394" s="156"/>
      <c r="E394" s="156"/>
      <c r="F394" s="156"/>
      <c r="G394" s="157"/>
      <c r="H394" s="156"/>
      <c r="I394" s="156"/>
      <c r="J394" s="157"/>
    </row>
    <row r="395">
      <c r="A395" s="159" t="str">
        <f t="shared" si="1"/>
        <v/>
      </c>
      <c r="B395" s="160"/>
      <c r="C395" s="161"/>
      <c r="D395" s="160"/>
      <c r="E395" s="160"/>
      <c r="F395" s="160"/>
      <c r="G395" s="161"/>
      <c r="H395" s="160"/>
      <c r="I395" s="160"/>
      <c r="J395" s="161"/>
    </row>
    <row r="396">
      <c r="A396" s="155" t="str">
        <f t="shared" si="1"/>
        <v/>
      </c>
      <c r="B396" s="156"/>
      <c r="C396" s="157"/>
      <c r="D396" s="156"/>
      <c r="E396" s="156"/>
      <c r="F396" s="156"/>
      <c r="G396" s="157"/>
      <c r="H396" s="156"/>
      <c r="I396" s="156"/>
      <c r="J396" s="157"/>
    </row>
    <row r="397">
      <c r="A397" s="159" t="str">
        <f t="shared" si="1"/>
        <v/>
      </c>
      <c r="B397" s="160"/>
      <c r="C397" s="161"/>
      <c r="D397" s="160"/>
      <c r="E397" s="160"/>
      <c r="F397" s="160"/>
      <c r="G397" s="161"/>
      <c r="H397" s="160"/>
      <c r="I397" s="160"/>
      <c r="J397" s="161"/>
    </row>
    <row r="398">
      <c r="A398" s="155" t="str">
        <f t="shared" si="1"/>
        <v/>
      </c>
      <c r="B398" s="156"/>
      <c r="C398" s="157"/>
      <c r="D398" s="156"/>
      <c r="E398" s="156"/>
      <c r="F398" s="156"/>
      <c r="G398" s="157"/>
      <c r="H398" s="156"/>
      <c r="I398" s="156"/>
      <c r="J398" s="157"/>
    </row>
    <row r="399">
      <c r="A399" s="159" t="str">
        <f t="shared" si="1"/>
        <v/>
      </c>
      <c r="B399" s="160"/>
      <c r="C399" s="161"/>
      <c r="D399" s="160"/>
      <c r="E399" s="160"/>
      <c r="F399" s="160"/>
      <c r="G399" s="161"/>
      <c r="H399" s="160"/>
      <c r="I399" s="160"/>
      <c r="J399" s="161"/>
    </row>
    <row r="400">
      <c r="A400" s="155" t="str">
        <f t="shared" si="1"/>
        <v/>
      </c>
      <c r="B400" s="156"/>
      <c r="C400" s="157"/>
      <c r="D400" s="156"/>
      <c r="E400" s="156"/>
      <c r="F400" s="156"/>
      <c r="G400" s="157"/>
      <c r="H400" s="156"/>
      <c r="I400" s="156"/>
      <c r="J400" s="157"/>
    </row>
    <row r="401">
      <c r="A401" s="159" t="str">
        <f t="shared" si="1"/>
        <v/>
      </c>
      <c r="B401" s="160"/>
      <c r="C401" s="161"/>
      <c r="D401" s="160"/>
      <c r="E401" s="160"/>
      <c r="F401" s="160"/>
      <c r="G401" s="161"/>
      <c r="H401" s="160"/>
      <c r="I401" s="160"/>
      <c r="J401" s="161"/>
    </row>
    <row r="402">
      <c r="A402" s="155" t="str">
        <f t="shared" si="1"/>
        <v/>
      </c>
      <c r="B402" s="156"/>
      <c r="C402" s="157"/>
      <c r="D402" s="156"/>
      <c r="E402" s="156"/>
      <c r="F402" s="156"/>
      <c r="G402" s="157"/>
      <c r="H402" s="156"/>
      <c r="I402" s="156"/>
      <c r="J402" s="157"/>
    </row>
    <row r="403">
      <c r="A403" s="159" t="str">
        <f t="shared" si="1"/>
        <v/>
      </c>
      <c r="B403" s="160"/>
      <c r="C403" s="161"/>
      <c r="D403" s="160"/>
      <c r="E403" s="160"/>
      <c r="F403" s="160"/>
      <c r="G403" s="161"/>
      <c r="H403" s="160"/>
      <c r="I403" s="160"/>
      <c r="J403" s="161"/>
    </row>
    <row r="404">
      <c r="A404" s="155" t="str">
        <f t="shared" si="1"/>
        <v/>
      </c>
      <c r="B404" s="156"/>
      <c r="C404" s="157"/>
      <c r="D404" s="156"/>
      <c r="E404" s="156"/>
      <c r="F404" s="156"/>
      <c r="G404" s="157"/>
      <c r="H404" s="156"/>
      <c r="I404" s="156"/>
      <c r="J404" s="157"/>
    </row>
    <row r="405">
      <c r="A405" s="159" t="str">
        <f t="shared" si="1"/>
        <v/>
      </c>
      <c r="B405" s="160"/>
      <c r="C405" s="161"/>
      <c r="D405" s="160"/>
      <c r="E405" s="160"/>
      <c r="F405" s="160"/>
      <c r="G405" s="161"/>
      <c r="H405" s="160"/>
      <c r="I405" s="160"/>
      <c r="J405" s="161"/>
    </row>
    <row r="406">
      <c r="A406" s="155" t="str">
        <f t="shared" si="1"/>
        <v/>
      </c>
      <c r="B406" s="156"/>
      <c r="C406" s="157"/>
      <c r="D406" s="156"/>
      <c r="E406" s="156"/>
      <c r="F406" s="156"/>
      <c r="G406" s="157"/>
      <c r="H406" s="156"/>
      <c r="I406" s="156"/>
      <c r="J406" s="157"/>
    </row>
    <row r="407">
      <c r="A407" s="159" t="str">
        <f t="shared" si="1"/>
        <v/>
      </c>
      <c r="B407" s="160"/>
      <c r="C407" s="161"/>
      <c r="D407" s="160"/>
      <c r="E407" s="160"/>
      <c r="F407" s="160"/>
      <c r="G407" s="161"/>
      <c r="H407" s="160"/>
      <c r="I407" s="160"/>
      <c r="J407" s="161"/>
    </row>
    <row r="408">
      <c r="A408" s="155" t="str">
        <f t="shared" si="1"/>
        <v/>
      </c>
      <c r="B408" s="156"/>
      <c r="C408" s="157"/>
      <c r="D408" s="156"/>
      <c r="E408" s="156"/>
      <c r="F408" s="156"/>
      <c r="G408" s="157"/>
      <c r="H408" s="156"/>
      <c r="I408" s="156"/>
      <c r="J408" s="157"/>
    </row>
    <row r="409">
      <c r="A409" s="159" t="str">
        <f t="shared" si="1"/>
        <v/>
      </c>
      <c r="B409" s="160"/>
      <c r="C409" s="161"/>
      <c r="D409" s="160"/>
      <c r="E409" s="160"/>
      <c r="F409" s="160"/>
      <c r="G409" s="161"/>
      <c r="H409" s="160"/>
      <c r="I409" s="160"/>
      <c r="J409" s="161"/>
    </row>
    <row r="410">
      <c r="A410" s="155" t="str">
        <f t="shared" si="1"/>
        <v/>
      </c>
      <c r="B410" s="156"/>
      <c r="C410" s="157"/>
      <c r="D410" s="156"/>
      <c r="E410" s="156"/>
      <c r="F410" s="156"/>
      <c r="G410" s="157"/>
      <c r="H410" s="156"/>
      <c r="I410" s="156"/>
      <c r="J410" s="157"/>
    </row>
    <row r="411">
      <c r="A411" s="159" t="str">
        <f t="shared" si="1"/>
        <v/>
      </c>
      <c r="B411" s="160"/>
      <c r="C411" s="161"/>
      <c r="D411" s="160"/>
      <c r="E411" s="160"/>
      <c r="F411" s="160"/>
      <c r="G411" s="161"/>
      <c r="H411" s="160"/>
      <c r="I411" s="160"/>
      <c r="J411" s="161"/>
    </row>
    <row r="412">
      <c r="A412" s="155" t="str">
        <f t="shared" si="1"/>
        <v/>
      </c>
      <c r="B412" s="156"/>
      <c r="C412" s="157"/>
      <c r="D412" s="156"/>
      <c r="E412" s="156"/>
      <c r="F412" s="156"/>
      <c r="G412" s="157"/>
      <c r="H412" s="156"/>
      <c r="I412" s="156"/>
      <c r="J412" s="157"/>
    </row>
    <row r="413">
      <c r="A413" s="159" t="str">
        <f t="shared" si="1"/>
        <v/>
      </c>
      <c r="B413" s="160"/>
      <c r="C413" s="161"/>
      <c r="D413" s="160"/>
      <c r="E413" s="160"/>
      <c r="F413" s="160"/>
      <c r="G413" s="161"/>
      <c r="H413" s="160"/>
      <c r="I413" s="160"/>
      <c r="J413" s="161"/>
    </row>
    <row r="414">
      <c r="A414" s="155" t="str">
        <f t="shared" si="1"/>
        <v/>
      </c>
      <c r="B414" s="156"/>
      <c r="C414" s="157"/>
      <c r="D414" s="156"/>
      <c r="E414" s="156"/>
      <c r="F414" s="156"/>
      <c r="G414" s="157"/>
      <c r="H414" s="156"/>
      <c r="I414" s="156"/>
      <c r="J414" s="157"/>
    </row>
    <row r="415">
      <c r="A415" s="159" t="str">
        <f t="shared" si="1"/>
        <v/>
      </c>
      <c r="B415" s="160"/>
      <c r="C415" s="161"/>
      <c r="D415" s="160"/>
      <c r="E415" s="160"/>
      <c r="F415" s="160"/>
      <c r="G415" s="161"/>
      <c r="H415" s="160"/>
      <c r="I415" s="160"/>
      <c r="J415" s="161"/>
    </row>
    <row r="416">
      <c r="A416" s="155" t="str">
        <f t="shared" si="1"/>
        <v/>
      </c>
      <c r="B416" s="156"/>
      <c r="C416" s="157"/>
      <c r="D416" s="156"/>
      <c r="E416" s="156"/>
      <c r="F416" s="156"/>
      <c r="G416" s="157"/>
      <c r="H416" s="156"/>
      <c r="I416" s="156"/>
      <c r="J416" s="157"/>
    </row>
    <row r="417">
      <c r="A417" s="159" t="str">
        <f t="shared" si="1"/>
        <v/>
      </c>
      <c r="B417" s="160"/>
      <c r="C417" s="161"/>
      <c r="D417" s="160"/>
      <c r="E417" s="160"/>
      <c r="F417" s="160"/>
      <c r="G417" s="161"/>
      <c r="H417" s="160"/>
      <c r="I417" s="160"/>
      <c r="J417" s="161"/>
    </row>
    <row r="418">
      <c r="A418" s="155" t="str">
        <f t="shared" si="1"/>
        <v/>
      </c>
      <c r="B418" s="156"/>
      <c r="C418" s="157"/>
      <c r="D418" s="156"/>
      <c r="E418" s="156"/>
      <c r="F418" s="156"/>
      <c r="G418" s="157"/>
      <c r="H418" s="156"/>
      <c r="I418" s="156"/>
      <c r="J418" s="157"/>
    </row>
    <row r="419">
      <c r="A419" s="159" t="str">
        <f t="shared" si="1"/>
        <v/>
      </c>
      <c r="B419" s="160"/>
      <c r="C419" s="161"/>
      <c r="D419" s="160"/>
      <c r="E419" s="160"/>
      <c r="F419" s="160"/>
      <c r="G419" s="161"/>
      <c r="H419" s="160"/>
      <c r="I419" s="160"/>
      <c r="J419" s="161"/>
    </row>
    <row r="420">
      <c r="A420" s="155" t="str">
        <f t="shared" si="1"/>
        <v/>
      </c>
      <c r="B420" s="156"/>
      <c r="C420" s="157"/>
      <c r="D420" s="156"/>
      <c r="E420" s="156"/>
      <c r="F420" s="156"/>
      <c r="G420" s="157"/>
      <c r="H420" s="156"/>
      <c r="I420" s="156"/>
      <c r="J420" s="157"/>
    </row>
    <row r="421">
      <c r="A421" s="159" t="str">
        <f t="shared" si="1"/>
        <v/>
      </c>
      <c r="B421" s="160"/>
      <c r="C421" s="161"/>
      <c r="D421" s="160"/>
      <c r="E421" s="160"/>
      <c r="F421" s="160"/>
      <c r="G421" s="161"/>
      <c r="H421" s="160"/>
      <c r="I421" s="160"/>
      <c r="J421" s="161"/>
    </row>
    <row r="422">
      <c r="A422" s="155" t="str">
        <f t="shared" si="1"/>
        <v/>
      </c>
      <c r="B422" s="156"/>
      <c r="C422" s="157"/>
      <c r="D422" s="156"/>
      <c r="E422" s="156"/>
      <c r="F422" s="156"/>
      <c r="G422" s="157"/>
      <c r="H422" s="156"/>
      <c r="I422" s="156"/>
      <c r="J422" s="157"/>
    </row>
    <row r="423">
      <c r="A423" s="159" t="str">
        <f t="shared" si="1"/>
        <v/>
      </c>
      <c r="B423" s="160"/>
      <c r="C423" s="161"/>
      <c r="D423" s="160"/>
      <c r="E423" s="160"/>
      <c r="F423" s="160"/>
      <c r="G423" s="161"/>
      <c r="H423" s="160"/>
      <c r="I423" s="160"/>
      <c r="J423" s="161"/>
    </row>
    <row r="424">
      <c r="A424" s="155" t="str">
        <f t="shared" si="1"/>
        <v/>
      </c>
      <c r="B424" s="156"/>
      <c r="C424" s="157"/>
      <c r="D424" s="156"/>
      <c r="E424" s="156"/>
      <c r="F424" s="156"/>
      <c r="G424" s="157"/>
      <c r="H424" s="156"/>
      <c r="I424" s="156"/>
      <c r="J424" s="157"/>
    </row>
    <row r="425">
      <c r="A425" s="159" t="str">
        <f t="shared" si="1"/>
        <v/>
      </c>
      <c r="B425" s="160"/>
      <c r="C425" s="161"/>
      <c r="D425" s="160"/>
      <c r="E425" s="160"/>
      <c r="F425" s="160"/>
      <c r="G425" s="161"/>
      <c r="H425" s="160"/>
      <c r="I425" s="160"/>
      <c r="J425" s="161"/>
    </row>
    <row r="426">
      <c r="A426" s="155" t="str">
        <f t="shared" si="1"/>
        <v/>
      </c>
      <c r="B426" s="156"/>
      <c r="C426" s="157"/>
      <c r="D426" s="156"/>
      <c r="E426" s="156"/>
      <c r="F426" s="156"/>
      <c r="G426" s="157"/>
      <c r="H426" s="156"/>
      <c r="I426" s="156"/>
      <c r="J426" s="157"/>
    </row>
    <row r="427">
      <c r="A427" s="159" t="str">
        <f t="shared" si="1"/>
        <v/>
      </c>
      <c r="B427" s="160"/>
      <c r="C427" s="161"/>
      <c r="D427" s="160"/>
      <c r="E427" s="160"/>
      <c r="F427" s="160"/>
      <c r="G427" s="161"/>
      <c r="H427" s="160"/>
      <c r="I427" s="160"/>
      <c r="J427" s="161"/>
    </row>
    <row r="428">
      <c r="A428" s="155" t="str">
        <f t="shared" si="1"/>
        <v/>
      </c>
      <c r="B428" s="156"/>
      <c r="C428" s="157"/>
      <c r="D428" s="156"/>
      <c r="E428" s="156"/>
      <c r="F428" s="156"/>
      <c r="G428" s="157"/>
      <c r="H428" s="156"/>
      <c r="I428" s="156"/>
      <c r="J428" s="157"/>
    </row>
    <row r="429">
      <c r="A429" s="159" t="str">
        <f t="shared" si="1"/>
        <v/>
      </c>
      <c r="B429" s="160"/>
      <c r="C429" s="161"/>
      <c r="D429" s="160"/>
      <c r="E429" s="160"/>
      <c r="F429" s="160"/>
      <c r="G429" s="161"/>
      <c r="H429" s="160"/>
      <c r="I429" s="160"/>
      <c r="J429" s="161"/>
    </row>
    <row r="430">
      <c r="A430" s="155" t="str">
        <f t="shared" si="1"/>
        <v/>
      </c>
      <c r="B430" s="156"/>
      <c r="C430" s="157"/>
      <c r="D430" s="156"/>
      <c r="E430" s="156"/>
      <c r="F430" s="156"/>
      <c r="G430" s="157"/>
      <c r="H430" s="156"/>
      <c r="I430" s="156"/>
      <c r="J430" s="157"/>
    </row>
    <row r="431">
      <c r="A431" s="159" t="str">
        <f t="shared" si="1"/>
        <v/>
      </c>
      <c r="B431" s="160"/>
      <c r="C431" s="161"/>
      <c r="D431" s="160"/>
      <c r="E431" s="160"/>
      <c r="F431" s="160"/>
      <c r="G431" s="161"/>
      <c r="H431" s="160"/>
      <c r="I431" s="160"/>
      <c r="J431" s="161"/>
    </row>
    <row r="432">
      <c r="A432" s="155" t="str">
        <f t="shared" si="1"/>
        <v/>
      </c>
      <c r="B432" s="156"/>
      <c r="C432" s="157"/>
      <c r="D432" s="156"/>
      <c r="E432" s="156"/>
      <c r="F432" s="156"/>
      <c r="G432" s="157"/>
      <c r="H432" s="156"/>
      <c r="I432" s="156"/>
      <c r="J432" s="157"/>
    </row>
    <row r="433">
      <c r="A433" s="159" t="str">
        <f t="shared" si="1"/>
        <v/>
      </c>
      <c r="B433" s="160"/>
      <c r="C433" s="161"/>
      <c r="D433" s="160"/>
      <c r="E433" s="160"/>
      <c r="F433" s="160"/>
      <c r="G433" s="161"/>
      <c r="H433" s="160"/>
      <c r="I433" s="160"/>
      <c r="J433" s="161"/>
    </row>
    <row r="434">
      <c r="A434" s="155" t="str">
        <f t="shared" si="1"/>
        <v/>
      </c>
      <c r="B434" s="156"/>
      <c r="C434" s="157"/>
      <c r="D434" s="156"/>
      <c r="E434" s="156"/>
      <c r="F434" s="156"/>
      <c r="G434" s="157"/>
      <c r="H434" s="156"/>
      <c r="I434" s="156"/>
      <c r="J434" s="157"/>
    </row>
    <row r="435">
      <c r="A435" s="159" t="str">
        <f t="shared" si="1"/>
        <v/>
      </c>
      <c r="B435" s="160"/>
      <c r="C435" s="161"/>
      <c r="D435" s="160"/>
      <c r="E435" s="160"/>
      <c r="F435" s="160"/>
      <c r="G435" s="161"/>
      <c r="H435" s="160"/>
      <c r="I435" s="160"/>
      <c r="J435" s="161"/>
    </row>
    <row r="436">
      <c r="A436" s="155" t="str">
        <f t="shared" si="1"/>
        <v/>
      </c>
      <c r="B436" s="156"/>
      <c r="C436" s="157"/>
      <c r="D436" s="156"/>
      <c r="E436" s="156"/>
      <c r="F436" s="156"/>
      <c r="G436" s="157"/>
      <c r="H436" s="156"/>
      <c r="I436" s="156"/>
      <c r="J436" s="157"/>
    </row>
    <row r="437">
      <c r="A437" s="159" t="str">
        <f t="shared" si="1"/>
        <v/>
      </c>
      <c r="B437" s="160"/>
      <c r="C437" s="161"/>
      <c r="D437" s="160"/>
      <c r="E437" s="160"/>
      <c r="F437" s="160"/>
      <c r="G437" s="161"/>
      <c r="H437" s="160"/>
      <c r="I437" s="160"/>
      <c r="J437" s="161"/>
    </row>
    <row r="438">
      <c r="A438" s="155" t="str">
        <f t="shared" si="1"/>
        <v/>
      </c>
      <c r="B438" s="156"/>
      <c r="C438" s="157"/>
      <c r="D438" s="156"/>
      <c r="E438" s="156"/>
      <c r="F438" s="156"/>
      <c r="G438" s="157"/>
      <c r="H438" s="156"/>
      <c r="I438" s="156"/>
      <c r="J438" s="157"/>
    </row>
    <row r="439">
      <c r="A439" s="159" t="str">
        <f t="shared" si="1"/>
        <v/>
      </c>
      <c r="B439" s="160"/>
      <c r="C439" s="161"/>
      <c r="D439" s="160"/>
      <c r="E439" s="160"/>
      <c r="F439" s="160"/>
      <c r="G439" s="161"/>
      <c r="H439" s="160"/>
      <c r="I439" s="160"/>
      <c r="J439" s="161"/>
    </row>
    <row r="440">
      <c r="A440" s="155" t="str">
        <f t="shared" si="1"/>
        <v/>
      </c>
      <c r="B440" s="156"/>
      <c r="C440" s="157"/>
      <c r="D440" s="156"/>
      <c r="E440" s="156"/>
      <c r="F440" s="156"/>
      <c r="G440" s="157"/>
      <c r="H440" s="156"/>
      <c r="I440" s="156"/>
      <c r="J440" s="157"/>
    </row>
    <row r="441">
      <c r="A441" s="159" t="str">
        <f t="shared" si="1"/>
        <v/>
      </c>
      <c r="B441" s="160"/>
      <c r="C441" s="161"/>
      <c r="D441" s="160"/>
      <c r="E441" s="160"/>
      <c r="F441" s="160"/>
      <c r="G441" s="161"/>
      <c r="H441" s="160"/>
      <c r="I441" s="160"/>
      <c r="J441" s="161"/>
    </row>
    <row r="442">
      <c r="A442" s="155" t="str">
        <f t="shared" si="1"/>
        <v/>
      </c>
      <c r="B442" s="156"/>
      <c r="C442" s="157"/>
      <c r="D442" s="156"/>
      <c r="E442" s="156"/>
      <c r="F442" s="156"/>
      <c r="G442" s="157"/>
      <c r="H442" s="156"/>
      <c r="I442" s="156"/>
      <c r="J442" s="157"/>
    </row>
    <row r="443">
      <c r="A443" s="159" t="str">
        <f t="shared" si="1"/>
        <v/>
      </c>
      <c r="B443" s="160"/>
      <c r="C443" s="161"/>
      <c r="D443" s="160"/>
      <c r="E443" s="160"/>
      <c r="F443" s="160"/>
      <c r="G443" s="161"/>
      <c r="H443" s="160"/>
      <c r="I443" s="160"/>
      <c r="J443" s="161"/>
    </row>
    <row r="444">
      <c r="A444" s="155" t="str">
        <f t="shared" si="1"/>
        <v/>
      </c>
      <c r="B444" s="156"/>
      <c r="C444" s="157"/>
      <c r="D444" s="156"/>
      <c r="E444" s="156"/>
      <c r="F444" s="156"/>
      <c r="G444" s="157"/>
      <c r="H444" s="156"/>
      <c r="I444" s="156"/>
      <c r="J444" s="157"/>
    </row>
    <row r="445">
      <c r="A445" s="159" t="str">
        <f t="shared" si="1"/>
        <v/>
      </c>
      <c r="B445" s="160"/>
      <c r="C445" s="161"/>
      <c r="D445" s="160"/>
      <c r="E445" s="160"/>
      <c r="F445" s="160"/>
      <c r="G445" s="161"/>
      <c r="H445" s="160"/>
      <c r="I445" s="160"/>
      <c r="J445" s="161"/>
    </row>
    <row r="446">
      <c r="A446" s="155" t="str">
        <f t="shared" si="1"/>
        <v/>
      </c>
      <c r="B446" s="156"/>
      <c r="C446" s="157"/>
      <c r="D446" s="156"/>
      <c r="E446" s="156"/>
      <c r="F446" s="156"/>
      <c r="G446" s="157"/>
      <c r="H446" s="156"/>
      <c r="I446" s="156"/>
      <c r="J446" s="157"/>
    </row>
    <row r="447">
      <c r="A447" s="159" t="str">
        <f t="shared" si="1"/>
        <v/>
      </c>
      <c r="B447" s="160"/>
      <c r="C447" s="161"/>
      <c r="D447" s="160"/>
      <c r="E447" s="160"/>
      <c r="F447" s="160"/>
      <c r="G447" s="161"/>
      <c r="H447" s="160"/>
      <c r="I447" s="160"/>
      <c r="J447" s="161"/>
    </row>
    <row r="448">
      <c r="A448" s="155" t="str">
        <f t="shared" si="1"/>
        <v/>
      </c>
      <c r="B448" s="156"/>
      <c r="C448" s="157"/>
      <c r="D448" s="156"/>
      <c r="E448" s="156"/>
      <c r="F448" s="156"/>
      <c r="G448" s="157"/>
      <c r="H448" s="156"/>
      <c r="I448" s="156"/>
      <c r="J448" s="157"/>
    </row>
    <row r="449">
      <c r="A449" s="159" t="str">
        <f t="shared" si="1"/>
        <v/>
      </c>
      <c r="B449" s="160"/>
      <c r="C449" s="161"/>
      <c r="D449" s="160"/>
      <c r="E449" s="160"/>
      <c r="F449" s="160"/>
      <c r="G449" s="161"/>
      <c r="H449" s="160"/>
      <c r="I449" s="160"/>
      <c r="J449" s="161"/>
    </row>
    <row r="450">
      <c r="A450" s="155" t="str">
        <f t="shared" si="1"/>
        <v/>
      </c>
      <c r="B450" s="156"/>
      <c r="C450" s="157"/>
      <c r="D450" s="156"/>
      <c r="E450" s="156"/>
      <c r="F450" s="156"/>
      <c r="G450" s="157"/>
      <c r="H450" s="156"/>
      <c r="I450" s="156"/>
      <c r="J450" s="157"/>
    </row>
    <row r="451">
      <c r="A451" s="159" t="str">
        <f t="shared" si="1"/>
        <v/>
      </c>
      <c r="B451" s="160"/>
      <c r="C451" s="161"/>
      <c r="D451" s="160"/>
      <c r="E451" s="160"/>
      <c r="F451" s="160"/>
      <c r="G451" s="161"/>
      <c r="H451" s="160"/>
      <c r="I451" s="160"/>
      <c r="J451" s="161"/>
    </row>
    <row r="452">
      <c r="A452" s="155" t="str">
        <f t="shared" si="1"/>
        <v/>
      </c>
      <c r="B452" s="156"/>
      <c r="C452" s="157"/>
      <c r="D452" s="156"/>
      <c r="E452" s="156"/>
      <c r="F452" s="156"/>
      <c r="G452" s="157"/>
      <c r="H452" s="156"/>
      <c r="I452" s="156"/>
      <c r="J452" s="157"/>
    </row>
    <row r="453">
      <c r="A453" s="159" t="str">
        <f t="shared" si="1"/>
        <v/>
      </c>
      <c r="B453" s="160"/>
      <c r="C453" s="161"/>
      <c r="D453" s="160"/>
      <c r="E453" s="160"/>
      <c r="F453" s="160"/>
      <c r="G453" s="161"/>
      <c r="H453" s="160"/>
      <c r="I453" s="160"/>
      <c r="J453" s="161"/>
    </row>
    <row r="454">
      <c r="A454" s="155" t="str">
        <f t="shared" si="1"/>
        <v/>
      </c>
      <c r="B454" s="156"/>
      <c r="C454" s="157"/>
      <c r="D454" s="156"/>
      <c r="E454" s="156"/>
      <c r="F454" s="156"/>
      <c r="G454" s="157"/>
      <c r="H454" s="156"/>
      <c r="I454" s="156"/>
      <c r="J454" s="157"/>
    </row>
    <row r="455">
      <c r="A455" s="159" t="str">
        <f t="shared" si="1"/>
        <v/>
      </c>
      <c r="B455" s="160"/>
      <c r="C455" s="161"/>
      <c r="D455" s="160"/>
      <c r="E455" s="160"/>
      <c r="F455" s="160"/>
      <c r="G455" s="161"/>
      <c r="H455" s="160"/>
      <c r="I455" s="160"/>
      <c r="J455" s="161"/>
    </row>
    <row r="456">
      <c r="A456" s="155" t="str">
        <f t="shared" si="1"/>
        <v/>
      </c>
      <c r="B456" s="156"/>
      <c r="C456" s="157"/>
      <c r="D456" s="156"/>
      <c r="E456" s="156"/>
      <c r="F456" s="156"/>
      <c r="G456" s="157"/>
      <c r="H456" s="156"/>
      <c r="I456" s="156"/>
      <c r="J456" s="157"/>
    </row>
    <row r="457">
      <c r="A457" s="159" t="str">
        <f t="shared" si="1"/>
        <v/>
      </c>
      <c r="B457" s="160"/>
      <c r="C457" s="161"/>
      <c r="D457" s="160"/>
      <c r="E457" s="160"/>
      <c r="F457" s="160"/>
      <c r="G457" s="161"/>
      <c r="H457" s="160"/>
      <c r="I457" s="160"/>
      <c r="J457" s="161"/>
    </row>
    <row r="458">
      <c r="A458" s="155" t="str">
        <f t="shared" si="1"/>
        <v/>
      </c>
      <c r="B458" s="156"/>
      <c r="C458" s="157"/>
      <c r="D458" s="156"/>
      <c r="E458" s="156"/>
      <c r="F458" s="156"/>
      <c r="G458" s="157"/>
      <c r="H458" s="156"/>
      <c r="I458" s="156"/>
      <c r="J458" s="157"/>
    </row>
    <row r="459">
      <c r="A459" s="159" t="str">
        <f t="shared" si="1"/>
        <v/>
      </c>
      <c r="B459" s="160"/>
      <c r="C459" s="161"/>
      <c r="D459" s="160"/>
      <c r="E459" s="160"/>
      <c r="F459" s="160"/>
      <c r="G459" s="161"/>
      <c r="H459" s="160"/>
      <c r="I459" s="160"/>
      <c r="J459" s="161"/>
    </row>
    <row r="460">
      <c r="A460" s="155" t="str">
        <f t="shared" si="1"/>
        <v/>
      </c>
      <c r="B460" s="156"/>
      <c r="C460" s="157"/>
      <c r="D460" s="156"/>
      <c r="E460" s="156"/>
      <c r="F460" s="156"/>
      <c r="G460" s="157"/>
      <c r="H460" s="156"/>
      <c r="I460" s="156"/>
      <c r="J460" s="157"/>
    </row>
    <row r="461">
      <c r="A461" s="159" t="str">
        <f t="shared" si="1"/>
        <v/>
      </c>
      <c r="B461" s="160"/>
      <c r="C461" s="161"/>
      <c r="D461" s="160"/>
      <c r="E461" s="160"/>
      <c r="F461" s="160"/>
      <c r="G461" s="161"/>
      <c r="H461" s="160"/>
      <c r="I461" s="160"/>
      <c r="J461" s="161"/>
    </row>
    <row r="462">
      <c r="A462" s="155" t="str">
        <f t="shared" si="1"/>
        <v/>
      </c>
      <c r="B462" s="156"/>
      <c r="C462" s="157"/>
      <c r="D462" s="156"/>
      <c r="E462" s="156"/>
      <c r="F462" s="156"/>
      <c r="G462" s="157"/>
      <c r="H462" s="156"/>
      <c r="I462" s="156"/>
      <c r="J462" s="157"/>
    </row>
    <row r="463">
      <c r="A463" s="159" t="str">
        <f t="shared" si="1"/>
        <v/>
      </c>
      <c r="B463" s="160"/>
      <c r="C463" s="161"/>
      <c r="D463" s="160"/>
      <c r="E463" s="160"/>
      <c r="F463" s="160"/>
      <c r="G463" s="161"/>
      <c r="H463" s="160"/>
      <c r="I463" s="160"/>
      <c r="J463" s="161"/>
    </row>
    <row r="464">
      <c r="A464" s="155" t="str">
        <f t="shared" si="1"/>
        <v/>
      </c>
      <c r="B464" s="156"/>
      <c r="C464" s="157"/>
      <c r="D464" s="156"/>
      <c r="E464" s="156"/>
      <c r="F464" s="156"/>
      <c r="G464" s="157"/>
      <c r="H464" s="156"/>
      <c r="I464" s="156"/>
      <c r="J464" s="157"/>
    </row>
    <row r="465">
      <c r="A465" s="159" t="str">
        <f t="shared" si="1"/>
        <v/>
      </c>
      <c r="B465" s="160"/>
      <c r="C465" s="161"/>
      <c r="D465" s="160"/>
      <c r="E465" s="160"/>
      <c r="F465" s="160"/>
      <c r="G465" s="161"/>
      <c r="H465" s="160"/>
      <c r="I465" s="160"/>
      <c r="J465" s="161"/>
    </row>
    <row r="466">
      <c r="A466" s="155" t="str">
        <f t="shared" si="1"/>
        <v/>
      </c>
      <c r="B466" s="156"/>
      <c r="C466" s="157"/>
      <c r="D466" s="156"/>
      <c r="E466" s="156"/>
      <c r="F466" s="156"/>
      <c r="G466" s="157"/>
      <c r="H466" s="156"/>
      <c r="I466" s="156"/>
      <c r="J466" s="157"/>
    </row>
    <row r="467">
      <c r="A467" s="159" t="str">
        <f t="shared" si="1"/>
        <v/>
      </c>
      <c r="B467" s="160"/>
      <c r="C467" s="161"/>
      <c r="D467" s="160"/>
      <c r="E467" s="160"/>
      <c r="F467" s="160"/>
      <c r="G467" s="161"/>
      <c r="H467" s="160"/>
      <c r="I467" s="160"/>
      <c r="J467" s="161"/>
    </row>
    <row r="468">
      <c r="A468" s="155" t="str">
        <f t="shared" si="1"/>
        <v/>
      </c>
      <c r="B468" s="156"/>
      <c r="C468" s="157"/>
      <c r="D468" s="156"/>
      <c r="E468" s="156"/>
      <c r="F468" s="156"/>
      <c r="G468" s="157"/>
      <c r="H468" s="156"/>
      <c r="I468" s="156"/>
      <c r="J468" s="157"/>
    </row>
    <row r="469">
      <c r="A469" s="159" t="str">
        <f t="shared" si="1"/>
        <v/>
      </c>
      <c r="B469" s="160"/>
      <c r="C469" s="161"/>
      <c r="D469" s="160"/>
      <c r="E469" s="160"/>
      <c r="F469" s="160"/>
      <c r="G469" s="161"/>
      <c r="H469" s="160"/>
      <c r="I469" s="160"/>
      <c r="J469" s="161"/>
    </row>
    <row r="470">
      <c r="A470" s="155" t="str">
        <f t="shared" si="1"/>
        <v/>
      </c>
      <c r="B470" s="156"/>
      <c r="C470" s="157"/>
      <c r="D470" s="156"/>
      <c r="E470" s="156"/>
      <c r="F470" s="156"/>
      <c r="G470" s="157"/>
      <c r="H470" s="156"/>
      <c r="I470" s="156"/>
      <c r="J470" s="157"/>
    </row>
    <row r="471">
      <c r="A471" s="159" t="str">
        <f t="shared" si="1"/>
        <v/>
      </c>
      <c r="B471" s="160"/>
      <c r="C471" s="161"/>
      <c r="D471" s="160"/>
      <c r="E471" s="160"/>
      <c r="F471" s="160"/>
      <c r="G471" s="161"/>
      <c r="H471" s="160"/>
      <c r="I471" s="160"/>
      <c r="J471" s="161"/>
    </row>
    <row r="472">
      <c r="A472" s="155" t="str">
        <f t="shared" si="1"/>
        <v/>
      </c>
      <c r="B472" s="156"/>
      <c r="C472" s="157"/>
      <c r="D472" s="156"/>
      <c r="E472" s="156"/>
      <c r="F472" s="156"/>
      <c r="G472" s="157"/>
      <c r="H472" s="156"/>
      <c r="I472" s="156"/>
      <c r="J472" s="157"/>
    </row>
    <row r="473">
      <c r="A473" s="159" t="str">
        <f t="shared" si="1"/>
        <v/>
      </c>
      <c r="B473" s="160"/>
      <c r="C473" s="161"/>
      <c r="D473" s="160"/>
      <c r="E473" s="160"/>
      <c r="F473" s="160"/>
      <c r="G473" s="161"/>
      <c r="H473" s="160"/>
      <c r="I473" s="160"/>
      <c r="J473" s="161"/>
    </row>
    <row r="474">
      <c r="A474" s="155" t="str">
        <f t="shared" si="1"/>
        <v/>
      </c>
      <c r="B474" s="156"/>
      <c r="C474" s="157"/>
      <c r="D474" s="156"/>
      <c r="E474" s="156"/>
      <c r="F474" s="156"/>
      <c r="G474" s="157"/>
      <c r="H474" s="156"/>
      <c r="I474" s="156"/>
      <c r="J474" s="157"/>
    </row>
    <row r="475">
      <c r="A475" s="159" t="str">
        <f t="shared" si="1"/>
        <v/>
      </c>
      <c r="B475" s="160"/>
      <c r="C475" s="161"/>
      <c r="D475" s="160"/>
      <c r="E475" s="160"/>
      <c r="F475" s="160"/>
      <c r="G475" s="161"/>
      <c r="H475" s="160"/>
      <c r="I475" s="160"/>
      <c r="J475" s="161"/>
    </row>
    <row r="476">
      <c r="A476" s="155" t="str">
        <f t="shared" si="1"/>
        <v/>
      </c>
      <c r="B476" s="156"/>
      <c r="C476" s="157"/>
      <c r="D476" s="156"/>
      <c r="E476" s="156"/>
      <c r="F476" s="156"/>
      <c r="G476" s="157"/>
      <c r="H476" s="156"/>
      <c r="I476" s="156"/>
      <c r="J476" s="157"/>
    </row>
    <row r="477">
      <c r="A477" s="159" t="str">
        <f t="shared" si="1"/>
        <v/>
      </c>
      <c r="B477" s="160"/>
      <c r="C477" s="161"/>
      <c r="D477" s="160"/>
      <c r="E477" s="160"/>
      <c r="F477" s="160"/>
      <c r="G477" s="161"/>
      <c r="H477" s="160"/>
      <c r="I477" s="160"/>
      <c r="J477" s="161"/>
    </row>
    <row r="478">
      <c r="A478" s="155" t="str">
        <f t="shared" si="1"/>
        <v/>
      </c>
      <c r="B478" s="156"/>
      <c r="C478" s="157"/>
      <c r="D478" s="156"/>
      <c r="E478" s="156"/>
      <c r="F478" s="156"/>
      <c r="G478" s="157"/>
      <c r="H478" s="156"/>
      <c r="I478" s="156"/>
      <c r="J478" s="157"/>
    </row>
    <row r="479">
      <c r="A479" s="159" t="str">
        <f t="shared" si="1"/>
        <v/>
      </c>
      <c r="B479" s="160"/>
      <c r="C479" s="161"/>
      <c r="D479" s="160"/>
      <c r="E479" s="160"/>
      <c r="F479" s="160"/>
      <c r="G479" s="161"/>
      <c r="H479" s="160"/>
      <c r="I479" s="160"/>
      <c r="J479" s="161"/>
    </row>
    <row r="480">
      <c r="A480" s="155" t="str">
        <f t="shared" si="1"/>
        <v/>
      </c>
      <c r="B480" s="156"/>
      <c r="C480" s="157"/>
      <c r="D480" s="156"/>
      <c r="E480" s="156"/>
      <c r="F480" s="156"/>
      <c r="G480" s="157"/>
      <c r="H480" s="156"/>
      <c r="I480" s="156"/>
      <c r="J480" s="157"/>
    </row>
    <row r="481">
      <c r="A481" s="159" t="str">
        <f t="shared" si="1"/>
        <v/>
      </c>
      <c r="B481" s="160"/>
      <c r="C481" s="161"/>
      <c r="D481" s="160"/>
      <c r="E481" s="160"/>
      <c r="F481" s="160"/>
      <c r="G481" s="161"/>
      <c r="H481" s="160"/>
      <c r="I481" s="160"/>
      <c r="J481" s="161"/>
    </row>
    <row r="482">
      <c r="A482" s="155" t="str">
        <f t="shared" si="1"/>
        <v/>
      </c>
      <c r="B482" s="156"/>
      <c r="C482" s="157"/>
      <c r="D482" s="156"/>
      <c r="E482" s="156"/>
      <c r="F482" s="156"/>
      <c r="G482" s="157"/>
      <c r="H482" s="156"/>
      <c r="I482" s="156"/>
      <c r="J482" s="157"/>
    </row>
    <row r="483">
      <c r="A483" s="159" t="str">
        <f t="shared" si="1"/>
        <v/>
      </c>
      <c r="B483" s="160"/>
      <c r="C483" s="161"/>
      <c r="D483" s="160"/>
      <c r="E483" s="160"/>
      <c r="F483" s="160"/>
      <c r="G483" s="161"/>
      <c r="H483" s="160"/>
      <c r="I483" s="160"/>
      <c r="J483" s="161"/>
    </row>
    <row r="484">
      <c r="A484" s="155" t="str">
        <f t="shared" si="1"/>
        <v/>
      </c>
      <c r="B484" s="156"/>
      <c r="C484" s="157"/>
      <c r="D484" s="156"/>
      <c r="E484" s="156"/>
      <c r="F484" s="156"/>
      <c r="G484" s="157"/>
      <c r="H484" s="156"/>
      <c r="I484" s="156"/>
      <c r="J484" s="157"/>
    </row>
    <row r="485">
      <c r="A485" s="159" t="str">
        <f t="shared" si="1"/>
        <v/>
      </c>
      <c r="B485" s="160"/>
      <c r="C485" s="161"/>
      <c r="D485" s="160"/>
      <c r="E485" s="160"/>
      <c r="F485" s="160"/>
      <c r="G485" s="161"/>
      <c r="H485" s="160"/>
      <c r="I485" s="160"/>
      <c r="J485" s="161"/>
    </row>
    <row r="486">
      <c r="A486" s="155" t="str">
        <f t="shared" si="1"/>
        <v/>
      </c>
      <c r="B486" s="156"/>
      <c r="C486" s="157"/>
      <c r="D486" s="156"/>
      <c r="E486" s="156"/>
      <c r="F486" s="156"/>
      <c r="G486" s="157"/>
      <c r="H486" s="156"/>
      <c r="I486" s="156"/>
      <c r="J486" s="157"/>
    </row>
    <row r="487">
      <c r="A487" s="159" t="str">
        <f t="shared" si="1"/>
        <v/>
      </c>
      <c r="B487" s="160"/>
      <c r="C487" s="161"/>
      <c r="D487" s="160"/>
      <c r="E487" s="160"/>
      <c r="F487" s="160"/>
      <c r="G487" s="161"/>
      <c r="H487" s="160"/>
      <c r="I487" s="160"/>
      <c r="J487" s="161"/>
    </row>
    <row r="488">
      <c r="A488" s="155" t="str">
        <f t="shared" si="1"/>
        <v/>
      </c>
      <c r="B488" s="156"/>
      <c r="C488" s="157"/>
      <c r="D488" s="156"/>
      <c r="E488" s="156"/>
      <c r="F488" s="156"/>
      <c r="G488" s="157"/>
      <c r="H488" s="156"/>
      <c r="I488" s="156"/>
      <c r="J488" s="157"/>
    </row>
    <row r="489">
      <c r="A489" s="159" t="str">
        <f t="shared" si="1"/>
        <v/>
      </c>
      <c r="B489" s="160"/>
      <c r="C489" s="161"/>
      <c r="D489" s="160"/>
      <c r="E489" s="160"/>
      <c r="F489" s="160"/>
      <c r="G489" s="161"/>
      <c r="H489" s="160"/>
      <c r="I489" s="160"/>
      <c r="J489" s="161"/>
    </row>
    <row r="490">
      <c r="A490" s="155" t="str">
        <f t="shared" si="1"/>
        <v/>
      </c>
      <c r="B490" s="156"/>
      <c r="C490" s="157"/>
      <c r="D490" s="156"/>
      <c r="E490" s="156"/>
      <c r="F490" s="156"/>
      <c r="G490" s="157"/>
      <c r="H490" s="156"/>
      <c r="I490" s="156"/>
      <c r="J490" s="157"/>
    </row>
    <row r="491">
      <c r="A491" s="159" t="str">
        <f t="shared" si="1"/>
        <v/>
      </c>
      <c r="B491" s="160"/>
      <c r="C491" s="161"/>
      <c r="D491" s="160"/>
      <c r="E491" s="160"/>
      <c r="F491" s="160"/>
      <c r="G491" s="161"/>
      <c r="H491" s="160"/>
      <c r="I491" s="160"/>
      <c r="J491" s="161"/>
    </row>
    <row r="492">
      <c r="A492" s="155" t="str">
        <f t="shared" si="1"/>
        <v/>
      </c>
      <c r="B492" s="156"/>
      <c r="C492" s="157"/>
      <c r="D492" s="156"/>
      <c r="E492" s="156"/>
      <c r="F492" s="156"/>
      <c r="G492" s="157"/>
      <c r="H492" s="156"/>
      <c r="I492" s="156"/>
      <c r="J492" s="157"/>
    </row>
    <row r="493">
      <c r="A493" s="159" t="str">
        <f t="shared" si="1"/>
        <v/>
      </c>
      <c r="B493" s="160"/>
      <c r="C493" s="161"/>
      <c r="D493" s="160"/>
      <c r="E493" s="160"/>
      <c r="F493" s="160"/>
      <c r="G493" s="161"/>
      <c r="H493" s="160"/>
      <c r="I493" s="160"/>
      <c r="J493" s="161"/>
    </row>
    <row r="494">
      <c r="A494" s="155" t="str">
        <f t="shared" si="1"/>
        <v/>
      </c>
      <c r="B494" s="156"/>
      <c r="C494" s="157"/>
      <c r="D494" s="156"/>
      <c r="E494" s="156"/>
      <c r="F494" s="156"/>
      <c r="G494" s="157"/>
      <c r="H494" s="156"/>
      <c r="I494" s="156"/>
      <c r="J494" s="157"/>
    </row>
    <row r="495">
      <c r="A495" s="159" t="str">
        <f t="shared" si="1"/>
        <v/>
      </c>
      <c r="B495" s="160"/>
      <c r="C495" s="161"/>
      <c r="D495" s="160"/>
      <c r="E495" s="160"/>
      <c r="F495" s="160"/>
      <c r="G495" s="161"/>
      <c r="H495" s="160"/>
      <c r="I495" s="160"/>
      <c r="J495" s="161"/>
    </row>
    <row r="496">
      <c r="A496" s="155" t="str">
        <f t="shared" si="1"/>
        <v/>
      </c>
      <c r="B496" s="156"/>
      <c r="C496" s="157"/>
      <c r="D496" s="156"/>
      <c r="E496" s="156"/>
      <c r="F496" s="156"/>
      <c r="G496" s="157"/>
      <c r="H496" s="156"/>
      <c r="I496" s="156"/>
      <c r="J496" s="157"/>
    </row>
    <row r="497">
      <c r="A497" s="159" t="str">
        <f t="shared" si="1"/>
        <v/>
      </c>
      <c r="B497" s="160"/>
      <c r="C497" s="161"/>
      <c r="D497" s="160"/>
      <c r="E497" s="160"/>
      <c r="F497" s="160"/>
      <c r="G497" s="161"/>
      <c r="H497" s="160"/>
      <c r="I497" s="160"/>
      <c r="J497" s="161"/>
    </row>
    <row r="498">
      <c r="A498" s="155" t="str">
        <f t="shared" si="1"/>
        <v/>
      </c>
      <c r="B498" s="156"/>
      <c r="C498" s="157"/>
      <c r="D498" s="156"/>
      <c r="E498" s="156"/>
      <c r="F498" s="156"/>
      <c r="G498" s="157"/>
      <c r="H498" s="156"/>
      <c r="I498" s="156"/>
      <c r="J498" s="157"/>
    </row>
    <row r="499">
      <c r="A499" s="159" t="str">
        <f t="shared" si="1"/>
        <v/>
      </c>
      <c r="B499" s="160"/>
      <c r="C499" s="161"/>
      <c r="D499" s="160"/>
      <c r="E499" s="160"/>
      <c r="F499" s="160"/>
      <c r="G499" s="161"/>
      <c r="H499" s="160"/>
      <c r="I499" s="160"/>
      <c r="J499" s="161"/>
    </row>
    <row r="500">
      <c r="A500" s="155" t="str">
        <f t="shared" si="1"/>
        <v/>
      </c>
      <c r="B500" s="156"/>
      <c r="C500" s="157"/>
      <c r="D500" s="156"/>
      <c r="E500" s="156"/>
      <c r="F500" s="156"/>
      <c r="G500" s="157"/>
      <c r="H500" s="156"/>
      <c r="I500" s="156"/>
      <c r="J500" s="157"/>
    </row>
    <row r="501">
      <c r="A501" s="159" t="str">
        <f t="shared" si="1"/>
        <v/>
      </c>
      <c r="B501" s="160"/>
      <c r="C501" s="161"/>
      <c r="D501" s="160"/>
      <c r="E501" s="160"/>
      <c r="F501" s="160"/>
      <c r="G501" s="161"/>
      <c r="H501" s="160"/>
      <c r="I501" s="160"/>
      <c r="J501" s="161"/>
    </row>
    <row r="502">
      <c r="A502" s="155" t="str">
        <f t="shared" si="1"/>
        <v/>
      </c>
      <c r="B502" s="156"/>
      <c r="C502" s="157"/>
      <c r="D502" s="156"/>
      <c r="E502" s="156"/>
      <c r="F502" s="156"/>
      <c r="G502" s="157"/>
      <c r="H502" s="156"/>
      <c r="I502" s="156"/>
      <c r="J502" s="157"/>
    </row>
    <row r="503">
      <c r="A503" s="159" t="str">
        <f t="shared" si="1"/>
        <v/>
      </c>
      <c r="B503" s="160"/>
      <c r="C503" s="161"/>
      <c r="D503" s="160"/>
      <c r="E503" s="160"/>
      <c r="F503" s="160"/>
      <c r="G503" s="161"/>
      <c r="H503" s="160"/>
      <c r="I503" s="160"/>
      <c r="J503" s="161"/>
    </row>
    <row r="504">
      <c r="A504" s="155" t="str">
        <f t="shared" si="1"/>
        <v/>
      </c>
      <c r="B504" s="156"/>
      <c r="C504" s="157"/>
      <c r="D504" s="156"/>
      <c r="E504" s="156"/>
      <c r="F504" s="156"/>
      <c r="G504" s="157"/>
      <c r="H504" s="156"/>
      <c r="I504" s="156"/>
      <c r="J504" s="157"/>
    </row>
    <row r="505">
      <c r="A505" s="159" t="str">
        <f t="shared" si="1"/>
        <v/>
      </c>
      <c r="B505" s="160"/>
      <c r="C505" s="161"/>
      <c r="D505" s="160"/>
      <c r="E505" s="160"/>
      <c r="F505" s="160"/>
      <c r="G505" s="161"/>
      <c r="H505" s="160"/>
      <c r="I505" s="160"/>
      <c r="J505" s="161"/>
    </row>
    <row r="506">
      <c r="A506" s="155" t="str">
        <f t="shared" si="1"/>
        <v/>
      </c>
      <c r="B506" s="156"/>
      <c r="C506" s="157"/>
      <c r="D506" s="156"/>
      <c r="E506" s="156"/>
      <c r="F506" s="156"/>
      <c r="G506" s="157"/>
      <c r="H506" s="156"/>
      <c r="I506" s="156"/>
      <c r="J506" s="157"/>
    </row>
    <row r="507">
      <c r="A507" s="159" t="str">
        <f t="shared" si="1"/>
        <v/>
      </c>
      <c r="B507" s="160"/>
      <c r="C507" s="161"/>
      <c r="D507" s="160"/>
      <c r="E507" s="160"/>
      <c r="F507" s="160"/>
      <c r="G507" s="161"/>
      <c r="H507" s="160"/>
      <c r="I507" s="160"/>
      <c r="J507" s="161"/>
    </row>
    <row r="508">
      <c r="A508" s="155" t="str">
        <f t="shared" si="1"/>
        <v/>
      </c>
      <c r="B508" s="156"/>
      <c r="C508" s="157"/>
      <c r="D508" s="156"/>
      <c r="E508" s="156"/>
      <c r="F508" s="156"/>
      <c r="G508" s="157"/>
      <c r="H508" s="156"/>
      <c r="I508" s="156"/>
      <c r="J508" s="157"/>
    </row>
    <row r="509">
      <c r="A509" s="159" t="str">
        <f t="shared" si="1"/>
        <v/>
      </c>
      <c r="B509" s="160"/>
      <c r="C509" s="161"/>
      <c r="D509" s="160"/>
      <c r="E509" s="160"/>
      <c r="F509" s="160"/>
      <c r="G509" s="161"/>
      <c r="H509" s="160"/>
      <c r="I509" s="160"/>
      <c r="J509" s="161"/>
    </row>
    <row r="510">
      <c r="A510" s="155" t="str">
        <f t="shared" si="1"/>
        <v/>
      </c>
      <c r="B510" s="156"/>
      <c r="C510" s="157"/>
      <c r="D510" s="156"/>
      <c r="E510" s="156"/>
      <c r="F510" s="156"/>
      <c r="G510" s="157"/>
      <c r="H510" s="156"/>
      <c r="I510" s="156"/>
      <c r="J510" s="157"/>
    </row>
    <row r="511">
      <c r="A511" s="159" t="str">
        <f t="shared" si="1"/>
        <v/>
      </c>
      <c r="B511" s="160"/>
      <c r="C511" s="161"/>
      <c r="D511" s="160"/>
      <c r="E511" s="160"/>
      <c r="F511" s="160"/>
      <c r="G511" s="161"/>
      <c r="H511" s="160"/>
      <c r="I511" s="160"/>
      <c r="J511" s="161"/>
    </row>
    <row r="512">
      <c r="A512" s="155" t="str">
        <f t="shared" si="1"/>
        <v/>
      </c>
      <c r="B512" s="156"/>
      <c r="C512" s="157"/>
      <c r="D512" s="156"/>
      <c r="E512" s="156"/>
      <c r="F512" s="156"/>
      <c r="G512" s="157"/>
      <c r="H512" s="156"/>
      <c r="I512" s="156"/>
      <c r="J512" s="157"/>
    </row>
    <row r="513">
      <c r="A513" s="159" t="str">
        <f t="shared" si="1"/>
        <v/>
      </c>
      <c r="B513" s="160"/>
      <c r="C513" s="161"/>
      <c r="D513" s="160"/>
      <c r="E513" s="160"/>
      <c r="F513" s="160"/>
      <c r="G513" s="161"/>
      <c r="H513" s="160"/>
      <c r="I513" s="160"/>
      <c r="J513" s="161"/>
    </row>
    <row r="514">
      <c r="A514" s="155" t="str">
        <f t="shared" si="1"/>
        <v/>
      </c>
      <c r="B514" s="156"/>
      <c r="C514" s="157"/>
      <c r="D514" s="156"/>
      <c r="E514" s="156"/>
      <c r="F514" s="156"/>
      <c r="G514" s="157"/>
      <c r="H514" s="156"/>
      <c r="I514" s="156"/>
      <c r="J514" s="157"/>
    </row>
    <row r="515">
      <c r="A515" s="159" t="str">
        <f t="shared" si="1"/>
        <v/>
      </c>
      <c r="B515" s="160"/>
      <c r="C515" s="161"/>
      <c r="D515" s="160"/>
      <c r="E515" s="160"/>
      <c r="F515" s="160"/>
      <c r="G515" s="161"/>
      <c r="H515" s="160"/>
      <c r="I515" s="160"/>
      <c r="J515" s="161"/>
    </row>
    <row r="516">
      <c r="A516" s="155" t="str">
        <f t="shared" si="1"/>
        <v/>
      </c>
      <c r="B516" s="156"/>
      <c r="C516" s="157"/>
      <c r="D516" s="156"/>
      <c r="E516" s="156"/>
      <c r="F516" s="156"/>
      <c r="G516" s="157"/>
      <c r="H516" s="156"/>
      <c r="I516" s="156"/>
      <c r="J516" s="157"/>
    </row>
    <row r="517">
      <c r="A517" s="159" t="str">
        <f t="shared" si="1"/>
        <v/>
      </c>
      <c r="B517" s="160"/>
      <c r="C517" s="161"/>
      <c r="D517" s="160"/>
      <c r="E517" s="160"/>
      <c r="F517" s="160"/>
      <c r="G517" s="161"/>
      <c r="H517" s="160"/>
      <c r="I517" s="160"/>
      <c r="J517" s="161"/>
    </row>
    <row r="518">
      <c r="A518" s="155" t="str">
        <f t="shared" si="1"/>
        <v/>
      </c>
      <c r="B518" s="156"/>
      <c r="C518" s="157"/>
      <c r="D518" s="156"/>
      <c r="E518" s="156"/>
      <c r="F518" s="156"/>
      <c r="G518" s="157"/>
      <c r="H518" s="156"/>
      <c r="I518" s="156"/>
      <c r="J518" s="157"/>
    </row>
    <row r="519">
      <c r="A519" s="159" t="str">
        <f t="shared" si="1"/>
        <v/>
      </c>
      <c r="B519" s="160"/>
      <c r="C519" s="161"/>
      <c r="D519" s="160"/>
      <c r="E519" s="160"/>
      <c r="F519" s="160"/>
      <c r="G519" s="161"/>
      <c r="H519" s="160"/>
      <c r="I519" s="160"/>
      <c r="J519" s="161"/>
    </row>
    <row r="520">
      <c r="A520" s="155" t="str">
        <f t="shared" si="1"/>
        <v/>
      </c>
      <c r="B520" s="156"/>
      <c r="C520" s="157"/>
      <c r="D520" s="156"/>
      <c r="E520" s="156"/>
      <c r="F520" s="156"/>
      <c r="G520" s="157"/>
      <c r="H520" s="156"/>
      <c r="I520" s="156"/>
      <c r="J520" s="157"/>
    </row>
    <row r="521">
      <c r="A521" s="159" t="str">
        <f t="shared" si="1"/>
        <v/>
      </c>
      <c r="B521" s="160"/>
      <c r="C521" s="161"/>
      <c r="D521" s="160"/>
      <c r="E521" s="160"/>
      <c r="F521" s="160"/>
      <c r="G521" s="161"/>
      <c r="H521" s="160"/>
      <c r="I521" s="160"/>
      <c r="J521" s="161"/>
    </row>
    <row r="522">
      <c r="A522" s="155" t="str">
        <f t="shared" si="1"/>
        <v/>
      </c>
      <c r="B522" s="156"/>
      <c r="C522" s="157"/>
      <c r="D522" s="156"/>
      <c r="E522" s="156"/>
      <c r="F522" s="156"/>
      <c r="G522" s="157"/>
      <c r="H522" s="156"/>
      <c r="I522" s="156"/>
      <c r="J522" s="157"/>
    </row>
    <row r="523">
      <c r="A523" s="159" t="str">
        <f t="shared" si="1"/>
        <v/>
      </c>
      <c r="B523" s="160"/>
      <c r="C523" s="161"/>
      <c r="D523" s="160"/>
      <c r="E523" s="160"/>
      <c r="F523" s="160"/>
      <c r="G523" s="161"/>
      <c r="H523" s="160"/>
      <c r="I523" s="160"/>
      <c r="J523" s="161"/>
    </row>
    <row r="524">
      <c r="A524" s="155" t="str">
        <f t="shared" si="1"/>
        <v/>
      </c>
      <c r="B524" s="156"/>
      <c r="C524" s="157"/>
      <c r="D524" s="156"/>
      <c r="E524" s="156"/>
      <c r="F524" s="156"/>
      <c r="G524" s="157"/>
      <c r="H524" s="156"/>
      <c r="I524" s="156"/>
      <c r="J524" s="157"/>
    </row>
    <row r="525">
      <c r="A525" s="159" t="str">
        <f t="shared" si="1"/>
        <v/>
      </c>
      <c r="B525" s="160"/>
      <c r="C525" s="161"/>
      <c r="D525" s="160"/>
      <c r="E525" s="160"/>
      <c r="F525" s="160"/>
      <c r="G525" s="161"/>
      <c r="H525" s="160"/>
      <c r="I525" s="160"/>
      <c r="J525" s="161"/>
    </row>
    <row r="526">
      <c r="A526" s="155" t="str">
        <f t="shared" si="1"/>
        <v/>
      </c>
      <c r="B526" s="156"/>
      <c r="C526" s="157"/>
      <c r="D526" s="156"/>
      <c r="E526" s="156"/>
      <c r="F526" s="156"/>
      <c r="G526" s="157"/>
      <c r="H526" s="156"/>
      <c r="I526" s="156"/>
      <c r="J526" s="157"/>
    </row>
    <row r="527">
      <c r="A527" s="159" t="str">
        <f t="shared" si="1"/>
        <v/>
      </c>
      <c r="B527" s="160"/>
      <c r="C527" s="161"/>
      <c r="D527" s="160"/>
      <c r="E527" s="160"/>
      <c r="F527" s="160"/>
      <c r="G527" s="161"/>
      <c r="H527" s="160"/>
      <c r="I527" s="160"/>
      <c r="J527" s="161"/>
    </row>
    <row r="528">
      <c r="A528" s="155" t="str">
        <f t="shared" si="1"/>
        <v/>
      </c>
      <c r="B528" s="156"/>
      <c r="C528" s="157"/>
      <c r="D528" s="156"/>
      <c r="E528" s="156"/>
      <c r="F528" s="156"/>
      <c r="G528" s="157"/>
      <c r="H528" s="156"/>
      <c r="I528" s="156"/>
      <c r="J528" s="157"/>
    </row>
    <row r="529">
      <c r="A529" s="159" t="str">
        <f t="shared" si="1"/>
        <v/>
      </c>
      <c r="B529" s="160"/>
      <c r="C529" s="161"/>
      <c r="D529" s="160"/>
      <c r="E529" s="160"/>
      <c r="F529" s="160"/>
      <c r="G529" s="161"/>
      <c r="H529" s="160"/>
      <c r="I529" s="160"/>
      <c r="J529" s="161"/>
    </row>
    <row r="530">
      <c r="A530" s="155" t="str">
        <f t="shared" si="1"/>
        <v/>
      </c>
      <c r="B530" s="156"/>
      <c r="C530" s="157"/>
      <c r="D530" s="156"/>
      <c r="E530" s="156"/>
      <c r="F530" s="156"/>
      <c r="G530" s="157"/>
      <c r="H530" s="156"/>
      <c r="I530" s="156"/>
      <c r="J530" s="157"/>
    </row>
    <row r="531">
      <c r="A531" s="159" t="str">
        <f t="shared" si="1"/>
        <v/>
      </c>
      <c r="B531" s="160"/>
      <c r="C531" s="161"/>
      <c r="D531" s="160"/>
      <c r="E531" s="160"/>
      <c r="F531" s="160"/>
      <c r="G531" s="161"/>
      <c r="H531" s="160"/>
      <c r="I531" s="160"/>
      <c r="J531" s="161"/>
    </row>
    <row r="532">
      <c r="A532" s="155" t="str">
        <f t="shared" si="1"/>
        <v/>
      </c>
      <c r="B532" s="156"/>
      <c r="C532" s="157"/>
      <c r="D532" s="156"/>
      <c r="E532" s="156"/>
      <c r="F532" s="156"/>
      <c r="G532" s="157"/>
      <c r="H532" s="156"/>
      <c r="I532" s="156"/>
      <c r="J532" s="157"/>
    </row>
    <row r="533">
      <c r="A533" s="159" t="str">
        <f t="shared" si="1"/>
        <v/>
      </c>
      <c r="B533" s="160"/>
      <c r="C533" s="161"/>
      <c r="D533" s="160"/>
      <c r="E533" s="160"/>
      <c r="F533" s="160"/>
      <c r="G533" s="161"/>
      <c r="H533" s="160"/>
      <c r="I533" s="160"/>
      <c r="J533" s="161"/>
    </row>
    <row r="534">
      <c r="A534" s="155" t="str">
        <f t="shared" si="1"/>
        <v/>
      </c>
      <c r="B534" s="156"/>
      <c r="C534" s="157"/>
      <c r="D534" s="156"/>
      <c r="E534" s="156"/>
      <c r="F534" s="156"/>
      <c r="G534" s="157"/>
      <c r="H534" s="156"/>
      <c r="I534" s="156"/>
      <c r="J534" s="157"/>
    </row>
    <row r="535">
      <c r="A535" s="159" t="str">
        <f t="shared" si="1"/>
        <v/>
      </c>
      <c r="B535" s="160"/>
      <c r="C535" s="161"/>
      <c r="D535" s="160"/>
      <c r="E535" s="160"/>
      <c r="F535" s="160"/>
      <c r="G535" s="161"/>
      <c r="H535" s="160"/>
      <c r="I535" s="160"/>
      <c r="J535" s="161"/>
    </row>
    <row r="536">
      <c r="A536" s="155" t="str">
        <f t="shared" si="1"/>
        <v/>
      </c>
      <c r="B536" s="156"/>
      <c r="C536" s="157"/>
      <c r="D536" s="156"/>
      <c r="E536" s="156"/>
      <c r="F536" s="156"/>
      <c r="G536" s="157"/>
      <c r="H536" s="156"/>
      <c r="I536" s="156"/>
      <c r="J536" s="157"/>
    </row>
    <row r="537">
      <c r="A537" s="159" t="str">
        <f t="shared" si="1"/>
        <v/>
      </c>
      <c r="B537" s="160"/>
      <c r="C537" s="161"/>
      <c r="D537" s="160"/>
      <c r="E537" s="160"/>
      <c r="F537" s="160"/>
      <c r="G537" s="161"/>
      <c r="H537" s="160"/>
      <c r="I537" s="160"/>
      <c r="J537" s="161"/>
    </row>
    <row r="538">
      <c r="A538" s="155" t="str">
        <f t="shared" si="1"/>
        <v/>
      </c>
      <c r="B538" s="156"/>
      <c r="C538" s="157"/>
      <c r="D538" s="156"/>
      <c r="E538" s="156"/>
      <c r="F538" s="156"/>
      <c r="G538" s="157"/>
      <c r="H538" s="156"/>
      <c r="I538" s="156"/>
      <c r="J538" s="157"/>
    </row>
    <row r="539">
      <c r="A539" s="159" t="str">
        <f t="shared" si="1"/>
        <v/>
      </c>
      <c r="B539" s="160"/>
      <c r="C539" s="161"/>
      <c r="D539" s="160"/>
      <c r="E539" s="160"/>
      <c r="F539" s="160"/>
      <c r="G539" s="161"/>
      <c r="H539" s="160"/>
      <c r="I539" s="160"/>
      <c r="J539" s="161"/>
    </row>
    <row r="540">
      <c r="A540" s="155" t="str">
        <f t="shared" si="1"/>
        <v/>
      </c>
      <c r="B540" s="156"/>
      <c r="C540" s="157"/>
      <c r="D540" s="156"/>
      <c r="E540" s="156"/>
      <c r="F540" s="156"/>
      <c r="G540" s="157"/>
      <c r="H540" s="156"/>
      <c r="I540" s="156"/>
      <c r="J540" s="157"/>
    </row>
    <row r="541">
      <c r="A541" s="159" t="str">
        <f t="shared" si="1"/>
        <v/>
      </c>
      <c r="B541" s="160"/>
      <c r="C541" s="161"/>
      <c r="D541" s="160"/>
      <c r="E541" s="160"/>
      <c r="F541" s="160"/>
      <c r="G541" s="161"/>
      <c r="H541" s="160"/>
      <c r="I541" s="160"/>
      <c r="J541" s="161"/>
    </row>
    <row r="542">
      <c r="A542" s="155" t="str">
        <f t="shared" si="1"/>
        <v/>
      </c>
      <c r="B542" s="156"/>
      <c r="C542" s="157"/>
      <c r="D542" s="156"/>
      <c r="E542" s="156"/>
      <c r="F542" s="156"/>
      <c r="G542" s="157"/>
      <c r="H542" s="156"/>
      <c r="I542" s="156"/>
      <c r="J542" s="157"/>
    </row>
    <row r="543">
      <c r="A543" s="159" t="str">
        <f t="shared" si="1"/>
        <v/>
      </c>
      <c r="B543" s="160"/>
      <c r="C543" s="161"/>
      <c r="D543" s="160"/>
      <c r="E543" s="160"/>
      <c r="F543" s="160"/>
      <c r="G543" s="161"/>
      <c r="H543" s="160"/>
      <c r="I543" s="160"/>
      <c r="J543" s="161"/>
    </row>
    <row r="544">
      <c r="A544" s="155" t="str">
        <f t="shared" si="1"/>
        <v/>
      </c>
      <c r="B544" s="156"/>
      <c r="C544" s="157"/>
      <c r="D544" s="156"/>
      <c r="E544" s="156"/>
      <c r="F544" s="156"/>
      <c r="G544" s="157"/>
      <c r="H544" s="156"/>
      <c r="I544" s="156"/>
      <c r="J544" s="157"/>
    </row>
    <row r="545">
      <c r="A545" s="159" t="str">
        <f t="shared" si="1"/>
        <v/>
      </c>
      <c r="B545" s="160"/>
      <c r="C545" s="161"/>
      <c r="D545" s="160"/>
      <c r="E545" s="160"/>
      <c r="F545" s="160"/>
      <c r="G545" s="161"/>
      <c r="H545" s="160"/>
      <c r="I545" s="160"/>
      <c r="J545" s="161"/>
    </row>
    <row r="546">
      <c r="A546" s="155" t="str">
        <f t="shared" si="1"/>
        <v/>
      </c>
      <c r="B546" s="156"/>
      <c r="C546" s="157"/>
      <c r="D546" s="156"/>
      <c r="E546" s="156"/>
      <c r="F546" s="156"/>
      <c r="G546" s="157"/>
      <c r="H546" s="156"/>
      <c r="I546" s="156"/>
      <c r="J546" s="157"/>
    </row>
    <row r="547">
      <c r="A547" s="159" t="str">
        <f t="shared" si="1"/>
        <v/>
      </c>
      <c r="B547" s="160"/>
      <c r="C547" s="161"/>
      <c r="D547" s="160"/>
      <c r="E547" s="160"/>
      <c r="F547" s="160"/>
      <c r="G547" s="161"/>
      <c r="H547" s="160"/>
      <c r="I547" s="160"/>
      <c r="J547" s="161"/>
    </row>
    <row r="548">
      <c r="A548" s="155" t="str">
        <f t="shared" si="1"/>
        <v/>
      </c>
      <c r="B548" s="156"/>
      <c r="C548" s="157"/>
      <c r="D548" s="156"/>
      <c r="E548" s="156"/>
      <c r="F548" s="156"/>
      <c r="G548" s="157"/>
      <c r="H548" s="156"/>
      <c r="I548" s="156"/>
      <c r="J548" s="157"/>
    </row>
    <row r="549">
      <c r="A549" s="159" t="str">
        <f t="shared" si="1"/>
        <v/>
      </c>
      <c r="B549" s="160"/>
      <c r="C549" s="161"/>
      <c r="D549" s="160"/>
      <c r="E549" s="160"/>
      <c r="F549" s="160"/>
      <c r="G549" s="161"/>
      <c r="H549" s="160"/>
      <c r="I549" s="160"/>
      <c r="J549" s="161"/>
    </row>
    <row r="550">
      <c r="A550" s="155" t="str">
        <f t="shared" si="1"/>
        <v/>
      </c>
      <c r="B550" s="156"/>
      <c r="C550" s="157"/>
      <c r="D550" s="156"/>
      <c r="E550" s="156"/>
      <c r="F550" s="156"/>
      <c r="G550" s="157"/>
      <c r="H550" s="156"/>
      <c r="I550" s="156"/>
      <c r="J550" s="157"/>
    </row>
    <row r="551">
      <c r="A551" s="159" t="str">
        <f t="shared" si="1"/>
        <v/>
      </c>
      <c r="B551" s="160"/>
      <c r="C551" s="161"/>
      <c r="D551" s="160"/>
      <c r="E551" s="160"/>
      <c r="F551" s="160"/>
      <c r="G551" s="161"/>
      <c r="H551" s="160"/>
      <c r="I551" s="160"/>
      <c r="J551" s="161"/>
    </row>
    <row r="552">
      <c r="A552" s="155" t="str">
        <f t="shared" si="1"/>
        <v/>
      </c>
      <c r="B552" s="156"/>
      <c r="C552" s="157"/>
      <c r="D552" s="156"/>
      <c r="E552" s="156"/>
      <c r="F552" s="156"/>
      <c r="G552" s="157"/>
      <c r="H552" s="156"/>
      <c r="I552" s="156"/>
      <c r="J552" s="157"/>
    </row>
    <row r="553">
      <c r="A553" s="159" t="str">
        <f t="shared" si="1"/>
        <v/>
      </c>
      <c r="B553" s="160"/>
      <c r="C553" s="161"/>
      <c r="D553" s="160"/>
      <c r="E553" s="160"/>
      <c r="F553" s="160"/>
      <c r="G553" s="161"/>
      <c r="H553" s="160"/>
      <c r="I553" s="160"/>
      <c r="J553" s="161"/>
    </row>
    <row r="554">
      <c r="A554" s="155" t="str">
        <f t="shared" si="1"/>
        <v/>
      </c>
      <c r="B554" s="156"/>
      <c r="C554" s="157"/>
      <c r="D554" s="156"/>
      <c r="E554" s="156"/>
      <c r="F554" s="156"/>
      <c r="G554" s="157"/>
      <c r="H554" s="156"/>
      <c r="I554" s="156"/>
      <c r="J554" s="157"/>
    </row>
    <row r="555">
      <c r="A555" s="159" t="str">
        <f t="shared" si="1"/>
        <v/>
      </c>
      <c r="B555" s="160"/>
      <c r="C555" s="161"/>
      <c r="D555" s="160"/>
      <c r="E555" s="160"/>
      <c r="F555" s="160"/>
      <c r="G555" s="161"/>
      <c r="H555" s="160"/>
      <c r="I555" s="160"/>
      <c r="J555" s="161"/>
    </row>
    <row r="556">
      <c r="A556" s="155" t="str">
        <f t="shared" si="1"/>
        <v/>
      </c>
      <c r="B556" s="156"/>
      <c r="C556" s="157"/>
      <c r="D556" s="156"/>
      <c r="E556" s="156"/>
      <c r="F556" s="156"/>
      <c r="G556" s="157"/>
      <c r="H556" s="156"/>
      <c r="I556" s="156"/>
      <c r="J556" s="157"/>
    </row>
    <row r="557">
      <c r="A557" s="159" t="str">
        <f t="shared" si="1"/>
        <v/>
      </c>
      <c r="B557" s="160"/>
      <c r="C557" s="161"/>
      <c r="D557" s="160"/>
      <c r="E557" s="160"/>
      <c r="F557" s="160"/>
      <c r="G557" s="161"/>
      <c r="H557" s="160"/>
      <c r="I557" s="160"/>
      <c r="J557" s="161"/>
    </row>
    <row r="558">
      <c r="A558" s="155" t="str">
        <f t="shared" si="1"/>
        <v/>
      </c>
      <c r="B558" s="156"/>
      <c r="C558" s="157"/>
      <c r="D558" s="156"/>
      <c r="E558" s="156"/>
      <c r="F558" s="156"/>
      <c r="G558" s="157"/>
      <c r="H558" s="156"/>
      <c r="I558" s="156"/>
      <c r="J558" s="157"/>
    </row>
    <row r="559">
      <c r="A559" s="159" t="str">
        <f t="shared" si="1"/>
        <v/>
      </c>
      <c r="B559" s="160"/>
      <c r="C559" s="161"/>
      <c r="D559" s="160"/>
      <c r="E559" s="160"/>
      <c r="F559" s="160"/>
      <c r="G559" s="161"/>
      <c r="H559" s="160"/>
      <c r="I559" s="160"/>
      <c r="J559" s="161"/>
    </row>
    <row r="560">
      <c r="A560" s="155" t="str">
        <f t="shared" si="1"/>
        <v/>
      </c>
      <c r="B560" s="156"/>
      <c r="C560" s="157"/>
      <c r="D560" s="156"/>
      <c r="E560" s="156"/>
      <c r="F560" s="156"/>
      <c r="G560" s="157"/>
      <c r="H560" s="156"/>
      <c r="I560" s="156"/>
      <c r="J560" s="157"/>
    </row>
    <row r="561">
      <c r="A561" s="159" t="str">
        <f t="shared" si="1"/>
        <v/>
      </c>
      <c r="B561" s="160"/>
      <c r="C561" s="161"/>
      <c r="D561" s="160"/>
      <c r="E561" s="160"/>
      <c r="F561" s="160"/>
      <c r="G561" s="161"/>
      <c r="H561" s="160"/>
      <c r="I561" s="160"/>
      <c r="J561" s="161"/>
    </row>
    <row r="562">
      <c r="A562" s="155" t="str">
        <f t="shared" si="1"/>
        <v/>
      </c>
      <c r="B562" s="156"/>
      <c r="C562" s="157"/>
      <c r="D562" s="156"/>
      <c r="E562" s="156"/>
      <c r="F562" s="156"/>
      <c r="G562" s="157"/>
      <c r="H562" s="156"/>
      <c r="I562" s="156"/>
      <c r="J562" s="157"/>
    </row>
    <row r="563">
      <c r="A563" s="159" t="str">
        <f t="shared" si="1"/>
        <v/>
      </c>
      <c r="B563" s="160"/>
      <c r="C563" s="161"/>
      <c r="D563" s="160"/>
      <c r="E563" s="160"/>
      <c r="F563" s="160"/>
      <c r="G563" s="161"/>
      <c r="H563" s="160"/>
      <c r="I563" s="160"/>
      <c r="J563" s="161"/>
    </row>
    <row r="564">
      <c r="A564" s="155" t="str">
        <f t="shared" si="1"/>
        <v/>
      </c>
      <c r="B564" s="156"/>
      <c r="C564" s="157"/>
      <c r="D564" s="156"/>
      <c r="E564" s="156"/>
      <c r="F564" s="156"/>
      <c r="G564" s="157"/>
      <c r="H564" s="156"/>
      <c r="I564" s="156"/>
      <c r="J564" s="157"/>
    </row>
    <row r="565">
      <c r="A565" s="159" t="str">
        <f t="shared" si="1"/>
        <v/>
      </c>
      <c r="B565" s="160"/>
      <c r="C565" s="161"/>
      <c r="D565" s="160"/>
      <c r="E565" s="160"/>
      <c r="F565" s="160"/>
      <c r="G565" s="161"/>
      <c r="H565" s="160"/>
      <c r="I565" s="160"/>
      <c r="J565" s="161"/>
    </row>
    <row r="566">
      <c r="A566" s="155" t="str">
        <f t="shared" si="1"/>
        <v/>
      </c>
      <c r="B566" s="156"/>
      <c r="C566" s="157"/>
      <c r="D566" s="156"/>
      <c r="E566" s="156"/>
      <c r="F566" s="156"/>
      <c r="G566" s="157"/>
      <c r="H566" s="156"/>
      <c r="I566" s="156"/>
      <c r="J566" s="157"/>
    </row>
    <row r="567">
      <c r="A567" s="159" t="str">
        <f t="shared" si="1"/>
        <v/>
      </c>
      <c r="B567" s="160"/>
      <c r="C567" s="161"/>
      <c r="D567" s="160"/>
      <c r="E567" s="160"/>
      <c r="F567" s="160"/>
      <c r="G567" s="161"/>
      <c r="H567" s="160"/>
      <c r="I567" s="160"/>
      <c r="J567" s="161"/>
    </row>
    <row r="568">
      <c r="A568" s="155" t="str">
        <f t="shared" si="1"/>
        <v/>
      </c>
      <c r="B568" s="156"/>
      <c r="C568" s="157"/>
      <c r="D568" s="156"/>
      <c r="E568" s="156"/>
      <c r="F568" s="156"/>
      <c r="G568" s="157"/>
      <c r="H568" s="156"/>
      <c r="I568" s="156"/>
      <c r="J568" s="157"/>
    </row>
    <row r="569">
      <c r="A569" s="159" t="str">
        <f t="shared" si="1"/>
        <v/>
      </c>
      <c r="B569" s="160"/>
      <c r="C569" s="161"/>
      <c r="D569" s="160"/>
      <c r="E569" s="160"/>
      <c r="F569" s="160"/>
      <c r="G569" s="161"/>
      <c r="H569" s="160"/>
      <c r="I569" s="160"/>
      <c r="J569" s="161"/>
    </row>
    <row r="570">
      <c r="A570" s="155" t="str">
        <f t="shared" si="1"/>
        <v/>
      </c>
      <c r="B570" s="156"/>
      <c r="C570" s="157"/>
      <c r="D570" s="156"/>
      <c r="E570" s="156"/>
      <c r="F570" s="156"/>
      <c r="G570" s="157"/>
      <c r="H570" s="156"/>
      <c r="I570" s="156"/>
      <c r="J570" s="157"/>
    </row>
    <row r="571">
      <c r="A571" s="159" t="str">
        <f t="shared" si="1"/>
        <v/>
      </c>
      <c r="B571" s="160"/>
      <c r="C571" s="161"/>
      <c r="D571" s="160"/>
      <c r="E571" s="160"/>
      <c r="F571" s="160"/>
      <c r="G571" s="161"/>
      <c r="H571" s="160"/>
      <c r="I571" s="160"/>
      <c r="J571" s="161"/>
    </row>
    <row r="572">
      <c r="A572" s="155" t="str">
        <f t="shared" si="1"/>
        <v/>
      </c>
      <c r="B572" s="156"/>
      <c r="C572" s="157"/>
      <c r="D572" s="156"/>
      <c r="E572" s="156"/>
      <c r="F572" s="156"/>
      <c r="G572" s="157"/>
      <c r="H572" s="156"/>
      <c r="I572" s="156"/>
      <c r="J572" s="157"/>
    </row>
    <row r="573">
      <c r="A573" s="159" t="str">
        <f t="shared" si="1"/>
        <v/>
      </c>
      <c r="B573" s="160"/>
      <c r="C573" s="161"/>
      <c r="D573" s="160"/>
      <c r="E573" s="160"/>
      <c r="F573" s="160"/>
      <c r="G573" s="161"/>
      <c r="H573" s="160"/>
      <c r="I573" s="160"/>
      <c r="J573" s="161"/>
    </row>
    <row r="574">
      <c r="A574" s="155" t="str">
        <f t="shared" si="1"/>
        <v/>
      </c>
      <c r="B574" s="156"/>
      <c r="C574" s="157"/>
      <c r="D574" s="156"/>
      <c r="E574" s="156"/>
      <c r="F574" s="156"/>
      <c r="G574" s="157"/>
      <c r="H574" s="156"/>
      <c r="I574" s="156"/>
      <c r="J574" s="157"/>
    </row>
    <row r="575">
      <c r="A575" s="159" t="str">
        <f t="shared" si="1"/>
        <v/>
      </c>
      <c r="B575" s="160"/>
      <c r="C575" s="161"/>
      <c r="D575" s="160"/>
      <c r="E575" s="160"/>
      <c r="F575" s="160"/>
      <c r="G575" s="161"/>
      <c r="H575" s="160"/>
      <c r="I575" s="160"/>
      <c r="J575" s="161"/>
    </row>
    <row r="576">
      <c r="A576" s="155" t="str">
        <f t="shared" si="1"/>
        <v/>
      </c>
      <c r="B576" s="156"/>
      <c r="C576" s="157"/>
      <c r="D576" s="156"/>
      <c r="E576" s="156"/>
      <c r="F576" s="156"/>
      <c r="G576" s="157"/>
      <c r="H576" s="156"/>
      <c r="I576" s="156"/>
      <c r="J576" s="157"/>
    </row>
    <row r="577">
      <c r="A577" s="159" t="str">
        <f t="shared" si="1"/>
        <v/>
      </c>
      <c r="B577" s="160"/>
      <c r="C577" s="161"/>
      <c r="D577" s="160"/>
      <c r="E577" s="160"/>
      <c r="F577" s="160"/>
      <c r="G577" s="161"/>
      <c r="H577" s="160"/>
      <c r="I577" s="160"/>
      <c r="J577" s="161"/>
    </row>
    <row r="578">
      <c r="A578" s="155" t="str">
        <f t="shared" si="1"/>
        <v/>
      </c>
      <c r="B578" s="156"/>
      <c r="C578" s="157"/>
      <c r="D578" s="156"/>
      <c r="E578" s="156"/>
      <c r="F578" s="156"/>
      <c r="G578" s="157"/>
      <c r="H578" s="156"/>
      <c r="I578" s="156"/>
      <c r="J578" s="157"/>
    </row>
    <row r="579">
      <c r="A579" s="159" t="str">
        <f t="shared" si="1"/>
        <v/>
      </c>
      <c r="B579" s="160"/>
      <c r="C579" s="161"/>
      <c r="D579" s="160"/>
      <c r="E579" s="160"/>
      <c r="F579" s="160"/>
      <c r="G579" s="161"/>
      <c r="H579" s="160"/>
      <c r="I579" s="160"/>
      <c r="J579" s="161"/>
    </row>
    <row r="580">
      <c r="A580" s="155" t="str">
        <f t="shared" si="1"/>
        <v/>
      </c>
      <c r="B580" s="156"/>
      <c r="C580" s="157"/>
      <c r="D580" s="156"/>
      <c r="E580" s="156"/>
      <c r="F580" s="156"/>
      <c r="G580" s="157"/>
      <c r="H580" s="156"/>
      <c r="I580" s="156"/>
      <c r="J580" s="157"/>
    </row>
    <row r="581">
      <c r="A581" s="159" t="str">
        <f t="shared" si="1"/>
        <v/>
      </c>
      <c r="B581" s="160"/>
      <c r="C581" s="161"/>
      <c r="D581" s="160"/>
      <c r="E581" s="160"/>
      <c r="F581" s="160"/>
      <c r="G581" s="161"/>
      <c r="H581" s="160"/>
      <c r="I581" s="160"/>
      <c r="J581" s="161"/>
    </row>
    <row r="582">
      <c r="A582" s="155" t="str">
        <f t="shared" si="1"/>
        <v/>
      </c>
      <c r="B582" s="156"/>
      <c r="C582" s="157"/>
      <c r="D582" s="156"/>
      <c r="E582" s="156"/>
      <c r="F582" s="156"/>
      <c r="G582" s="157"/>
      <c r="H582" s="156"/>
      <c r="I582" s="156"/>
      <c r="J582" s="157"/>
    </row>
    <row r="583">
      <c r="A583" s="159" t="str">
        <f t="shared" si="1"/>
        <v/>
      </c>
      <c r="B583" s="160"/>
      <c r="C583" s="161"/>
      <c r="D583" s="160"/>
      <c r="E583" s="160"/>
      <c r="F583" s="160"/>
      <c r="G583" s="161"/>
      <c r="H583" s="160"/>
      <c r="I583" s="160"/>
      <c r="J583" s="161"/>
    </row>
    <row r="584">
      <c r="A584" s="155" t="str">
        <f t="shared" si="1"/>
        <v/>
      </c>
      <c r="B584" s="156"/>
      <c r="C584" s="157"/>
      <c r="D584" s="156"/>
      <c r="E584" s="156"/>
      <c r="F584" s="156"/>
      <c r="G584" s="157"/>
      <c r="H584" s="156"/>
      <c r="I584" s="156"/>
      <c r="J584" s="157"/>
    </row>
    <row r="585">
      <c r="A585" s="159" t="str">
        <f t="shared" si="1"/>
        <v/>
      </c>
      <c r="B585" s="160"/>
      <c r="C585" s="161"/>
      <c r="D585" s="160"/>
      <c r="E585" s="160"/>
      <c r="F585" s="160"/>
      <c r="G585" s="161"/>
      <c r="H585" s="160"/>
      <c r="I585" s="160"/>
      <c r="J585" s="161"/>
    </row>
    <row r="586">
      <c r="A586" s="155" t="str">
        <f t="shared" si="1"/>
        <v/>
      </c>
      <c r="B586" s="156"/>
      <c r="C586" s="157"/>
      <c r="D586" s="156"/>
      <c r="E586" s="156"/>
      <c r="F586" s="156"/>
      <c r="G586" s="157"/>
      <c r="H586" s="156"/>
      <c r="I586" s="156"/>
      <c r="J586" s="157"/>
    </row>
    <row r="587">
      <c r="A587" s="159" t="str">
        <f t="shared" si="1"/>
        <v/>
      </c>
      <c r="B587" s="160"/>
      <c r="C587" s="161"/>
      <c r="D587" s="160"/>
      <c r="E587" s="160"/>
      <c r="F587" s="160"/>
      <c r="G587" s="161"/>
      <c r="H587" s="160"/>
      <c r="I587" s="160"/>
      <c r="J587" s="161"/>
    </row>
    <row r="588">
      <c r="A588" s="155" t="str">
        <f t="shared" si="1"/>
        <v/>
      </c>
      <c r="B588" s="156"/>
      <c r="C588" s="157"/>
      <c r="D588" s="156"/>
      <c r="E588" s="156"/>
      <c r="F588" s="156"/>
      <c r="G588" s="157"/>
      <c r="H588" s="156"/>
      <c r="I588" s="156"/>
      <c r="J588" s="157"/>
    </row>
    <row r="589">
      <c r="A589" s="159" t="str">
        <f t="shared" si="1"/>
        <v/>
      </c>
      <c r="B589" s="160"/>
      <c r="C589" s="161"/>
      <c r="D589" s="160"/>
      <c r="E589" s="160"/>
      <c r="F589" s="160"/>
      <c r="G589" s="161"/>
      <c r="H589" s="160"/>
      <c r="I589" s="160"/>
      <c r="J589" s="161"/>
    </row>
    <row r="590">
      <c r="A590" s="155" t="str">
        <f t="shared" si="1"/>
        <v/>
      </c>
      <c r="B590" s="156"/>
      <c r="C590" s="157"/>
      <c r="D590" s="156"/>
      <c r="E590" s="156"/>
      <c r="F590" s="156"/>
      <c r="G590" s="157"/>
      <c r="H590" s="156"/>
      <c r="I590" s="156"/>
      <c r="J590" s="157"/>
    </row>
    <row r="591">
      <c r="A591" s="159" t="str">
        <f t="shared" si="1"/>
        <v/>
      </c>
      <c r="B591" s="160"/>
      <c r="C591" s="161"/>
      <c r="D591" s="160"/>
      <c r="E591" s="160"/>
      <c r="F591" s="160"/>
      <c r="G591" s="161"/>
      <c r="H591" s="160"/>
      <c r="I591" s="160"/>
      <c r="J591" s="161"/>
    </row>
    <row r="592">
      <c r="A592" s="155" t="str">
        <f t="shared" si="1"/>
        <v/>
      </c>
      <c r="B592" s="156"/>
      <c r="C592" s="157"/>
      <c r="D592" s="156"/>
      <c r="E592" s="156"/>
      <c r="F592" s="156"/>
      <c r="G592" s="157"/>
      <c r="H592" s="156"/>
      <c r="I592" s="156"/>
      <c r="J592" s="157"/>
    </row>
    <row r="593">
      <c r="A593" s="159" t="str">
        <f t="shared" si="1"/>
        <v/>
      </c>
      <c r="B593" s="160"/>
      <c r="C593" s="161"/>
      <c r="D593" s="160"/>
      <c r="E593" s="160"/>
      <c r="F593" s="160"/>
      <c r="G593" s="161"/>
      <c r="H593" s="160"/>
      <c r="I593" s="160"/>
      <c r="J593" s="161"/>
    </row>
    <row r="594">
      <c r="A594" s="155" t="str">
        <f t="shared" si="1"/>
        <v/>
      </c>
      <c r="B594" s="156"/>
      <c r="C594" s="157"/>
      <c r="D594" s="156"/>
      <c r="E594" s="156"/>
      <c r="F594" s="156"/>
      <c r="G594" s="157"/>
      <c r="H594" s="156"/>
      <c r="I594" s="156"/>
      <c r="J594" s="157"/>
    </row>
    <row r="595">
      <c r="A595" s="159" t="str">
        <f t="shared" si="1"/>
        <v/>
      </c>
      <c r="B595" s="160"/>
      <c r="C595" s="161"/>
      <c r="D595" s="160"/>
      <c r="E595" s="160"/>
      <c r="F595" s="160"/>
      <c r="G595" s="161"/>
      <c r="H595" s="160"/>
      <c r="I595" s="160"/>
      <c r="J595" s="161"/>
    </row>
    <row r="596">
      <c r="A596" s="155" t="str">
        <f t="shared" si="1"/>
        <v/>
      </c>
      <c r="B596" s="156"/>
      <c r="C596" s="157"/>
      <c r="D596" s="156"/>
      <c r="E596" s="156"/>
      <c r="F596" s="156"/>
      <c r="G596" s="157"/>
      <c r="H596" s="156"/>
      <c r="I596" s="156"/>
      <c r="J596" s="157"/>
    </row>
    <row r="597">
      <c r="A597" s="159" t="str">
        <f t="shared" si="1"/>
        <v/>
      </c>
      <c r="B597" s="160"/>
      <c r="C597" s="161"/>
      <c r="D597" s="160"/>
      <c r="E597" s="160"/>
      <c r="F597" s="160"/>
      <c r="G597" s="161"/>
      <c r="H597" s="160"/>
      <c r="I597" s="160"/>
      <c r="J597" s="161"/>
    </row>
    <row r="598">
      <c r="A598" s="155" t="str">
        <f t="shared" si="1"/>
        <v/>
      </c>
      <c r="B598" s="156"/>
      <c r="C598" s="157"/>
      <c r="D598" s="156"/>
      <c r="E598" s="156"/>
      <c r="F598" s="156"/>
      <c r="G598" s="157"/>
      <c r="H598" s="156"/>
      <c r="I598" s="156"/>
      <c r="J598" s="157"/>
    </row>
    <row r="599">
      <c r="A599" s="159" t="str">
        <f t="shared" si="1"/>
        <v/>
      </c>
      <c r="B599" s="160"/>
      <c r="C599" s="161"/>
      <c r="D599" s="160"/>
      <c r="E599" s="160"/>
      <c r="F599" s="160"/>
      <c r="G599" s="161"/>
      <c r="H599" s="160"/>
      <c r="I599" s="160"/>
      <c r="J599" s="161"/>
    </row>
    <row r="600">
      <c r="A600" s="155" t="str">
        <f t="shared" si="1"/>
        <v/>
      </c>
      <c r="B600" s="156"/>
      <c r="C600" s="157"/>
      <c r="D600" s="156"/>
      <c r="E600" s="156"/>
      <c r="F600" s="156"/>
      <c r="G600" s="157"/>
      <c r="H600" s="156"/>
      <c r="I600" s="156"/>
      <c r="J600" s="157"/>
    </row>
    <row r="601">
      <c r="A601" s="159" t="str">
        <f t="shared" si="1"/>
        <v/>
      </c>
      <c r="B601" s="160"/>
      <c r="C601" s="161"/>
      <c r="D601" s="160"/>
      <c r="E601" s="160"/>
      <c r="F601" s="160"/>
      <c r="G601" s="161"/>
      <c r="H601" s="160"/>
      <c r="I601" s="160"/>
      <c r="J601" s="161"/>
    </row>
    <row r="602">
      <c r="A602" s="155" t="str">
        <f t="shared" si="1"/>
        <v/>
      </c>
      <c r="B602" s="156"/>
      <c r="C602" s="157"/>
      <c r="D602" s="156"/>
      <c r="E602" s="156"/>
      <c r="F602" s="156"/>
      <c r="G602" s="157"/>
      <c r="H602" s="156"/>
      <c r="I602" s="156"/>
      <c r="J602" s="157"/>
    </row>
    <row r="603">
      <c r="A603" s="159" t="str">
        <f t="shared" si="1"/>
        <v/>
      </c>
      <c r="B603" s="160"/>
      <c r="C603" s="161"/>
      <c r="D603" s="160"/>
      <c r="E603" s="160"/>
      <c r="F603" s="160"/>
      <c r="G603" s="161"/>
      <c r="H603" s="160"/>
      <c r="I603" s="160"/>
      <c r="J603" s="161"/>
    </row>
    <row r="604">
      <c r="A604" s="155" t="str">
        <f t="shared" si="1"/>
        <v/>
      </c>
      <c r="B604" s="156"/>
      <c r="C604" s="157"/>
      <c r="D604" s="156"/>
      <c r="E604" s="156"/>
      <c r="F604" s="156"/>
      <c r="G604" s="157"/>
      <c r="H604" s="156"/>
      <c r="I604" s="156"/>
      <c r="J604" s="157"/>
    </row>
    <row r="605">
      <c r="A605" s="159" t="str">
        <f t="shared" si="1"/>
        <v/>
      </c>
      <c r="B605" s="160"/>
      <c r="C605" s="161"/>
      <c r="D605" s="160"/>
      <c r="E605" s="160"/>
      <c r="F605" s="160"/>
      <c r="G605" s="161"/>
      <c r="H605" s="160"/>
      <c r="I605" s="160"/>
      <c r="J605" s="161"/>
    </row>
    <row r="606">
      <c r="A606" s="155" t="str">
        <f t="shared" si="1"/>
        <v/>
      </c>
      <c r="B606" s="156"/>
      <c r="C606" s="157"/>
      <c r="D606" s="156"/>
      <c r="E606" s="156"/>
      <c r="F606" s="156"/>
      <c r="G606" s="157"/>
      <c r="H606" s="156"/>
      <c r="I606" s="156"/>
      <c r="J606" s="157"/>
    </row>
    <row r="607">
      <c r="A607" s="159" t="str">
        <f t="shared" si="1"/>
        <v/>
      </c>
      <c r="B607" s="160"/>
      <c r="C607" s="161"/>
      <c r="D607" s="160"/>
      <c r="E607" s="160"/>
      <c r="F607" s="160"/>
      <c r="G607" s="161"/>
      <c r="H607" s="160"/>
      <c r="I607" s="160"/>
      <c r="J607" s="161"/>
    </row>
    <row r="608">
      <c r="A608" s="155" t="str">
        <f t="shared" si="1"/>
        <v/>
      </c>
      <c r="B608" s="156"/>
      <c r="C608" s="157"/>
      <c r="D608" s="156"/>
      <c r="E608" s="156"/>
      <c r="F608" s="156"/>
      <c r="G608" s="157"/>
      <c r="H608" s="156"/>
      <c r="I608" s="156"/>
      <c r="J608" s="157"/>
    </row>
    <row r="609">
      <c r="A609" s="159" t="str">
        <f t="shared" si="1"/>
        <v/>
      </c>
      <c r="B609" s="160"/>
      <c r="C609" s="161"/>
      <c r="D609" s="160"/>
      <c r="E609" s="160"/>
      <c r="F609" s="160"/>
      <c r="G609" s="161"/>
      <c r="H609" s="160"/>
      <c r="I609" s="160"/>
      <c r="J609" s="161"/>
    </row>
    <row r="610">
      <c r="A610" s="155" t="str">
        <f t="shared" si="1"/>
        <v/>
      </c>
      <c r="B610" s="156"/>
      <c r="C610" s="157"/>
      <c r="D610" s="156"/>
      <c r="E610" s="156"/>
      <c r="F610" s="156"/>
      <c r="G610" s="157"/>
      <c r="H610" s="156"/>
      <c r="I610" s="156"/>
      <c r="J610" s="157"/>
    </row>
    <row r="611">
      <c r="A611" s="159" t="str">
        <f t="shared" si="1"/>
        <v/>
      </c>
      <c r="B611" s="160"/>
      <c r="C611" s="161"/>
      <c r="D611" s="160"/>
      <c r="E611" s="160"/>
      <c r="F611" s="160"/>
      <c r="G611" s="161"/>
      <c r="H611" s="160"/>
      <c r="I611" s="160"/>
      <c r="J611" s="161"/>
    </row>
    <row r="612">
      <c r="A612" s="155" t="str">
        <f t="shared" si="1"/>
        <v/>
      </c>
      <c r="B612" s="156"/>
      <c r="C612" s="157"/>
      <c r="D612" s="156"/>
      <c r="E612" s="156"/>
      <c r="F612" s="156"/>
      <c r="G612" s="157"/>
      <c r="H612" s="156"/>
      <c r="I612" s="156"/>
      <c r="J612" s="157"/>
    </row>
    <row r="613">
      <c r="A613" s="159" t="str">
        <f t="shared" si="1"/>
        <v/>
      </c>
      <c r="B613" s="160"/>
      <c r="C613" s="161"/>
      <c r="D613" s="160"/>
      <c r="E613" s="160"/>
      <c r="F613" s="160"/>
      <c r="G613" s="161"/>
      <c r="H613" s="160"/>
      <c r="I613" s="160"/>
      <c r="J613" s="161"/>
    </row>
    <row r="614">
      <c r="A614" s="155" t="str">
        <f t="shared" si="1"/>
        <v/>
      </c>
      <c r="B614" s="156"/>
      <c r="C614" s="157"/>
      <c r="D614" s="156"/>
      <c r="E614" s="156"/>
      <c r="F614" s="156"/>
      <c r="G614" s="157"/>
      <c r="H614" s="156"/>
      <c r="I614" s="156"/>
      <c r="J614" s="157"/>
    </row>
    <row r="615">
      <c r="A615" s="159" t="str">
        <f t="shared" si="1"/>
        <v/>
      </c>
      <c r="B615" s="160"/>
      <c r="C615" s="161"/>
      <c r="D615" s="160"/>
      <c r="E615" s="160"/>
      <c r="F615" s="160"/>
      <c r="G615" s="161"/>
      <c r="H615" s="160"/>
      <c r="I615" s="160"/>
      <c r="J615" s="161"/>
    </row>
    <row r="616">
      <c r="A616" s="155" t="str">
        <f t="shared" si="1"/>
        <v/>
      </c>
      <c r="B616" s="156"/>
      <c r="C616" s="157"/>
      <c r="D616" s="156"/>
      <c r="E616" s="156"/>
      <c r="F616" s="156"/>
      <c r="G616" s="157"/>
      <c r="H616" s="156"/>
      <c r="I616" s="156"/>
      <c r="J616" s="157"/>
    </row>
    <row r="617">
      <c r="A617" s="159" t="str">
        <f t="shared" si="1"/>
        <v/>
      </c>
      <c r="B617" s="160"/>
      <c r="C617" s="161"/>
      <c r="D617" s="160"/>
      <c r="E617" s="160"/>
      <c r="F617" s="160"/>
      <c r="G617" s="161"/>
      <c r="H617" s="160"/>
      <c r="I617" s="160"/>
      <c r="J617" s="161"/>
    </row>
    <row r="618">
      <c r="A618" s="155" t="str">
        <f t="shared" si="1"/>
        <v/>
      </c>
      <c r="B618" s="156"/>
      <c r="C618" s="157"/>
      <c r="D618" s="156"/>
      <c r="E618" s="156"/>
      <c r="F618" s="156"/>
      <c r="G618" s="157"/>
      <c r="H618" s="156"/>
      <c r="I618" s="156"/>
      <c r="J618" s="157"/>
    </row>
    <row r="619">
      <c r="A619" s="159" t="str">
        <f t="shared" si="1"/>
        <v/>
      </c>
      <c r="B619" s="160"/>
      <c r="C619" s="161"/>
      <c r="D619" s="160"/>
      <c r="E619" s="160"/>
      <c r="F619" s="160"/>
      <c r="G619" s="161"/>
      <c r="H619" s="160"/>
      <c r="I619" s="160"/>
      <c r="J619" s="161"/>
    </row>
    <row r="620">
      <c r="A620" s="155" t="str">
        <f t="shared" si="1"/>
        <v/>
      </c>
      <c r="B620" s="156"/>
      <c r="C620" s="157"/>
      <c r="D620" s="156"/>
      <c r="E620" s="156"/>
      <c r="F620" s="156"/>
      <c r="G620" s="157"/>
      <c r="H620" s="156"/>
      <c r="I620" s="156"/>
      <c r="J620" s="157"/>
    </row>
    <row r="621">
      <c r="A621" s="159" t="str">
        <f t="shared" si="1"/>
        <v/>
      </c>
      <c r="B621" s="160"/>
      <c r="C621" s="161"/>
      <c r="D621" s="160"/>
      <c r="E621" s="160"/>
      <c r="F621" s="160"/>
      <c r="G621" s="161"/>
      <c r="H621" s="160"/>
      <c r="I621" s="160"/>
      <c r="J621" s="161"/>
    </row>
    <row r="622">
      <c r="A622" s="155" t="str">
        <f t="shared" si="1"/>
        <v/>
      </c>
      <c r="B622" s="156"/>
      <c r="C622" s="157"/>
      <c r="D622" s="156"/>
      <c r="E622" s="156"/>
      <c r="F622" s="156"/>
      <c r="G622" s="157"/>
      <c r="H622" s="156"/>
      <c r="I622" s="156"/>
      <c r="J622" s="157"/>
    </row>
    <row r="623">
      <c r="A623" s="159" t="str">
        <f t="shared" si="1"/>
        <v/>
      </c>
      <c r="B623" s="160"/>
      <c r="C623" s="161"/>
      <c r="D623" s="160"/>
      <c r="E623" s="160"/>
      <c r="F623" s="160"/>
      <c r="G623" s="161"/>
      <c r="H623" s="160"/>
      <c r="I623" s="160"/>
      <c r="J623" s="161"/>
    </row>
    <row r="624">
      <c r="A624" s="155" t="str">
        <f t="shared" si="1"/>
        <v/>
      </c>
      <c r="B624" s="156"/>
      <c r="C624" s="157"/>
      <c r="D624" s="156"/>
      <c r="E624" s="156"/>
      <c r="F624" s="156"/>
      <c r="G624" s="157"/>
      <c r="H624" s="156"/>
      <c r="I624" s="156"/>
      <c r="J624" s="157"/>
    </row>
    <row r="625">
      <c r="A625" s="159" t="str">
        <f t="shared" si="1"/>
        <v/>
      </c>
      <c r="B625" s="160"/>
      <c r="C625" s="161"/>
      <c r="D625" s="160"/>
      <c r="E625" s="160"/>
      <c r="F625" s="160"/>
      <c r="G625" s="161"/>
      <c r="H625" s="160"/>
      <c r="I625" s="160"/>
      <c r="J625" s="161"/>
    </row>
    <row r="626">
      <c r="A626" s="155" t="str">
        <f t="shared" si="1"/>
        <v/>
      </c>
      <c r="B626" s="156"/>
      <c r="C626" s="157"/>
      <c r="D626" s="156"/>
      <c r="E626" s="156"/>
      <c r="F626" s="156"/>
      <c r="G626" s="157"/>
      <c r="H626" s="156"/>
      <c r="I626" s="156"/>
      <c r="J626" s="157"/>
    </row>
    <row r="627">
      <c r="A627" s="159" t="str">
        <f t="shared" si="1"/>
        <v/>
      </c>
      <c r="B627" s="160"/>
      <c r="C627" s="161"/>
      <c r="D627" s="160"/>
      <c r="E627" s="160"/>
      <c r="F627" s="160"/>
      <c r="G627" s="161"/>
      <c r="H627" s="160"/>
      <c r="I627" s="160"/>
      <c r="J627" s="161"/>
    </row>
    <row r="628">
      <c r="A628" s="155" t="str">
        <f t="shared" si="1"/>
        <v/>
      </c>
      <c r="B628" s="156"/>
      <c r="C628" s="157"/>
      <c r="D628" s="156"/>
      <c r="E628" s="156"/>
      <c r="F628" s="156"/>
      <c r="G628" s="157"/>
      <c r="H628" s="156"/>
      <c r="I628" s="156"/>
      <c r="J628" s="157"/>
    </row>
    <row r="629">
      <c r="A629" s="159" t="str">
        <f t="shared" si="1"/>
        <v/>
      </c>
      <c r="B629" s="160"/>
      <c r="C629" s="161"/>
      <c r="D629" s="160"/>
      <c r="E629" s="160"/>
      <c r="F629" s="160"/>
      <c r="G629" s="161"/>
      <c r="H629" s="160"/>
      <c r="I629" s="160"/>
      <c r="J629" s="161"/>
    </row>
    <row r="630">
      <c r="A630" s="155" t="str">
        <f t="shared" si="1"/>
        <v/>
      </c>
      <c r="B630" s="156"/>
      <c r="C630" s="157"/>
      <c r="D630" s="156"/>
      <c r="E630" s="156"/>
      <c r="F630" s="156"/>
      <c r="G630" s="157"/>
      <c r="H630" s="156"/>
      <c r="I630" s="156"/>
      <c r="J630" s="157"/>
    </row>
    <row r="631">
      <c r="A631" s="159" t="str">
        <f t="shared" si="1"/>
        <v/>
      </c>
      <c r="B631" s="160"/>
      <c r="C631" s="161"/>
      <c r="D631" s="160"/>
      <c r="E631" s="160"/>
      <c r="F631" s="160"/>
      <c r="G631" s="161"/>
      <c r="H631" s="160"/>
      <c r="I631" s="160"/>
      <c r="J631" s="161"/>
    </row>
    <row r="632">
      <c r="A632" s="155" t="str">
        <f t="shared" si="1"/>
        <v/>
      </c>
      <c r="B632" s="156"/>
      <c r="C632" s="157"/>
      <c r="D632" s="156"/>
      <c r="E632" s="156"/>
      <c r="F632" s="156"/>
      <c r="G632" s="157"/>
      <c r="H632" s="156"/>
      <c r="I632" s="156"/>
      <c r="J632" s="157"/>
    </row>
    <row r="633">
      <c r="A633" s="159" t="str">
        <f t="shared" si="1"/>
        <v/>
      </c>
      <c r="B633" s="160"/>
      <c r="C633" s="161"/>
      <c r="D633" s="160"/>
      <c r="E633" s="160"/>
      <c r="F633" s="160"/>
      <c r="G633" s="161"/>
      <c r="H633" s="160"/>
      <c r="I633" s="160"/>
      <c r="J633" s="161"/>
    </row>
    <row r="634">
      <c r="A634" s="155" t="str">
        <f t="shared" si="1"/>
        <v/>
      </c>
      <c r="B634" s="156"/>
      <c r="C634" s="157"/>
      <c r="D634" s="156"/>
      <c r="E634" s="156"/>
      <c r="F634" s="156"/>
      <c r="G634" s="157"/>
      <c r="H634" s="156"/>
      <c r="I634" s="156"/>
      <c r="J634" s="157"/>
    </row>
    <row r="635">
      <c r="A635" s="159" t="str">
        <f t="shared" si="1"/>
        <v/>
      </c>
      <c r="B635" s="160"/>
      <c r="C635" s="161"/>
      <c r="D635" s="160"/>
      <c r="E635" s="160"/>
      <c r="F635" s="160"/>
      <c r="G635" s="161"/>
      <c r="H635" s="160"/>
      <c r="I635" s="160"/>
      <c r="J635" s="161"/>
    </row>
    <row r="636">
      <c r="A636" s="155" t="str">
        <f t="shared" si="1"/>
        <v/>
      </c>
      <c r="B636" s="156"/>
      <c r="C636" s="157"/>
      <c r="D636" s="156"/>
      <c r="E636" s="156"/>
      <c r="F636" s="156"/>
      <c r="G636" s="157"/>
      <c r="H636" s="156"/>
      <c r="I636" s="156"/>
      <c r="J636" s="157"/>
    </row>
    <row r="637">
      <c r="A637" s="159" t="str">
        <f t="shared" si="1"/>
        <v/>
      </c>
      <c r="B637" s="160"/>
      <c r="C637" s="161"/>
      <c r="D637" s="160"/>
      <c r="E637" s="160"/>
      <c r="F637" s="160"/>
      <c r="G637" s="161"/>
      <c r="H637" s="160"/>
      <c r="I637" s="160"/>
      <c r="J637" s="161"/>
    </row>
    <row r="638">
      <c r="A638" s="155" t="str">
        <f t="shared" si="1"/>
        <v/>
      </c>
      <c r="B638" s="156"/>
      <c r="C638" s="157"/>
      <c r="D638" s="156"/>
      <c r="E638" s="156"/>
      <c r="F638" s="156"/>
      <c r="G638" s="157"/>
      <c r="H638" s="156"/>
      <c r="I638" s="156"/>
      <c r="J638" s="157"/>
    </row>
    <row r="639">
      <c r="A639" s="159" t="str">
        <f t="shared" si="1"/>
        <v/>
      </c>
      <c r="B639" s="160"/>
      <c r="C639" s="161"/>
      <c r="D639" s="160"/>
      <c r="E639" s="160"/>
      <c r="F639" s="160"/>
      <c r="G639" s="161"/>
      <c r="H639" s="160"/>
      <c r="I639" s="160"/>
      <c r="J639" s="161"/>
    </row>
    <row r="640">
      <c r="A640" s="155" t="str">
        <f t="shared" si="1"/>
        <v/>
      </c>
      <c r="B640" s="156"/>
      <c r="C640" s="157"/>
      <c r="D640" s="156"/>
      <c r="E640" s="156"/>
      <c r="F640" s="156"/>
      <c r="G640" s="157"/>
      <c r="H640" s="156"/>
      <c r="I640" s="156"/>
      <c r="J640" s="157"/>
    </row>
    <row r="641">
      <c r="A641" s="159" t="str">
        <f t="shared" si="1"/>
        <v/>
      </c>
      <c r="B641" s="160"/>
      <c r="C641" s="161"/>
      <c r="D641" s="160"/>
      <c r="E641" s="160"/>
      <c r="F641" s="160"/>
      <c r="G641" s="161"/>
      <c r="H641" s="160"/>
      <c r="I641" s="160"/>
      <c r="J641" s="161"/>
    </row>
    <row r="642">
      <c r="A642" s="155" t="str">
        <f t="shared" si="1"/>
        <v/>
      </c>
      <c r="B642" s="156"/>
      <c r="C642" s="157"/>
      <c r="D642" s="156"/>
      <c r="E642" s="156"/>
      <c r="F642" s="156"/>
      <c r="G642" s="157"/>
      <c r="H642" s="156"/>
      <c r="I642" s="156"/>
      <c r="J642" s="157"/>
    </row>
    <row r="643">
      <c r="A643" s="159" t="str">
        <f t="shared" si="1"/>
        <v/>
      </c>
      <c r="B643" s="160"/>
      <c r="C643" s="161"/>
      <c r="D643" s="160"/>
      <c r="E643" s="160"/>
      <c r="F643" s="160"/>
      <c r="G643" s="161"/>
      <c r="H643" s="160"/>
      <c r="I643" s="160"/>
      <c r="J643" s="161"/>
    </row>
    <row r="644">
      <c r="A644" s="155" t="str">
        <f t="shared" si="1"/>
        <v/>
      </c>
      <c r="B644" s="156"/>
      <c r="C644" s="157"/>
      <c r="D644" s="156"/>
      <c r="E644" s="156"/>
      <c r="F644" s="156"/>
      <c r="G644" s="157"/>
      <c r="H644" s="156"/>
      <c r="I644" s="156"/>
      <c r="J644" s="157"/>
    </row>
    <row r="645">
      <c r="A645" s="159" t="str">
        <f t="shared" si="1"/>
        <v/>
      </c>
      <c r="B645" s="160"/>
      <c r="C645" s="161"/>
      <c r="D645" s="160"/>
      <c r="E645" s="160"/>
      <c r="F645" s="160"/>
      <c r="G645" s="161"/>
      <c r="H645" s="160"/>
      <c r="I645" s="160"/>
      <c r="J645" s="161"/>
    </row>
    <row r="646">
      <c r="A646" s="155" t="str">
        <f t="shared" si="1"/>
        <v/>
      </c>
      <c r="B646" s="156"/>
      <c r="C646" s="157"/>
      <c r="D646" s="156"/>
      <c r="E646" s="156"/>
      <c r="F646" s="156"/>
      <c r="G646" s="157"/>
      <c r="H646" s="156"/>
      <c r="I646" s="156"/>
      <c r="J646" s="157"/>
    </row>
    <row r="647">
      <c r="A647" s="159" t="str">
        <f t="shared" si="1"/>
        <v/>
      </c>
      <c r="B647" s="160"/>
      <c r="C647" s="161"/>
      <c r="D647" s="160"/>
      <c r="E647" s="160"/>
      <c r="F647" s="160"/>
      <c r="G647" s="161"/>
      <c r="H647" s="160"/>
      <c r="I647" s="160"/>
      <c r="J647" s="161"/>
    </row>
    <row r="648">
      <c r="A648" s="155" t="str">
        <f t="shared" si="1"/>
        <v/>
      </c>
      <c r="B648" s="156"/>
      <c r="C648" s="157"/>
      <c r="D648" s="156"/>
      <c r="E648" s="156"/>
      <c r="F648" s="156"/>
      <c r="G648" s="157"/>
      <c r="H648" s="156"/>
      <c r="I648" s="156"/>
      <c r="J648" s="157"/>
    </row>
    <row r="649">
      <c r="A649" s="159" t="str">
        <f t="shared" si="1"/>
        <v/>
      </c>
      <c r="B649" s="160"/>
      <c r="C649" s="161"/>
      <c r="D649" s="160"/>
      <c r="E649" s="160"/>
      <c r="F649" s="160"/>
      <c r="G649" s="161"/>
      <c r="H649" s="160"/>
      <c r="I649" s="160"/>
      <c r="J649" s="161"/>
    </row>
    <row r="650">
      <c r="A650" s="155" t="str">
        <f t="shared" si="1"/>
        <v/>
      </c>
      <c r="B650" s="156"/>
      <c r="C650" s="157"/>
      <c r="D650" s="156"/>
      <c r="E650" s="156"/>
      <c r="F650" s="156"/>
      <c r="G650" s="157"/>
      <c r="H650" s="156"/>
      <c r="I650" s="156"/>
      <c r="J650" s="157"/>
    </row>
    <row r="651">
      <c r="A651" s="159" t="str">
        <f t="shared" si="1"/>
        <v/>
      </c>
      <c r="B651" s="160"/>
      <c r="C651" s="161"/>
      <c r="D651" s="160"/>
      <c r="E651" s="160"/>
      <c r="F651" s="160"/>
      <c r="G651" s="161"/>
      <c r="H651" s="160"/>
      <c r="I651" s="160"/>
      <c r="J651" s="161"/>
    </row>
    <row r="652">
      <c r="A652" s="155" t="str">
        <f t="shared" si="1"/>
        <v/>
      </c>
      <c r="B652" s="156"/>
      <c r="C652" s="157"/>
      <c r="D652" s="156"/>
      <c r="E652" s="156"/>
      <c r="F652" s="156"/>
      <c r="G652" s="157"/>
      <c r="H652" s="156"/>
      <c r="I652" s="156"/>
      <c r="J652" s="157"/>
    </row>
    <row r="653">
      <c r="A653" s="159" t="str">
        <f t="shared" si="1"/>
        <v/>
      </c>
      <c r="B653" s="160"/>
      <c r="C653" s="161"/>
      <c r="D653" s="160"/>
      <c r="E653" s="160"/>
      <c r="F653" s="160"/>
      <c r="G653" s="161"/>
      <c r="H653" s="160"/>
      <c r="I653" s="160"/>
      <c r="J653" s="161"/>
    </row>
    <row r="654">
      <c r="A654" s="155" t="str">
        <f t="shared" si="1"/>
        <v/>
      </c>
      <c r="B654" s="156"/>
      <c r="C654" s="157"/>
      <c r="D654" s="156"/>
      <c r="E654" s="156"/>
      <c r="F654" s="156"/>
      <c r="G654" s="157"/>
      <c r="H654" s="156"/>
      <c r="I654" s="156"/>
      <c r="J654" s="157"/>
    </row>
    <row r="655">
      <c r="A655" s="159" t="str">
        <f t="shared" si="1"/>
        <v/>
      </c>
      <c r="B655" s="160"/>
      <c r="C655" s="161"/>
      <c r="D655" s="160"/>
      <c r="E655" s="160"/>
      <c r="F655" s="160"/>
      <c r="G655" s="161"/>
      <c r="H655" s="160"/>
      <c r="I655" s="160"/>
      <c r="J655" s="161"/>
    </row>
    <row r="656">
      <c r="A656" s="155" t="str">
        <f t="shared" si="1"/>
        <v/>
      </c>
      <c r="B656" s="156"/>
      <c r="C656" s="157"/>
      <c r="D656" s="156"/>
      <c r="E656" s="156"/>
      <c r="F656" s="156"/>
      <c r="G656" s="157"/>
      <c r="H656" s="156"/>
      <c r="I656" s="156"/>
      <c r="J656" s="157"/>
    </row>
    <row r="657">
      <c r="A657" s="159" t="str">
        <f t="shared" si="1"/>
        <v/>
      </c>
      <c r="B657" s="160"/>
      <c r="C657" s="161"/>
      <c r="D657" s="160"/>
      <c r="E657" s="160"/>
      <c r="F657" s="160"/>
      <c r="G657" s="161"/>
      <c r="H657" s="160"/>
      <c r="I657" s="160"/>
      <c r="J657" s="161"/>
    </row>
    <row r="658">
      <c r="A658" s="155" t="str">
        <f t="shared" si="1"/>
        <v/>
      </c>
      <c r="B658" s="156"/>
      <c r="C658" s="157"/>
      <c r="D658" s="156"/>
      <c r="E658" s="156"/>
      <c r="F658" s="156"/>
      <c r="G658" s="157"/>
      <c r="H658" s="156"/>
      <c r="I658" s="156"/>
      <c r="J658" s="157"/>
    </row>
    <row r="659">
      <c r="A659" s="159" t="str">
        <f t="shared" si="1"/>
        <v/>
      </c>
      <c r="B659" s="160"/>
      <c r="C659" s="161"/>
      <c r="D659" s="160"/>
      <c r="E659" s="160"/>
      <c r="F659" s="160"/>
      <c r="G659" s="161"/>
      <c r="H659" s="160"/>
      <c r="I659" s="160"/>
      <c r="J659" s="161"/>
    </row>
    <row r="660">
      <c r="A660" s="155" t="str">
        <f t="shared" si="1"/>
        <v/>
      </c>
      <c r="B660" s="156"/>
      <c r="C660" s="157"/>
      <c r="D660" s="156"/>
      <c r="E660" s="156"/>
      <c r="F660" s="156"/>
      <c r="G660" s="157"/>
      <c r="H660" s="156"/>
      <c r="I660" s="156"/>
      <c r="J660" s="157"/>
    </row>
    <row r="661">
      <c r="A661" s="159" t="str">
        <f t="shared" si="1"/>
        <v/>
      </c>
      <c r="B661" s="160"/>
      <c r="C661" s="161"/>
      <c r="D661" s="160"/>
      <c r="E661" s="160"/>
      <c r="F661" s="160"/>
      <c r="G661" s="161"/>
      <c r="H661" s="160"/>
      <c r="I661" s="160"/>
      <c r="J661" s="161"/>
    </row>
    <row r="662">
      <c r="A662" s="155" t="str">
        <f t="shared" si="1"/>
        <v/>
      </c>
      <c r="B662" s="156"/>
      <c r="C662" s="157"/>
      <c r="D662" s="156"/>
      <c r="E662" s="156"/>
      <c r="F662" s="156"/>
      <c r="G662" s="157"/>
      <c r="H662" s="156"/>
      <c r="I662" s="156"/>
      <c r="J662" s="157"/>
    </row>
    <row r="663">
      <c r="A663" s="159" t="str">
        <f t="shared" si="1"/>
        <v/>
      </c>
      <c r="B663" s="160"/>
      <c r="C663" s="161"/>
      <c r="D663" s="160"/>
      <c r="E663" s="160"/>
      <c r="F663" s="160"/>
      <c r="G663" s="161"/>
      <c r="H663" s="160"/>
      <c r="I663" s="160"/>
      <c r="J663" s="161"/>
    </row>
    <row r="664">
      <c r="A664" s="155" t="str">
        <f t="shared" si="1"/>
        <v/>
      </c>
      <c r="B664" s="156"/>
      <c r="C664" s="157"/>
      <c r="D664" s="156"/>
      <c r="E664" s="156"/>
      <c r="F664" s="156"/>
      <c r="G664" s="157"/>
      <c r="H664" s="156"/>
      <c r="I664" s="156"/>
      <c r="J664" s="157"/>
    </row>
    <row r="665">
      <c r="A665" s="159" t="str">
        <f t="shared" si="1"/>
        <v/>
      </c>
      <c r="B665" s="160"/>
      <c r="C665" s="161"/>
      <c r="D665" s="160"/>
      <c r="E665" s="160"/>
      <c r="F665" s="160"/>
      <c r="G665" s="161"/>
      <c r="H665" s="160"/>
      <c r="I665" s="160"/>
      <c r="J665" s="161"/>
    </row>
    <row r="666">
      <c r="A666" s="155" t="str">
        <f t="shared" si="1"/>
        <v/>
      </c>
      <c r="B666" s="156"/>
      <c r="C666" s="157"/>
      <c r="D666" s="156"/>
      <c r="E666" s="156"/>
      <c r="F666" s="156"/>
      <c r="G666" s="157"/>
      <c r="H666" s="156"/>
      <c r="I666" s="156"/>
      <c r="J666" s="157"/>
    </row>
    <row r="667">
      <c r="A667" s="159" t="str">
        <f t="shared" si="1"/>
        <v/>
      </c>
      <c r="B667" s="160"/>
      <c r="C667" s="161"/>
      <c r="D667" s="160"/>
      <c r="E667" s="160"/>
      <c r="F667" s="160"/>
      <c r="G667" s="161"/>
      <c r="H667" s="160"/>
      <c r="I667" s="160"/>
      <c r="J667" s="161"/>
    </row>
    <row r="668">
      <c r="A668" s="155" t="str">
        <f t="shared" si="1"/>
        <v/>
      </c>
      <c r="B668" s="156"/>
      <c r="C668" s="157"/>
      <c r="D668" s="156"/>
      <c r="E668" s="156"/>
      <c r="F668" s="156"/>
      <c r="G668" s="157"/>
      <c r="H668" s="156"/>
      <c r="I668" s="156"/>
      <c r="J668" s="157"/>
    </row>
    <row r="669">
      <c r="A669" s="159" t="str">
        <f t="shared" si="1"/>
        <v/>
      </c>
      <c r="B669" s="160"/>
      <c r="C669" s="161"/>
      <c r="D669" s="160"/>
      <c r="E669" s="160"/>
      <c r="F669" s="160"/>
      <c r="G669" s="161"/>
      <c r="H669" s="160"/>
      <c r="I669" s="160"/>
      <c r="J669" s="161"/>
    </row>
    <row r="670">
      <c r="A670" s="155" t="str">
        <f t="shared" si="1"/>
        <v/>
      </c>
      <c r="B670" s="156"/>
      <c r="C670" s="157"/>
      <c r="D670" s="156"/>
      <c r="E670" s="156"/>
      <c r="F670" s="156"/>
      <c r="G670" s="157"/>
      <c r="H670" s="156"/>
      <c r="I670" s="156"/>
      <c r="J670" s="157"/>
    </row>
    <row r="671">
      <c r="A671" s="159" t="str">
        <f t="shared" si="1"/>
        <v/>
      </c>
      <c r="B671" s="160"/>
      <c r="C671" s="161"/>
      <c r="D671" s="160"/>
      <c r="E671" s="160"/>
      <c r="F671" s="160"/>
      <c r="G671" s="161"/>
      <c r="H671" s="160"/>
      <c r="I671" s="160"/>
      <c r="J671" s="161"/>
    </row>
    <row r="672">
      <c r="A672" s="155" t="str">
        <f t="shared" si="1"/>
        <v/>
      </c>
      <c r="B672" s="156"/>
      <c r="C672" s="157"/>
      <c r="D672" s="156"/>
      <c r="E672" s="156"/>
      <c r="F672" s="156"/>
      <c r="G672" s="157"/>
      <c r="H672" s="156"/>
      <c r="I672" s="156"/>
      <c r="J672" s="157"/>
    </row>
    <row r="673">
      <c r="A673" s="159" t="str">
        <f t="shared" si="1"/>
        <v/>
      </c>
      <c r="B673" s="160"/>
      <c r="C673" s="161"/>
      <c r="D673" s="160"/>
      <c r="E673" s="160"/>
      <c r="F673" s="160"/>
      <c r="G673" s="161"/>
      <c r="H673" s="160"/>
      <c r="I673" s="160"/>
      <c r="J673" s="161"/>
    </row>
    <row r="674">
      <c r="A674" s="155" t="str">
        <f t="shared" si="1"/>
        <v/>
      </c>
      <c r="B674" s="156"/>
      <c r="C674" s="157"/>
      <c r="D674" s="156"/>
      <c r="E674" s="156"/>
      <c r="F674" s="156"/>
      <c r="G674" s="157"/>
      <c r="H674" s="156"/>
      <c r="I674" s="156"/>
      <c r="J674" s="157"/>
    </row>
    <row r="675">
      <c r="A675" s="159" t="str">
        <f t="shared" si="1"/>
        <v/>
      </c>
      <c r="B675" s="160"/>
      <c r="C675" s="161"/>
      <c r="D675" s="160"/>
      <c r="E675" s="160"/>
      <c r="F675" s="160"/>
      <c r="G675" s="161"/>
      <c r="H675" s="160"/>
      <c r="I675" s="160"/>
      <c r="J675" s="161"/>
    </row>
    <row r="676">
      <c r="A676" s="155" t="str">
        <f t="shared" si="1"/>
        <v/>
      </c>
      <c r="B676" s="156"/>
      <c r="C676" s="157"/>
      <c r="D676" s="156"/>
      <c r="E676" s="156"/>
      <c r="F676" s="156"/>
      <c r="G676" s="157"/>
      <c r="H676" s="156"/>
      <c r="I676" s="156"/>
      <c r="J676" s="157"/>
    </row>
    <row r="677">
      <c r="A677" s="159" t="str">
        <f t="shared" si="1"/>
        <v/>
      </c>
      <c r="B677" s="160"/>
      <c r="C677" s="161"/>
      <c r="D677" s="160"/>
      <c r="E677" s="160"/>
      <c r="F677" s="160"/>
      <c r="G677" s="161"/>
      <c r="H677" s="160"/>
      <c r="I677" s="160"/>
      <c r="J677" s="161"/>
    </row>
    <row r="678">
      <c r="A678" s="155" t="str">
        <f t="shared" si="1"/>
        <v/>
      </c>
      <c r="B678" s="156"/>
      <c r="C678" s="157"/>
      <c r="D678" s="156"/>
      <c r="E678" s="156"/>
      <c r="F678" s="156"/>
      <c r="G678" s="157"/>
      <c r="H678" s="156"/>
      <c r="I678" s="156"/>
      <c r="J678" s="157"/>
    </row>
    <row r="679">
      <c r="A679" s="159" t="str">
        <f t="shared" si="1"/>
        <v/>
      </c>
      <c r="B679" s="160"/>
      <c r="C679" s="161"/>
      <c r="D679" s="160"/>
      <c r="E679" s="160"/>
      <c r="F679" s="160"/>
      <c r="G679" s="161"/>
      <c r="H679" s="160"/>
      <c r="I679" s="160"/>
      <c r="J679" s="161"/>
    </row>
    <row r="680">
      <c r="A680" s="155" t="str">
        <f t="shared" si="1"/>
        <v/>
      </c>
      <c r="B680" s="156"/>
      <c r="C680" s="157"/>
      <c r="D680" s="156"/>
      <c r="E680" s="156"/>
      <c r="F680" s="156"/>
      <c r="G680" s="157"/>
      <c r="H680" s="156"/>
      <c r="I680" s="156"/>
      <c r="J680" s="157"/>
    </row>
    <row r="681">
      <c r="A681" s="159" t="str">
        <f t="shared" si="1"/>
        <v/>
      </c>
      <c r="B681" s="160"/>
      <c r="C681" s="161"/>
      <c r="D681" s="160"/>
      <c r="E681" s="160"/>
      <c r="F681" s="160"/>
      <c r="G681" s="161"/>
      <c r="H681" s="160"/>
      <c r="I681" s="160"/>
      <c r="J681" s="161"/>
    </row>
    <row r="682">
      <c r="A682" s="155" t="str">
        <f t="shared" si="1"/>
        <v/>
      </c>
      <c r="B682" s="156"/>
      <c r="C682" s="157"/>
      <c r="D682" s="156"/>
      <c r="E682" s="156"/>
      <c r="F682" s="156"/>
      <c r="G682" s="157"/>
      <c r="H682" s="156"/>
      <c r="I682" s="156"/>
      <c r="J682" s="157"/>
    </row>
    <row r="683">
      <c r="A683" s="159" t="str">
        <f t="shared" si="1"/>
        <v/>
      </c>
      <c r="B683" s="160"/>
      <c r="C683" s="161"/>
      <c r="D683" s="160"/>
      <c r="E683" s="160"/>
      <c r="F683" s="160"/>
      <c r="G683" s="161"/>
      <c r="H683" s="160"/>
      <c r="I683" s="160"/>
      <c r="J683" s="161"/>
    </row>
    <row r="684">
      <c r="A684" s="155" t="str">
        <f t="shared" si="1"/>
        <v/>
      </c>
      <c r="B684" s="156"/>
      <c r="C684" s="157"/>
      <c r="D684" s="156"/>
      <c r="E684" s="156"/>
      <c r="F684" s="156"/>
      <c r="G684" s="157"/>
      <c r="H684" s="156"/>
      <c r="I684" s="156"/>
      <c r="J684" s="157"/>
    </row>
    <row r="685">
      <c r="A685" s="159" t="str">
        <f t="shared" si="1"/>
        <v/>
      </c>
      <c r="B685" s="160"/>
      <c r="C685" s="161"/>
      <c r="D685" s="160"/>
      <c r="E685" s="160"/>
      <c r="F685" s="160"/>
      <c r="G685" s="161"/>
      <c r="H685" s="160"/>
      <c r="I685" s="160"/>
      <c r="J685" s="161"/>
    </row>
    <row r="686">
      <c r="A686" s="155" t="str">
        <f t="shared" si="1"/>
        <v/>
      </c>
      <c r="B686" s="156"/>
      <c r="C686" s="157"/>
      <c r="D686" s="156"/>
      <c r="E686" s="156"/>
      <c r="F686" s="156"/>
      <c r="G686" s="157"/>
      <c r="H686" s="156"/>
      <c r="I686" s="156"/>
      <c r="J686" s="157"/>
    </row>
    <row r="687">
      <c r="A687" s="159" t="str">
        <f t="shared" si="1"/>
        <v/>
      </c>
      <c r="B687" s="160"/>
      <c r="C687" s="161"/>
      <c r="D687" s="160"/>
      <c r="E687" s="160"/>
      <c r="F687" s="160"/>
      <c r="G687" s="161"/>
      <c r="H687" s="160"/>
      <c r="I687" s="160"/>
      <c r="J687" s="161"/>
    </row>
    <row r="688">
      <c r="A688" s="155" t="str">
        <f t="shared" si="1"/>
        <v/>
      </c>
      <c r="B688" s="156"/>
      <c r="C688" s="157"/>
      <c r="D688" s="156"/>
      <c r="E688" s="156"/>
      <c r="F688" s="156"/>
      <c r="G688" s="157"/>
      <c r="H688" s="156"/>
      <c r="I688" s="156"/>
      <c r="J688" s="157"/>
    </row>
    <row r="689">
      <c r="A689" s="159" t="str">
        <f t="shared" si="1"/>
        <v/>
      </c>
      <c r="B689" s="160"/>
      <c r="C689" s="161"/>
      <c r="D689" s="160"/>
      <c r="E689" s="160"/>
      <c r="F689" s="160"/>
      <c r="G689" s="161"/>
      <c r="H689" s="160"/>
      <c r="I689" s="160"/>
      <c r="J689" s="161"/>
    </row>
    <row r="690">
      <c r="A690" s="155" t="str">
        <f t="shared" si="1"/>
        <v/>
      </c>
      <c r="B690" s="156"/>
      <c r="C690" s="157"/>
      <c r="D690" s="156"/>
      <c r="E690" s="156"/>
      <c r="F690" s="156"/>
      <c r="G690" s="157"/>
      <c r="H690" s="156"/>
      <c r="I690" s="156"/>
      <c r="J690" s="157"/>
    </row>
    <row r="691">
      <c r="A691" s="159" t="str">
        <f t="shared" si="1"/>
        <v/>
      </c>
      <c r="B691" s="160"/>
      <c r="C691" s="161"/>
      <c r="D691" s="160"/>
      <c r="E691" s="160"/>
      <c r="F691" s="160"/>
      <c r="G691" s="161"/>
      <c r="H691" s="160"/>
      <c r="I691" s="160"/>
      <c r="J691" s="161"/>
    </row>
    <row r="692">
      <c r="A692" s="155" t="str">
        <f t="shared" si="1"/>
        <v/>
      </c>
      <c r="B692" s="156"/>
      <c r="C692" s="157"/>
      <c r="D692" s="156"/>
      <c r="E692" s="156"/>
      <c r="F692" s="156"/>
      <c r="G692" s="157"/>
      <c r="H692" s="156"/>
      <c r="I692" s="156"/>
      <c r="J692" s="157"/>
    </row>
    <row r="693">
      <c r="A693" s="159" t="str">
        <f t="shared" si="1"/>
        <v/>
      </c>
      <c r="B693" s="160"/>
      <c r="C693" s="161"/>
      <c r="D693" s="160"/>
      <c r="E693" s="160"/>
      <c r="F693" s="160"/>
      <c r="G693" s="161"/>
      <c r="H693" s="160"/>
      <c r="I693" s="160"/>
      <c r="J693" s="161"/>
    </row>
    <row r="694">
      <c r="A694" s="155" t="str">
        <f t="shared" si="1"/>
        <v/>
      </c>
      <c r="B694" s="156"/>
      <c r="C694" s="157"/>
      <c r="D694" s="156"/>
      <c r="E694" s="156"/>
      <c r="F694" s="156"/>
      <c r="G694" s="157"/>
      <c r="H694" s="156"/>
      <c r="I694" s="156"/>
      <c r="J694" s="157"/>
    </row>
    <row r="695">
      <c r="A695" s="159" t="str">
        <f t="shared" si="1"/>
        <v/>
      </c>
      <c r="B695" s="160"/>
      <c r="C695" s="161"/>
      <c r="D695" s="160"/>
      <c r="E695" s="160"/>
      <c r="F695" s="160"/>
      <c r="G695" s="161"/>
      <c r="H695" s="160"/>
      <c r="I695" s="160"/>
      <c r="J695" s="161"/>
    </row>
    <row r="696">
      <c r="A696" s="155" t="str">
        <f t="shared" si="1"/>
        <v/>
      </c>
      <c r="B696" s="156"/>
      <c r="C696" s="157"/>
      <c r="D696" s="156"/>
      <c r="E696" s="156"/>
      <c r="F696" s="156"/>
      <c r="G696" s="157"/>
      <c r="H696" s="156"/>
      <c r="I696" s="156"/>
      <c r="J696" s="157"/>
    </row>
    <row r="697">
      <c r="A697" s="159" t="str">
        <f t="shared" si="1"/>
        <v/>
      </c>
      <c r="B697" s="160"/>
      <c r="C697" s="161"/>
      <c r="D697" s="160"/>
      <c r="E697" s="160"/>
      <c r="F697" s="160"/>
      <c r="G697" s="161"/>
      <c r="H697" s="160"/>
      <c r="I697" s="160"/>
      <c r="J697" s="161"/>
    </row>
    <row r="698">
      <c r="A698" s="155" t="str">
        <f t="shared" si="1"/>
        <v/>
      </c>
      <c r="B698" s="156"/>
      <c r="C698" s="157"/>
      <c r="D698" s="156"/>
      <c r="E698" s="156"/>
      <c r="F698" s="156"/>
      <c r="G698" s="157"/>
      <c r="H698" s="156"/>
      <c r="I698" s="156"/>
      <c r="J698" s="157"/>
    </row>
    <row r="699">
      <c r="A699" s="159" t="str">
        <f t="shared" si="1"/>
        <v/>
      </c>
      <c r="B699" s="160"/>
      <c r="C699" s="161"/>
      <c r="D699" s="160"/>
      <c r="E699" s="160"/>
      <c r="F699" s="160"/>
      <c r="G699" s="161"/>
      <c r="H699" s="160"/>
      <c r="I699" s="160"/>
      <c r="J699" s="161"/>
    </row>
    <row r="700">
      <c r="A700" s="155" t="str">
        <f t="shared" si="1"/>
        <v/>
      </c>
      <c r="B700" s="156"/>
      <c r="C700" s="157"/>
      <c r="D700" s="156"/>
      <c r="E700" s="156"/>
      <c r="F700" s="156"/>
      <c r="G700" s="157"/>
      <c r="H700" s="156"/>
      <c r="I700" s="156"/>
      <c r="J700" s="157"/>
    </row>
    <row r="701">
      <c r="A701" s="159" t="str">
        <f t="shared" si="1"/>
        <v/>
      </c>
      <c r="B701" s="160"/>
      <c r="C701" s="161"/>
      <c r="D701" s="160"/>
      <c r="E701" s="160"/>
      <c r="F701" s="160"/>
      <c r="G701" s="161"/>
      <c r="H701" s="160"/>
      <c r="I701" s="160"/>
      <c r="J701" s="161"/>
    </row>
    <row r="702">
      <c r="A702" s="155" t="str">
        <f t="shared" si="1"/>
        <v/>
      </c>
      <c r="B702" s="156"/>
      <c r="C702" s="157"/>
      <c r="D702" s="156"/>
      <c r="E702" s="156"/>
      <c r="F702" s="156"/>
      <c r="G702" s="157"/>
      <c r="H702" s="156"/>
      <c r="I702" s="156"/>
      <c r="J702" s="157"/>
    </row>
    <row r="703">
      <c r="A703" s="159" t="str">
        <f t="shared" si="1"/>
        <v/>
      </c>
      <c r="B703" s="160"/>
      <c r="C703" s="161"/>
      <c r="D703" s="160"/>
      <c r="E703" s="160"/>
      <c r="F703" s="160"/>
      <c r="G703" s="161"/>
      <c r="H703" s="160"/>
      <c r="I703" s="160"/>
      <c r="J703" s="161"/>
    </row>
    <row r="704">
      <c r="A704" s="155" t="str">
        <f t="shared" si="1"/>
        <v/>
      </c>
      <c r="B704" s="156"/>
      <c r="C704" s="157"/>
      <c r="D704" s="156"/>
      <c r="E704" s="156"/>
      <c r="F704" s="156"/>
      <c r="G704" s="157"/>
      <c r="H704" s="156"/>
      <c r="I704" s="156"/>
      <c r="J704" s="157"/>
    </row>
    <row r="705">
      <c r="A705" s="159" t="str">
        <f t="shared" si="1"/>
        <v/>
      </c>
      <c r="B705" s="160"/>
      <c r="C705" s="161"/>
      <c r="D705" s="160"/>
      <c r="E705" s="160"/>
      <c r="F705" s="160"/>
      <c r="G705" s="161"/>
      <c r="H705" s="160"/>
      <c r="I705" s="160"/>
      <c r="J705" s="161"/>
    </row>
    <row r="706">
      <c r="A706" s="155" t="str">
        <f t="shared" si="1"/>
        <v/>
      </c>
      <c r="B706" s="156"/>
      <c r="C706" s="157"/>
      <c r="D706" s="156"/>
      <c r="E706" s="156"/>
      <c r="F706" s="156"/>
      <c r="G706" s="157"/>
      <c r="H706" s="156"/>
      <c r="I706" s="156"/>
      <c r="J706" s="157"/>
    </row>
    <row r="707">
      <c r="A707" s="159" t="str">
        <f t="shared" si="1"/>
        <v/>
      </c>
      <c r="B707" s="160"/>
      <c r="C707" s="161"/>
      <c r="D707" s="160"/>
      <c r="E707" s="160"/>
      <c r="F707" s="160"/>
      <c r="G707" s="161"/>
      <c r="H707" s="160"/>
      <c r="I707" s="160"/>
      <c r="J707" s="161"/>
    </row>
    <row r="708">
      <c r="A708" s="155" t="str">
        <f t="shared" si="1"/>
        <v/>
      </c>
      <c r="B708" s="156"/>
      <c r="C708" s="157"/>
      <c r="D708" s="156"/>
      <c r="E708" s="156"/>
      <c r="F708" s="156"/>
      <c r="G708" s="157"/>
      <c r="H708" s="156"/>
      <c r="I708" s="156"/>
      <c r="J708" s="157"/>
    </row>
    <row r="709">
      <c r="A709" s="159" t="str">
        <f t="shared" si="1"/>
        <v/>
      </c>
      <c r="B709" s="160"/>
      <c r="C709" s="161"/>
      <c r="D709" s="160"/>
      <c r="E709" s="160"/>
      <c r="F709" s="160"/>
      <c r="G709" s="161"/>
      <c r="H709" s="160"/>
      <c r="I709" s="160"/>
      <c r="J709" s="161"/>
    </row>
    <row r="710">
      <c r="A710" s="155" t="str">
        <f t="shared" si="1"/>
        <v/>
      </c>
      <c r="B710" s="156"/>
      <c r="C710" s="157"/>
      <c r="D710" s="156"/>
      <c r="E710" s="156"/>
      <c r="F710" s="156"/>
      <c r="G710" s="157"/>
      <c r="H710" s="156"/>
      <c r="I710" s="156"/>
      <c r="J710" s="157"/>
    </row>
    <row r="711">
      <c r="A711" s="159" t="str">
        <f t="shared" si="1"/>
        <v/>
      </c>
      <c r="B711" s="160"/>
      <c r="C711" s="161"/>
      <c r="D711" s="160"/>
      <c r="E711" s="160"/>
      <c r="F711" s="160"/>
      <c r="G711" s="161"/>
      <c r="H711" s="160"/>
      <c r="I711" s="160"/>
      <c r="J711" s="161"/>
    </row>
    <row r="712">
      <c r="A712" s="155" t="str">
        <f t="shared" si="1"/>
        <v/>
      </c>
      <c r="B712" s="156"/>
      <c r="C712" s="157"/>
      <c r="D712" s="156"/>
      <c r="E712" s="156"/>
      <c r="F712" s="156"/>
      <c r="G712" s="157"/>
      <c r="H712" s="156"/>
      <c r="I712" s="156"/>
      <c r="J712" s="157"/>
    </row>
    <row r="713">
      <c r="A713" s="159" t="str">
        <f t="shared" si="1"/>
        <v/>
      </c>
      <c r="B713" s="160"/>
      <c r="C713" s="161"/>
      <c r="D713" s="160"/>
      <c r="E713" s="160"/>
      <c r="F713" s="160"/>
      <c r="G713" s="161"/>
      <c r="H713" s="160"/>
      <c r="I713" s="160"/>
      <c r="J713" s="161"/>
    </row>
    <row r="714">
      <c r="A714" s="155" t="str">
        <f t="shared" si="1"/>
        <v/>
      </c>
      <c r="B714" s="156"/>
      <c r="C714" s="157"/>
      <c r="D714" s="156"/>
      <c r="E714" s="156"/>
      <c r="F714" s="156"/>
      <c r="G714" s="157"/>
      <c r="H714" s="156"/>
      <c r="I714" s="156"/>
      <c r="J714" s="157"/>
    </row>
    <row r="715">
      <c r="A715" s="159" t="str">
        <f t="shared" si="1"/>
        <v/>
      </c>
      <c r="B715" s="160"/>
      <c r="C715" s="161"/>
      <c r="D715" s="160"/>
      <c r="E715" s="160"/>
      <c r="F715" s="160"/>
      <c r="G715" s="161"/>
      <c r="H715" s="160"/>
      <c r="I715" s="160"/>
      <c r="J715" s="161"/>
    </row>
    <row r="716">
      <c r="A716" s="155" t="str">
        <f t="shared" si="1"/>
        <v/>
      </c>
      <c r="B716" s="156"/>
      <c r="C716" s="157"/>
      <c r="D716" s="156"/>
      <c r="E716" s="156"/>
      <c r="F716" s="156"/>
      <c r="G716" s="157"/>
      <c r="H716" s="156"/>
      <c r="I716" s="156"/>
      <c r="J716" s="157"/>
    </row>
    <row r="717">
      <c r="A717" s="159" t="str">
        <f t="shared" si="1"/>
        <v/>
      </c>
      <c r="B717" s="160"/>
      <c r="C717" s="161"/>
      <c r="D717" s="160"/>
      <c r="E717" s="160"/>
      <c r="F717" s="160"/>
      <c r="G717" s="161"/>
      <c r="H717" s="160"/>
      <c r="I717" s="160"/>
      <c r="J717" s="161"/>
    </row>
    <row r="718">
      <c r="A718" s="155" t="str">
        <f t="shared" si="1"/>
        <v/>
      </c>
      <c r="B718" s="156"/>
      <c r="C718" s="157"/>
      <c r="D718" s="156"/>
      <c r="E718" s="156"/>
      <c r="F718" s="156"/>
      <c r="G718" s="157"/>
      <c r="H718" s="156"/>
      <c r="I718" s="156"/>
      <c r="J718" s="157"/>
    </row>
    <row r="719">
      <c r="A719" s="159" t="str">
        <f t="shared" si="1"/>
        <v/>
      </c>
      <c r="B719" s="160"/>
      <c r="C719" s="161"/>
      <c r="D719" s="160"/>
      <c r="E719" s="160"/>
      <c r="F719" s="160"/>
      <c r="G719" s="161"/>
      <c r="H719" s="160"/>
      <c r="I719" s="160"/>
      <c r="J719" s="161"/>
    </row>
    <row r="720">
      <c r="A720" s="155" t="str">
        <f t="shared" si="1"/>
        <v/>
      </c>
      <c r="B720" s="156"/>
      <c r="C720" s="157"/>
      <c r="D720" s="156"/>
      <c r="E720" s="156"/>
      <c r="F720" s="156"/>
      <c r="G720" s="157"/>
      <c r="H720" s="156"/>
      <c r="I720" s="156"/>
      <c r="J720" s="157"/>
    </row>
    <row r="721">
      <c r="A721" s="159" t="str">
        <f t="shared" si="1"/>
        <v/>
      </c>
      <c r="B721" s="160"/>
      <c r="C721" s="161"/>
      <c r="D721" s="160"/>
      <c r="E721" s="160"/>
      <c r="F721" s="160"/>
      <c r="G721" s="161"/>
      <c r="H721" s="160"/>
      <c r="I721" s="160"/>
      <c r="J721" s="161"/>
    </row>
    <row r="722">
      <c r="A722" s="155" t="str">
        <f t="shared" si="1"/>
        <v/>
      </c>
      <c r="B722" s="156"/>
      <c r="C722" s="157"/>
      <c r="D722" s="156"/>
      <c r="E722" s="156"/>
      <c r="F722" s="156"/>
      <c r="G722" s="157"/>
      <c r="H722" s="156"/>
      <c r="I722" s="156"/>
      <c r="J722" s="157"/>
    </row>
    <row r="723">
      <c r="A723" s="159" t="str">
        <f t="shared" si="1"/>
        <v/>
      </c>
      <c r="B723" s="160"/>
      <c r="C723" s="161"/>
      <c r="D723" s="160"/>
      <c r="E723" s="160"/>
      <c r="F723" s="160"/>
      <c r="G723" s="161"/>
      <c r="H723" s="160"/>
      <c r="I723" s="160"/>
      <c r="J723" s="161"/>
    </row>
    <row r="724">
      <c r="A724" s="155" t="str">
        <f t="shared" si="1"/>
        <v/>
      </c>
      <c r="B724" s="156"/>
      <c r="C724" s="157"/>
      <c r="D724" s="156"/>
      <c r="E724" s="156"/>
      <c r="F724" s="156"/>
      <c r="G724" s="157"/>
      <c r="H724" s="156"/>
      <c r="I724" s="156"/>
      <c r="J724" s="157"/>
    </row>
    <row r="725">
      <c r="A725" s="159" t="str">
        <f t="shared" si="1"/>
        <v/>
      </c>
      <c r="B725" s="160"/>
      <c r="C725" s="161"/>
      <c r="D725" s="160"/>
      <c r="E725" s="160"/>
      <c r="F725" s="160"/>
      <c r="G725" s="161"/>
      <c r="H725" s="160"/>
      <c r="I725" s="160"/>
      <c r="J725" s="161"/>
    </row>
    <row r="726">
      <c r="A726" s="155" t="str">
        <f t="shared" si="1"/>
        <v/>
      </c>
      <c r="B726" s="156"/>
      <c r="C726" s="157"/>
      <c r="D726" s="156"/>
      <c r="E726" s="156"/>
      <c r="F726" s="156"/>
      <c r="G726" s="157"/>
      <c r="H726" s="156"/>
      <c r="I726" s="156"/>
      <c r="J726" s="157"/>
    </row>
    <row r="727">
      <c r="A727" s="159" t="str">
        <f t="shared" si="1"/>
        <v/>
      </c>
      <c r="B727" s="160"/>
      <c r="C727" s="161"/>
      <c r="D727" s="160"/>
      <c r="E727" s="160"/>
      <c r="F727" s="160"/>
      <c r="G727" s="161"/>
      <c r="H727" s="160"/>
      <c r="I727" s="160"/>
      <c r="J727" s="161"/>
    </row>
    <row r="728">
      <c r="A728" s="155" t="str">
        <f t="shared" si="1"/>
        <v/>
      </c>
      <c r="B728" s="156"/>
      <c r="C728" s="157"/>
      <c r="D728" s="156"/>
      <c r="E728" s="156"/>
      <c r="F728" s="156"/>
      <c r="G728" s="157"/>
      <c r="H728" s="156"/>
      <c r="I728" s="156"/>
      <c r="J728" s="157"/>
    </row>
    <row r="729">
      <c r="A729" s="159" t="str">
        <f t="shared" si="1"/>
        <v/>
      </c>
      <c r="B729" s="160"/>
      <c r="C729" s="161"/>
      <c r="D729" s="160"/>
      <c r="E729" s="160"/>
      <c r="F729" s="160"/>
      <c r="G729" s="161"/>
      <c r="H729" s="160"/>
      <c r="I729" s="160"/>
      <c r="J729" s="161"/>
    </row>
    <row r="730">
      <c r="A730" s="155" t="str">
        <f t="shared" si="1"/>
        <v/>
      </c>
      <c r="B730" s="156"/>
      <c r="C730" s="157"/>
      <c r="D730" s="156"/>
      <c r="E730" s="156"/>
      <c r="F730" s="156"/>
      <c r="G730" s="157"/>
      <c r="H730" s="156"/>
      <c r="I730" s="156"/>
      <c r="J730" s="157"/>
    </row>
    <row r="731">
      <c r="A731" s="159" t="str">
        <f t="shared" si="1"/>
        <v/>
      </c>
      <c r="B731" s="160"/>
      <c r="C731" s="161"/>
      <c r="D731" s="160"/>
      <c r="E731" s="160"/>
      <c r="F731" s="160"/>
      <c r="G731" s="161"/>
      <c r="H731" s="160"/>
      <c r="I731" s="160"/>
      <c r="J731" s="161"/>
    </row>
    <row r="732">
      <c r="A732" s="155" t="str">
        <f t="shared" si="1"/>
        <v/>
      </c>
      <c r="B732" s="156"/>
      <c r="C732" s="157"/>
      <c r="D732" s="156"/>
      <c r="E732" s="156"/>
      <c r="F732" s="156"/>
      <c r="G732" s="157"/>
      <c r="H732" s="156"/>
      <c r="I732" s="156"/>
      <c r="J732" s="157"/>
    </row>
    <row r="733">
      <c r="A733" s="159" t="str">
        <f t="shared" si="1"/>
        <v/>
      </c>
      <c r="B733" s="160"/>
      <c r="C733" s="161"/>
      <c r="D733" s="160"/>
      <c r="E733" s="160"/>
      <c r="F733" s="160"/>
      <c r="G733" s="161"/>
      <c r="H733" s="160"/>
      <c r="I733" s="160"/>
      <c r="J733" s="161"/>
    </row>
    <row r="734">
      <c r="A734" s="155" t="str">
        <f t="shared" si="1"/>
        <v/>
      </c>
      <c r="B734" s="156"/>
      <c r="C734" s="157"/>
      <c r="D734" s="156"/>
      <c r="E734" s="156"/>
      <c r="F734" s="156"/>
      <c r="G734" s="157"/>
      <c r="H734" s="156"/>
      <c r="I734" s="156"/>
      <c r="J734" s="157"/>
    </row>
    <row r="735">
      <c r="A735" s="159" t="str">
        <f t="shared" si="1"/>
        <v/>
      </c>
      <c r="B735" s="160"/>
      <c r="C735" s="161"/>
      <c r="D735" s="160"/>
      <c r="E735" s="160"/>
      <c r="F735" s="160"/>
      <c r="G735" s="161"/>
      <c r="H735" s="160"/>
      <c r="I735" s="160"/>
      <c r="J735" s="161"/>
    </row>
    <row r="736">
      <c r="A736" s="155" t="str">
        <f t="shared" si="1"/>
        <v/>
      </c>
      <c r="B736" s="156"/>
      <c r="C736" s="157"/>
      <c r="D736" s="156"/>
      <c r="E736" s="156"/>
      <c r="F736" s="156"/>
      <c r="G736" s="157"/>
      <c r="H736" s="156"/>
      <c r="I736" s="156"/>
      <c r="J736" s="157"/>
    </row>
    <row r="737">
      <c r="A737" s="159" t="str">
        <f t="shared" si="1"/>
        <v/>
      </c>
      <c r="B737" s="160"/>
      <c r="C737" s="161"/>
      <c r="D737" s="160"/>
      <c r="E737" s="160"/>
      <c r="F737" s="160"/>
      <c r="G737" s="161"/>
      <c r="H737" s="160"/>
      <c r="I737" s="160"/>
      <c r="J737" s="161"/>
    </row>
    <row r="738">
      <c r="A738" s="155" t="str">
        <f t="shared" si="1"/>
        <v/>
      </c>
      <c r="B738" s="156"/>
      <c r="C738" s="157"/>
      <c r="D738" s="156"/>
      <c r="E738" s="156"/>
      <c r="F738" s="156"/>
      <c r="G738" s="157"/>
      <c r="H738" s="156"/>
      <c r="I738" s="156"/>
      <c r="J738" s="157"/>
    </row>
    <row r="739">
      <c r="A739" s="159" t="str">
        <f t="shared" si="1"/>
        <v/>
      </c>
      <c r="B739" s="160"/>
      <c r="C739" s="161"/>
      <c r="D739" s="160"/>
      <c r="E739" s="160"/>
      <c r="F739" s="160"/>
      <c r="G739" s="161"/>
      <c r="H739" s="160"/>
      <c r="I739" s="160"/>
      <c r="J739" s="161"/>
    </row>
    <row r="740">
      <c r="A740" s="155" t="str">
        <f t="shared" si="1"/>
        <v/>
      </c>
      <c r="B740" s="156"/>
      <c r="C740" s="157"/>
      <c r="D740" s="156"/>
      <c r="E740" s="156"/>
      <c r="F740" s="156"/>
      <c r="G740" s="157"/>
      <c r="H740" s="156"/>
      <c r="I740" s="156"/>
      <c r="J740" s="157"/>
    </row>
    <row r="741">
      <c r="A741" s="159" t="str">
        <f t="shared" si="1"/>
        <v/>
      </c>
      <c r="B741" s="160"/>
      <c r="C741" s="161"/>
      <c r="D741" s="160"/>
      <c r="E741" s="160"/>
      <c r="F741" s="160"/>
      <c r="G741" s="161"/>
      <c r="H741" s="160"/>
      <c r="I741" s="160"/>
      <c r="J741" s="161"/>
    </row>
    <row r="742">
      <c r="A742" s="155" t="str">
        <f t="shared" si="1"/>
        <v/>
      </c>
      <c r="B742" s="156"/>
      <c r="C742" s="157"/>
      <c r="D742" s="156"/>
      <c r="E742" s="156"/>
      <c r="F742" s="156"/>
      <c r="G742" s="157"/>
      <c r="H742" s="156"/>
      <c r="I742" s="156"/>
      <c r="J742" s="157"/>
    </row>
    <row r="743">
      <c r="A743" s="159" t="str">
        <f t="shared" si="1"/>
        <v/>
      </c>
      <c r="B743" s="160"/>
      <c r="C743" s="161"/>
      <c r="D743" s="160"/>
      <c r="E743" s="160"/>
      <c r="F743" s="160"/>
      <c r="G743" s="161"/>
      <c r="H743" s="160"/>
      <c r="I743" s="160"/>
      <c r="J743" s="161"/>
    </row>
    <row r="744">
      <c r="A744" s="155" t="str">
        <f t="shared" si="1"/>
        <v/>
      </c>
      <c r="B744" s="156"/>
      <c r="C744" s="157"/>
      <c r="D744" s="156"/>
      <c r="E744" s="156"/>
      <c r="F744" s="156"/>
      <c r="G744" s="157"/>
      <c r="H744" s="156"/>
      <c r="I744" s="156"/>
      <c r="J744" s="157"/>
    </row>
    <row r="745">
      <c r="A745" s="159" t="str">
        <f t="shared" si="1"/>
        <v/>
      </c>
      <c r="B745" s="160"/>
      <c r="C745" s="161"/>
      <c r="D745" s="160"/>
      <c r="E745" s="160"/>
      <c r="F745" s="160"/>
      <c r="G745" s="161"/>
      <c r="H745" s="160"/>
      <c r="I745" s="160"/>
      <c r="J745" s="161"/>
    </row>
    <row r="746">
      <c r="A746" s="155" t="str">
        <f t="shared" si="1"/>
        <v/>
      </c>
      <c r="B746" s="156"/>
      <c r="C746" s="157"/>
      <c r="D746" s="156"/>
      <c r="E746" s="156"/>
      <c r="F746" s="156"/>
      <c r="G746" s="157"/>
      <c r="H746" s="156"/>
      <c r="I746" s="156"/>
      <c r="J746" s="157"/>
    </row>
    <row r="747">
      <c r="A747" s="159" t="str">
        <f t="shared" si="1"/>
        <v/>
      </c>
      <c r="B747" s="160"/>
      <c r="C747" s="161"/>
      <c r="D747" s="160"/>
      <c r="E747" s="160"/>
      <c r="F747" s="160"/>
      <c r="G747" s="161"/>
      <c r="H747" s="160"/>
      <c r="I747" s="160"/>
      <c r="J747" s="161"/>
    </row>
    <row r="748">
      <c r="A748" s="155" t="str">
        <f t="shared" si="1"/>
        <v/>
      </c>
      <c r="B748" s="156"/>
      <c r="C748" s="157"/>
      <c r="D748" s="156"/>
      <c r="E748" s="156"/>
      <c r="F748" s="156"/>
      <c r="G748" s="157"/>
      <c r="H748" s="156"/>
      <c r="I748" s="156"/>
      <c r="J748" s="157"/>
    </row>
    <row r="749">
      <c r="A749" s="159" t="str">
        <f t="shared" si="1"/>
        <v/>
      </c>
      <c r="B749" s="160"/>
      <c r="C749" s="161"/>
      <c r="D749" s="160"/>
      <c r="E749" s="160"/>
      <c r="F749" s="160"/>
      <c r="G749" s="161"/>
      <c r="H749" s="160"/>
      <c r="I749" s="160"/>
      <c r="J749" s="161"/>
    </row>
    <row r="750">
      <c r="A750" s="155" t="str">
        <f t="shared" si="1"/>
        <v/>
      </c>
      <c r="B750" s="156"/>
      <c r="C750" s="157"/>
      <c r="D750" s="156"/>
      <c r="E750" s="156"/>
      <c r="F750" s="156"/>
      <c r="G750" s="157"/>
      <c r="H750" s="156"/>
      <c r="I750" s="156"/>
      <c r="J750" s="157"/>
    </row>
    <row r="751">
      <c r="A751" s="159" t="str">
        <f t="shared" si="1"/>
        <v/>
      </c>
      <c r="B751" s="160"/>
      <c r="C751" s="161"/>
      <c r="D751" s="160"/>
      <c r="E751" s="160"/>
      <c r="F751" s="160"/>
      <c r="G751" s="161"/>
      <c r="H751" s="160"/>
      <c r="I751" s="160"/>
      <c r="J751" s="161"/>
    </row>
    <row r="752">
      <c r="A752" s="155" t="str">
        <f t="shared" si="1"/>
        <v/>
      </c>
      <c r="B752" s="156"/>
      <c r="C752" s="157"/>
      <c r="D752" s="156"/>
      <c r="E752" s="156"/>
      <c r="F752" s="156"/>
      <c r="G752" s="157"/>
      <c r="H752" s="156"/>
      <c r="I752" s="156"/>
      <c r="J752" s="157"/>
    </row>
    <row r="753">
      <c r="A753" s="159" t="str">
        <f t="shared" si="1"/>
        <v/>
      </c>
      <c r="B753" s="160"/>
      <c r="C753" s="161"/>
      <c r="D753" s="160"/>
      <c r="E753" s="160"/>
      <c r="F753" s="160"/>
      <c r="G753" s="161"/>
      <c r="H753" s="160"/>
      <c r="I753" s="160"/>
      <c r="J753" s="161"/>
    </row>
    <row r="754">
      <c r="A754" s="155" t="str">
        <f t="shared" si="1"/>
        <v/>
      </c>
      <c r="B754" s="156"/>
      <c r="C754" s="157"/>
      <c r="D754" s="156"/>
      <c r="E754" s="156"/>
      <c r="F754" s="156"/>
      <c r="G754" s="157"/>
      <c r="H754" s="156"/>
      <c r="I754" s="156"/>
      <c r="J754" s="157"/>
    </row>
    <row r="755">
      <c r="A755" s="159" t="str">
        <f t="shared" si="1"/>
        <v/>
      </c>
      <c r="B755" s="160"/>
      <c r="C755" s="161"/>
      <c r="D755" s="160"/>
      <c r="E755" s="160"/>
      <c r="F755" s="160"/>
      <c r="G755" s="161"/>
      <c r="H755" s="160"/>
      <c r="I755" s="160"/>
      <c r="J755" s="161"/>
    </row>
    <row r="756">
      <c r="A756" s="155" t="str">
        <f t="shared" si="1"/>
        <v/>
      </c>
      <c r="B756" s="156"/>
      <c r="C756" s="157"/>
      <c r="D756" s="156"/>
      <c r="E756" s="156"/>
      <c r="F756" s="156"/>
      <c r="G756" s="157"/>
      <c r="H756" s="156"/>
      <c r="I756" s="156"/>
      <c r="J756" s="157"/>
    </row>
    <row r="757">
      <c r="A757" s="159" t="str">
        <f t="shared" si="1"/>
        <v/>
      </c>
      <c r="B757" s="160"/>
      <c r="C757" s="161"/>
      <c r="D757" s="160"/>
      <c r="E757" s="160"/>
      <c r="F757" s="160"/>
      <c r="G757" s="161"/>
      <c r="H757" s="160"/>
      <c r="I757" s="160"/>
      <c r="J757" s="161"/>
    </row>
    <row r="758">
      <c r="A758" s="155" t="str">
        <f t="shared" si="1"/>
        <v/>
      </c>
      <c r="B758" s="156"/>
      <c r="C758" s="157"/>
      <c r="D758" s="156"/>
      <c r="E758" s="156"/>
      <c r="F758" s="156"/>
      <c r="G758" s="157"/>
      <c r="H758" s="156"/>
      <c r="I758" s="156"/>
      <c r="J758" s="157"/>
    </row>
    <row r="759">
      <c r="A759" s="159" t="str">
        <f t="shared" si="1"/>
        <v/>
      </c>
      <c r="B759" s="160"/>
      <c r="C759" s="161"/>
      <c r="D759" s="160"/>
      <c r="E759" s="160"/>
      <c r="F759" s="160"/>
      <c r="G759" s="161"/>
      <c r="H759" s="160"/>
      <c r="I759" s="160"/>
      <c r="J759" s="161"/>
    </row>
    <row r="760">
      <c r="A760" s="155" t="str">
        <f t="shared" si="1"/>
        <v/>
      </c>
      <c r="B760" s="156"/>
      <c r="C760" s="157"/>
      <c r="D760" s="156"/>
      <c r="E760" s="156"/>
      <c r="F760" s="156"/>
      <c r="G760" s="157"/>
      <c r="H760" s="156"/>
      <c r="I760" s="156"/>
      <c r="J760" s="157"/>
    </row>
    <row r="761">
      <c r="A761" s="159" t="str">
        <f t="shared" si="1"/>
        <v/>
      </c>
      <c r="B761" s="160"/>
      <c r="C761" s="161"/>
      <c r="D761" s="160"/>
      <c r="E761" s="160"/>
      <c r="F761" s="160"/>
      <c r="G761" s="161"/>
      <c r="H761" s="160"/>
      <c r="I761" s="160"/>
      <c r="J761" s="161"/>
    </row>
    <row r="762">
      <c r="A762" s="155" t="str">
        <f t="shared" si="1"/>
        <v/>
      </c>
      <c r="B762" s="156"/>
      <c r="C762" s="157"/>
      <c r="D762" s="156"/>
      <c r="E762" s="156"/>
      <c r="F762" s="156"/>
      <c r="G762" s="157"/>
      <c r="H762" s="156"/>
      <c r="I762" s="156"/>
      <c r="J762" s="157"/>
    </row>
    <row r="763">
      <c r="A763" s="159" t="str">
        <f t="shared" si="1"/>
        <v/>
      </c>
      <c r="B763" s="160"/>
      <c r="C763" s="161"/>
      <c r="D763" s="160"/>
      <c r="E763" s="160"/>
      <c r="F763" s="160"/>
      <c r="G763" s="161"/>
      <c r="H763" s="160"/>
      <c r="I763" s="160"/>
      <c r="J763" s="161"/>
    </row>
    <row r="764">
      <c r="A764" s="155" t="str">
        <f t="shared" si="1"/>
        <v/>
      </c>
      <c r="B764" s="156"/>
      <c r="C764" s="157"/>
      <c r="D764" s="156"/>
      <c r="E764" s="156"/>
      <c r="F764" s="156"/>
      <c r="G764" s="157"/>
      <c r="H764" s="156"/>
      <c r="I764" s="156"/>
      <c r="J764" s="157"/>
    </row>
    <row r="765">
      <c r="A765" s="159" t="str">
        <f t="shared" si="1"/>
        <v/>
      </c>
      <c r="B765" s="160"/>
      <c r="C765" s="161"/>
      <c r="D765" s="160"/>
      <c r="E765" s="160"/>
      <c r="F765" s="160"/>
      <c r="G765" s="161"/>
      <c r="H765" s="160"/>
      <c r="I765" s="160"/>
      <c r="J765" s="161"/>
    </row>
    <row r="766">
      <c r="A766" s="155" t="str">
        <f t="shared" si="1"/>
        <v/>
      </c>
      <c r="B766" s="156"/>
      <c r="C766" s="157"/>
      <c r="D766" s="156"/>
      <c r="E766" s="156"/>
      <c r="F766" s="156"/>
      <c r="G766" s="157"/>
      <c r="H766" s="156"/>
      <c r="I766" s="156"/>
      <c r="J766" s="157"/>
    </row>
    <row r="767">
      <c r="A767" s="159" t="str">
        <f t="shared" si="1"/>
        <v/>
      </c>
      <c r="B767" s="160"/>
      <c r="C767" s="161"/>
      <c r="D767" s="160"/>
      <c r="E767" s="160"/>
      <c r="F767" s="160"/>
      <c r="G767" s="161"/>
      <c r="H767" s="160"/>
      <c r="I767" s="160"/>
      <c r="J767" s="161"/>
    </row>
    <row r="768">
      <c r="A768" s="155" t="str">
        <f t="shared" si="1"/>
        <v/>
      </c>
      <c r="B768" s="156"/>
      <c r="C768" s="157"/>
      <c r="D768" s="156"/>
      <c r="E768" s="156"/>
      <c r="F768" s="156"/>
      <c r="G768" s="157"/>
      <c r="H768" s="156"/>
      <c r="I768" s="156"/>
      <c r="J768" s="157"/>
    </row>
    <row r="769">
      <c r="A769" s="159" t="str">
        <f t="shared" si="1"/>
        <v/>
      </c>
      <c r="B769" s="160"/>
      <c r="C769" s="161"/>
      <c r="D769" s="160"/>
      <c r="E769" s="160"/>
      <c r="F769" s="160"/>
      <c r="G769" s="161"/>
      <c r="H769" s="160"/>
      <c r="I769" s="160"/>
      <c r="J769" s="161"/>
    </row>
    <row r="770">
      <c r="A770" s="155" t="str">
        <f t="shared" si="1"/>
        <v/>
      </c>
      <c r="B770" s="156"/>
      <c r="C770" s="157"/>
      <c r="D770" s="156"/>
      <c r="E770" s="156"/>
      <c r="F770" s="156"/>
      <c r="G770" s="157"/>
      <c r="H770" s="156"/>
      <c r="I770" s="156"/>
      <c r="J770" s="157"/>
    </row>
    <row r="771">
      <c r="A771" s="159" t="str">
        <f t="shared" si="1"/>
        <v/>
      </c>
      <c r="B771" s="160"/>
      <c r="C771" s="161"/>
      <c r="D771" s="160"/>
      <c r="E771" s="160"/>
      <c r="F771" s="160"/>
      <c r="G771" s="161"/>
      <c r="H771" s="160"/>
      <c r="I771" s="160"/>
      <c r="J771" s="161"/>
    </row>
    <row r="772">
      <c r="A772" s="155" t="str">
        <f t="shared" si="1"/>
        <v/>
      </c>
      <c r="B772" s="156"/>
      <c r="C772" s="157"/>
      <c r="D772" s="156"/>
      <c r="E772" s="156"/>
      <c r="F772" s="156"/>
      <c r="G772" s="157"/>
      <c r="H772" s="156"/>
      <c r="I772" s="156"/>
      <c r="J772" s="157"/>
    </row>
    <row r="773">
      <c r="A773" s="159" t="str">
        <f t="shared" si="1"/>
        <v/>
      </c>
      <c r="B773" s="160"/>
      <c r="C773" s="161"/>
      <c r="D773" s="160"/>
      <c r="E773" s="160"/>
      <c r="F773" s="160"/>
      <c r="G773" s="161"/>
      <c r="H773" s="160"/>
      <c r="I773" s="160"/>
      <c r="J773" s="161"/>
    </row>
    <row r="774">
      <c r="A774" s="155" t="str">
        <f t="shared" si="1"/>
        <v/>
      </c>
      <c r="B774" s="156"/>
      <c r="C774" s="157"/>
      <c r="D774" s="156"/>
      <c r="E774" s="156"/>
      <c r="F774" s="156"/>
      <c r="G774" s="157"/>
      <c r="H774" s="156"/>
      <c r="I774" s="156"/>
      <c r="J774" s="157"/>
    </row>
    <row r="775">
      <c r="A775" s="159" t="str">
        <f t="shared" si="1"/>
        <v/>
      </c>
      <c r="B775" s="160"/>
      <c r="C775" s="161"/>
      <c r="D775" s="160"/>
      <c r="E775" s="160"/>
      <c r="F775" s="160"/>
      <c r="G775" s="161"/>
      <c r="H775" s="160"/>
      <c r="I775" s="160"/>
      <c r="J775" s="161"/>
    </row>
    <row r="776">
      <c r="A776" s="155" t="str">
        <f t="shared" si="1"/>
        <v/>
      </c>
      <c r="B776" s="156"/>
      <c r="C776" s="157"/>
      <c r="D776" s="156"/>
      <c r="E776" s="156"/>
      <c r="F776" s="156"/>
      <c r="G776" s="157"/>
      <c r="H776" s="156"/>
      <c r="I776" s="156"/>
      <c r="J776" s="157"/>
    </row>
    <row r="777">
      <c r="A777" s="159" t="str">
        <f t="shared" si="1"/>
        <v/>
      </c>
      <c r="B777" s="160"/>
      <c r="C777" s="161"/>
      <c r="D777" s="160"/>
      <c r="E777" s="160"/>
      <c r="F777" s="160"/>
      <c r="G777" s="161"/>
      <c r="H777" s="160"/>
      <c r="I777" s="160"/>
      <c r="J777" s="161"/>
    </row>
    <row r="778">
      <c r="A778" s="155" t="str">
        <f t="shared" si="1"/>
        <v/>
      </c>
      <c r="B778" s="156"/>
      <c r="C778" s="157"/>
      <c r="D778" s="156"/>
      <c r="E778" s="156"/>
      <c r="F778" s="156"/>
      <c r="G778" s="157"/>
      <c r="H778" s="156"/>
      <c r="I778" s="156"/>
      <c r="J778" s="157"/>
    </row>
    <row r="779">
      <c r="A779" s="159" t="str">
        <f t="shared" si="1"/>
        <v/>
      </c>
      <c r="B779" s="160"/>
      <c r="C779" s="161"/>
      <c r="D779" s="160"/>
      <c r="E779" s="160"/>
      <c r="F779" s="160"/>
      <c r="G779" s="161"/>
      <c r="H779" s="160"/>
      <c r="I779" s="160"/>
      <c r="J779" s="161"/>
    </row>
    <row r="780">
      <c r="A780" s="155" t="str">
        <f t="shared" si="1"/>
        <v/>
      </c>
      <c r="B780" s="156"/>
      <c r="C780" s="157"/>
      <c r="D780" s="156"/>
      <c r="E780" s="156"/>
      <c r="F780" s="156"/>
      <c r="G780" s="157"/>
      <c r="H780" s="156"/>
      <c r="I780" s="156"/>
      <c r="J780" s="157"/>
    </row>
    <row r="781">
      <c r="A781" s="159" t="str">
        <f t="shared" si="1"/>
        <v/>
      </c>
      <c r="B781" s="160"/>
      <c r="C781" s="161"/>
      <c r="D781" s="160"/>
      <c r="E781" s="160"/>
      <c r="F781" s="160"/>
      <c r="G781" s="161"/>
      <c r="H781" s="160"/>
      <c r="I781" s="160"/>
      <c r="J781" s="161"/>
    </row>
    <row r="782">
      <c r="A782" s="155" t="str">
        <f t="shared" si="1"/>
        <v/>
      </c>
      <c r="B782" s="156"/>
      <c r="C782" s="157"/>
      <c r="D782" s="156"/>
      <c r="E782" s="156"/>
      <c r="F782" s="156"/>
      <c r="G782" s="157"/>
      <c r="H782" s="156"/>
      <c r="I782" s="156"/>
      <c r="J782" s="157"/>
    </row>
    <row r="783">
      <c r="A783" s="159" t="str">
        <f t="shared" si="1"/>
        <v/>
      </c>
      <c r="B783" s="160"/>
      <c r="C783" s="161"/>
      <c r="D783" s="160"/>
      <c r="E783" s="160"/>
      <c r="F783" s="160"/>
      <c r="G783" s="161"/>
      <c r="H783" s="160"/>
      <c r="I783" s="160"/>
      <c r="J783" s="161"/>
    </row>
    <row r="784">
      <c r="A784" s="155" t="str">
        <f t="shared" si="1"/>
        <v/>
      </c>
      <c r="B784" s="156"/>
      <c r="C784" s="157"/>
      <c r="D784" s="156"/>
      <c r="E784" s="156"/>
      <c r="F784" s="156"/>
      <c r="G784" s="157"/>
      <c r="H784" s="156"/>
      <c r="I784" s="156"/>
      <c r="J784" s="157"/>
    </row>
    <row r="785">
      <c r="A785" s="159" t="str">
        <f t="shared" si="1"/>
        <v/>
      </c>
      <c r="B785" s="160"/>
      <c r="C785" s="161"/>
      <c r="D785" s="160"/>
      <c r="E785" s="160"/>
      <c r="F785" s="160"/>
      <c r="G785" s="161"/>
      <c r="H785" s="160"/>
      <c r="I785" s="160"/>
      <c r="J785" s="161"/>
    </row>
    <row r="786">
      <c r="A786" s="155" t="str">
        <f t="shared" si="1"/>
        <v/>
      </c>
      <c r="B786" s="156"/>
      <c r="C786" s="157"/>
      <c r="D786" s="156"/>
      <c r="E786" s="156"/>
      <c r="F786" s="156"/>
      <c r="G786" s="157"/>
      <c r="H786" s="156"/>
      <c r="I786" s="156"/>
      <c r="J786" s="157"/>
    </row>
    <row r="787">
      <c r="A787" s="159" t="str">
        <f t="shared" si="1"/>
        <v/>
      </c>
      <c r="B787" s="160"/>
      <c r="C787" s="161"/>
      <c r="D787" s="160"/>
      <c r="E787" s="160"/>
      <c r="F787" s="160"/>
      <c r="G787" s="161"/>
      <c r="H787" s="160"/>
      <c r="I787" s="160"/>
      <c r="J787" s="161"/>
    </row>
    <row r="788">
      <c r="A788" s="155" t="str">
        <f t="shared" si="1"/>
        <v/>
      </c>
      <c r="B788" s="156"/>
      <c r="C788" s="157"/>
      <c r="D788" s="156"/>
      <c r="E788" s="156"/>
      <c r="F788" s="156"/>
      <c r="G788" s="157"/>
      <c r="H788" s="156"/>
      <c r="I788" s="156"/>
      <c r="J788" s="157"/>
    </row>
    <row r="789">
      <c r="A789" s="159" t="str">
        <f t="shared" si="1"/>
        <v/>
      </c>
      <c r="B789" s="160"/>
      <c r="C789" s="161"/>
      <c r="D789" s="160"/>
      <c r="E789" s="160"/>
      <c r="F789" s="160"/>
      <c r="G789" s="161"/>
      <c r="H789" s="160"/>
      <c r="I789" s="160"/>
      <c r="J789" s="161"/>
    </row>
    <row r="790">
      <c r="A790" s="155" t="str">
        <f t="shared" si="1"/>
        <v/>
      </c>
      <c r="B790" s="156"/>
      <c r="C790" s="157"/>
      <c r="D790" s="156"/>
      <c r="E790" s="156"/>
      <c r="F790" s="156"/>
      <c r="G790" s="157"/>
      <c r="H790" s="156"/>
      <c r="I790" s="156"/>
      <c r="J790" s="157"/>
    </row>
    <row r="791">
      <c r="A791" s="159" t="str">
        <f t="shared" si="1"/>
        <v/>
      </c>
      <c r="B791" s="160"/>
      <c r="C791" s="161"/>
      <c r="D791" s="160"/>
      <c r="E791" s="160"/>
      <c r="F791" s="160"/>
      <c r="G791" s="161"/>
      <c r="H791" s="160"/>
      <c r="I791" s="160"/>
      <c r="J791" s="161"/>
    </row>
    <row r="792">
      <c r="A792" s="155" t="str">
        <f t="shared" si="1"/>
        <v/>
      </c>
      <c r="B792" s="156"/>
      <c r="C792" s="157"/>
      <c r="D792" s="156"/>
      <c r="E792" s="156"/>
      <c r="F792" s="156"/>
      <c r="G792" s="157"/>
      <c r="H792" s="156"/>
      <c r="I792" s="156"/>
      <c r="J792" s="157"/>
    </row>
    <row r="793">
      <c r="A793" s="159" t="str">
        <f t="shared" si="1"/>
        <v/>
      </c>
      <c r="B793" s="160"/>
      <c r="C793" s="161"/>
      <c r="D793" s="160"/>
      <c r="E793" s="160"/>
      <c r="F793" s="160"/>
      <c r="G793" s="161"/>
      <c r="H793" s="160"/>
      <c r="I793" s="160"/>
      <c r="J793" s="161"/>
    </row>
    <row r="794">
      <c r="A794" s="155" t="str">
        <f t="shared" si="1"/>
        <v/>
      </c>
      <c r="B794" s="156"/>
      <c r="C794" s="157"/>
      <c r="D794" s="156"/>
      <c r="E794" s="156"/>
      <c r="F794" s="156"/>
      <c r="G794" s="157"/>
      <c r="H794" s="156"/>
      <c r="I794" s="156"/>
      <c r="J794" s="157"/>
    </row>
    <row r="795">
      <c r="A795" s="159" t="str">
        <f t="shared" si="1"/>
        <v/>
      </c>
      <c r="B795" s="160"/>
      <c r="C795" s="161"/>
      <c r="D795" s="160"/>
      <c r="E795" s="160"/>
      <c r="F795" s="160"/>
      <c r="G795" s="161"/>
      <c r="H795" s="160"/>
      <c r="I795" s="160"/>
      <c r="J795" s="161"/>
    </row>
    <row r="796">
      <c r="A796" s="155" t="str">
        <f t="shared" si="1"/>
        <v/>
      </c>
      <c r="B796" s="156"/>
      <c r="C796" s="157"/>
      <c r="D796" s="156"/>
      <c r="E796" s="156"/>
      <c r="F796" s="156"/>
      <c r="G796" s="157"/>
      <c r="H796" s="156"/>
      <c r="I796" s="156"/>
      <c r="J796" s="157"/>
    </row>
    <row r="797">
      <c r="A797" s="159" t="str">
        <f t="shared" si="1"/>
        <v/>
      </c>
      <c r="B797" s="160"/>
      <c r="C797" s="161"/>
      <c r="D797" s="160"/>
      <c r="E797" s="160"/>
      <c r="F797" s="160"/>
      <c r="G797" s="161"/>
      <c r="H797" s="160"/>
      <c r="I797" s="160"/>
      <c r="J797" s="161"/>
    </row>
    <row r="798">
      <c r="A798" s="155" t="str">
        <f t="shared" si="1"/>
        <v/>
      </c>
      <c r="B798" s="156"/>
      <c r="C798" s="157"/>
      <c r="D798" s="156"/>
      <c r="E798" s="156"/>
      <c r="F798" s="156"/>
      <c r="G798" s="157"/>
      <c r="H798" s="156"/>
      <c r="I798" s="156"/>
      <c r="J798" s="157"/>
    </row>
    <row r="799">
      <c r="A799" s="159" t="str">
        <f t="shared" si="1"/>
        <v/>
      </c>
      <c r="B799" s="160"/>
      <c r="C799" s="161"/>
      <c r="D799" s="160"/>
      <c r="E799" s="160"/>
      <c r="F799" s="160"/>
      <c r="G799" s="161"/>
      <c r="H799" s="160"/>
      <c r="I799" s="160"/>
      <c r="J799" s="161"/>
    </row>
    <row r="800">
      <c r="A800" s="155" t="str">
        <f t="shared" si="1"/>
        <v/>
      </c>
      <c r="B800" s="156"/>
      <c r="C800" s="157"/>
      <c r="D800" s="156"/>
      <c r="E800" s="156"/>
      <c r="F800" s="156"/>
      <c r="G800" s="157"/>
      <c r="H800" s="156"/>
      <c r="I800" s="156"/>
      <c r="J800" s="157"/>
    </row>
    <row r="801">
      <c r="A801" s="159" t="str">
        <f t="shared" si="1"/>
        <v/>
      </c>
      <c r="B801" s="160"/>
      <c r="C801" s="161"/>
      <c r="D801" s="160"/>
      <c r="E801" s="160"/>
      <c r="F801" s="160"/>
      <c r="G801" s="161"/>
      <c r="H801" s="160"/>
      <c r="I801" s="160"/>
      <c r="J801" s="161"/>
    </row>
    <row r="802">
      <c r="A802" s="155" t="str">
        <f t="shared" si="1"/>
        <v/>
      </c>
      <c r="B802" s="156"/>
      <c r="C802" s="157"/>
      <c r="D802" s="156"/>
      <c r="E802" s="156"/>
      <c r="F802" s="156"/>
      <c r="G802" s="157"/>
      <c r="H802" s="156"/>
      <c r="I802" s="156"/>
      <c r="J802" s="157"/>
    </row>
    <row r="803">
      <c r="A803" s="159" t="str">
        <f t="shared" si="1"/>
        <v/>
      </c>
      <c r="B803" s="160"/>
      <c r="C803" s="161"/>
      <c r="D803" s="160"/>
      <c r="E803" s="160"/>
      <c r="F803" s="160"/>
      <c r="G803" s="161"/>
      <c r="H803" s="160"/>
      <c r="I803" s="160"/>
      <c r="J803" s="161"/>
    </row>
    <row r="804">
      <c r="A804" s="155" t="str">
        <f t="shared" si="1"/>
        <v/>
      </c>
      <c r="B804" s="156"/>
      <c r="C804" s="157"/>
      <c r="D804" s="156"/>
      <c r="E804" s="156"/>
      <c r="F804" s="156"/>
      <c r="G804" s="157"/>
      <c r="H804" s="156"/>
      <c r="I804" s="156"/>
      <c r="J804" s="157"/>
    </row>
    <row r="805">
      <c r="A805" s="159" t="str">
        <f t="shared" si="1"/>
        <v/>
      </c>
      <c r="B805" s="160"/>
      <c r="C805" s="161"/>
      <c r="D805" s="160"/>
      <c r="E805" s="160"/>
      <c r="F805" s="160"/>
      <c r="G805" s="161"/>
      <c r="H805" s="160"/>
      <c r="I805" s="160"/>
      <c r="J805" s="161"/>
    </row>
    <row r="806">
      <c r="A806" s="155" t="str">
        <f t="shared" si="1"/>
        <v/>
      </c>
      <c r="B806" s="156"/>
      <c r="C806" s="157"/>
      <c r="D806" s="156"/>
      <c r="E806" s="156"/>
      <c r="F806" s="156"/>
      <c r="G806" s="157"/>
      <c r="H806" s="156"/>
      <c r="I806" s="156"/>
      <c r="J806" s="157"/>
    </row>
    <row r="807">
      <c r="A807" s="159" t="str">
        <f t="shared" si="1"/>
        <v/>
      </c>
      <c r="B807" s="160"/>
      <c r="C807" s="161"/>
      <c r="D807" s="160"/>
      <c r="E807" s="160"/>
      <c r="F807" s="160"/>
      <c r="G807" s="161"/>
      <c r="H807" s="160"/>
      <c r="I807" s="160"/>
      <c r="J807" s="161"/>
    </row>
    <row r="808">
      <c r="A808" s="155" t="str">
        <f t="shared" si="1"/>
        <v/>
      </c>
      <c r="B808" s="156"/>
      <c r="C808" s="157"/>
      <c r="D808" s="156"/>
      <c r="E808" s="156"/>
      <c r="F808" s="156"/>
      <c r="G808" s="157"/>
      <c r="H808" s="156"/>
      <c r="I808" s="156"/>
      <c r="J808" s="157"/>
    </row>
    <row r="809">
      <c r="A809" s="159" t="str">
        <f t="shared" si="1"/>
        <v/>
      </c>
      <c r="B809" s="160"/>
      <c r="C809" s="161"/>
      <c r="D809" s="160"/>
      <c r="E809" s="160"/>
      <c r="F809" s="160"/>
      <c r="G809" s="161"/>
      <c r="H809" s="160"/>
      <c r="I809" s="160"/>
      <c r="J809" s="161"/>
    </row>
    <row r="810">
      <c r="A810" s="155" t="str">
        <f t="shared" si="1"/>
        <v/>
      </c>
      <c r="B810" s="156"/>
      <c r="C810" s="157"/>
      <c r="D810" s="156"/>
      <c r="E810" s="156"/>
      <c r="F810" s="156"/>
      <c r="G810" s="157"/>
      <c r="H810" s="156"/>
      <c r="I810" s="156"/>
      <c r="J810" s="157"/>
    </row>
    <row r="811">
      <c r="A811" s="159" t="str">
        <f t="shared" si="1"/>
        <v/>
      </c>
      <c r="B811" s="160"/>
      <c r="C811" s="161"/>
      <c r="D811" s="160"/>
      <c r="E811" s="160"/>
      <c r="F811" s="160"/>
      <c r="G811" s="161"/>
      <c r="H811" s="160"/>
      <c r="I811" s="160"/>
      <c r="J811" s="161"/>
    </row>
    <row r="812">
      <c r="A812" s="155" t="str">
        <f t="shared" si="1"/>
        <v/>
      </c>
      <c r="B812" s="156"/>
      <c r="C812" s="157"/>
      <c r="D812" s="156"/>
      <c r="E812" s="156"/>
      <c r="F812" s="156"/>
      <c r="G812" s="157"/>
      <c r="H812" s="156"/>
      <c r="I812" s="156"/>
      <c r="J812" s="157"/>
    </row>
    <row r="813">
      <c r="A813" s="159" t="str">
        <f t="shared" si="1"/>
        <v/>
      </c>
      <c r="B813" s="160"/>
      <c r="C813" s="161"/>
      <c r="D813" s="160"/>
      <c r="E813" s="160"/>
      <c r="F813" s="160"/>
      <c r="G813" s="161"/>
      <c r="H813" s="160"/>
      <c r="I813" s="160"/>
      <c r="J813" s="161"/>
    </row>
    <row r="814">
      <c r="A814" s="155" t="str">
        <f t="shared" si="1"/>
        <v/>
      </c>
      <c r="B814" s="156"/>
      <c r="C814" s="157"/>
      <c r="D814" s="156"/>
      <c r="E814" s="156"/>
      <c r="F814" s="156"/>
      <c r="G814" s="157"/>
      <c r="H814" s="156"/>
      <c r="I814" s="156"/>
      <c r="J814" s="157"/>
    </row>
    <row r="815">
      <c r="A815" s="159" t="str">
        <f t="shared" si="1"/>
        <v/>
      </c>
      <c r="B815" s="160"/>
      <c r="C815" s="161"/>
      <c r="D815" s="160"/>
      <c r="E815" s="160"/>
      <c r="F815" s="160"/>
      <c r="G815" s="161"/>
      <c r="H815" s="160"/>
      <c r="I815" s="160"/>
      <c r="J815" s="161"/>
    </row>
    <row r="816">
      <c r="A816" s="155" t="str">
        <f t="shared" si="1"/>
        <v/>
      </c>
      <c r="B816" s="156"/>
      <c r="C816" s="157"/>
      <c r="D816" s="156"/>
      <c r="E816" s="156"/>
      <c r="F816" s="156"/>
      <c r="G816" s="157"/>
      <c r="H816" s="156"/>
      <c r="I816" s="156"/>
      <c r="J816" s="157"/>
    </row>
    <row r="817">
      <c r="A817" s="159" t="str">
        <f t="shared" si="1"/>
        <v/>
      </c>
      <c r="B817" s="160"/>
      <c r="C817" s="161"/>
      <c r="D817" s="160"/>
      <c r="E817" s="160"/>
      <c r="F817" s="160"/>
      <c r="G817" s="161"/>
      <c r="H817" s="160"/>
      <c r="I817" s="160"/>
      <c r="J817" s="161"/>
    </row>
    <row r="818">
      <c r="A818" s="155" t="str">
        <f t="shared" si="1"/>
        <v/>
      </c>
      <c r="B818" s="156"/>
      <c r="C818" s="157"/>
      <c r="D818" s="156"/>
      <c r="E818" s="156"/>
      <c r="F818" s="156"/>
      <c r="G818" s="157"/>
      <c r="H818" s="156"/>
      <c r="I818" s="156"/>
      <c r="J818" s="157"/>
    </row>
    <row r="819">
      <c r="A819" s="159" t="str">
        <f t="shared" si="1"/>
        <v/>
      </c>
      <c r="B819" s="160"/>
      <c r="C819" s="161"/>
      <c r="D819" s="160"/>
      <c r="E819" s="160"/>
      <c r="F819" s="160"/>
      <c r="G819" s="161"/>
      <c r="H819" s="160"/>
      <c r="I819" s="160"/>
      <c r="J819" s="161"/>
    </row>
    <row r="820">
      <c r="A820" s="155" t="str">
        <f t="shared" si="1"/>
        <v/>
      </c>
      <c r="B820" s="156"/>
      <c r="C820" s="157"/>
      <c r="D820" s="156"/>
      <c r="E820" s="156"/>
      <c r="F820" s="156"/>
      <c r="G820" s="157"/>
      <c r="H820" s="156"/>
      <c r="I820" s="156"/>
      <c r="J820" s="157"/>
    </row>
    <row r="821">
      <c r="A821" s="159" t="str">
        <f t="shared" si="1"/>
        <v/>
      </c>
      <c r="B821" s="160"/>
      <c r="C821" s="161"/>
      <c r="D821" s="160"/>
      <c r="E821" s="160"/>
      <c r="F821" s="160"/>
      <c r="G821" s="161"/>
      <c r="H821" s="160"/>
      <c r="I821" s="160"/>
      <c r="J821" s="161"/>
    </row>
    <row r="822">
      <c r="A822" s="155" t="str">
        <f t="shared" si="1"/>
        <v/>
      </c>
      <c r="B822" s="156"/>
      <c r="C822" s="157"/>
      <c r="D822" s="156"/>
      <c r="E822" s="156"/>
      <c r="F822" s="156"/>
      <c r="G822" s="157"/>
      <c r="H822" s="156"/>
      <c r="I822" s="156"/>
      <c r="J822" s="157"/>
    </row>
    <row r="823">
      <c r="A823" s="159" t="str">
        <f t="shared" si="1"/>
        <v/>
      </c>
      <c r="B823" s="160"/>
      <c r="C823" s="161"/>
      <c r="D823" s="160"/>
      <c r="E823" s="160"/>
      <c r="F823" s="160"/>
      <c r="G823" s="161"/>
      <c r="H823" s="160"/>
      <c r="I823" s="160"/>
      <c r="J823" s="161"/>
    </row>
    <row r="824">
      <c r="A824" s="155" t="str">
        <f t="shared" si="1"/>
        <v/>
      </c>
      <c r="B824" s="156"/>
      <c r="C824" s="157"/>
      <c r="D824" s="156"/>
      <c r="E824" s="156"/>
      <c r="F824" s="156"/>
      <c r="G824" s="157"/>
      <c r="H824" s="156"/>
      <c r="I824" s="156"/>
      <c r="J824" s="157"/>
    </row>
    <row r="825">
      <c r="A825" s="159" t="str">
        <f t="shared" si="1"/>
        <v/>
      </c>
      <c r="B825" s="160"/>
      <c r="C825" s="161"/>
      <c r="D825" s="160"/>
      <c r="E825" s="160"/>
      <c r="F825" s="160"/>
      <c r="G825" s="161"/>
      <c r="H825" s="160"/>
      <c r="I825" s="160"/>
      <c r="J825" s="161"/>
    </row>
    <row r="826">
      <c r="A826" s="155" t="str">
        <f t="shared" si="1"/>
        <v/>
      </c>
      <c r="B826" s="156"/>
      <c r="C826" s="157"/>
      <c r="D826" s="156"/>
      <c r="E826" s="156"/>
      <c r="F826" s="156"/>
      <c r="G826" s="157"/>
      <c r="H826" s="156"/>
      <c r="I826" s="156"/>
      <c r="J826" s="157"/>
    </row>
    <row r="827">
      <c r="A827" s="159" t="str">
        <f t="shared" si="1"/>
        <v/>
      </c>
      <c r="B827" s="160"/>
      <c r="C827" s="161"/>
      <c r="D827" s="160"/>
      <c r="E827" s="160"/>
      <c r="F827" s="160"/>
      <c r="G827" s="161"/>
      <c r="H827" s="160"/>
      <c r="I827" s="160"/>
      <c r="J827" s="161"/>
    </row>
    <row r="828">
      <c r="A828" s="155" t="str">
        <f t="shared" si="1"/>
        <v/>
      </c>
      <c r="B828" s="156"/>
      <c r="C828" s="157"/>
      <c r="D828" s="156"/>
      <c r="E828" s="156"/>
      <c r="F828" s="156"/>
      <c r="G828" s="157"/>
      <c r="H828" s="156"/>
      <c r="I828" s="156"/>
      <c r="J828" s="157"/>
    </row>
    <row r="829">
      <c r="A829" s="159" t="str">
        <f t="shared" si="1"/>
        <v/>
      </c>
      <c r="B829" s="160"/>
      <c r="C829" s="161"/>
      <c r="D829" s="160"/>
      <c r="E829" s="160"/>
      <c r="F829" s="160"/>
      <c r="G829" s="161"/>
      <c r="H829" s="160"/>
      <c r="I829" s="160"/>
      <c r="J829" s="161"/>
    </row>
    <row r="830">
      <c r="A830" s="155" t="str">
        <f t="shared" si="1"/>
        <v/>
      </c>
      <c r="B830" s="156"/>
      <c r="C830" s="157"/>
      <c r="D830" s="156"/>
      <c r="E830" s="156"/>
      <c r="F830" s="156"/>
      <c r="G830" s="157"/>
      <c r="H830" s="156"/>
      <c r="I830" s="156"/>
      <c r="J830" s="157"/>
    </row>
    <row r="831">
      <c r="A831" s="159" t="str">
        <f t="shared" si="1"/>
        <v/>
      </c>
      <c r="B831" s="160"/>
      <c r="C831" s="161"/>
      <c r="D831" s="160"/>
      <c r="E831" s="160"/>
      <c r="F831" s="160"/>
      <c r="G831" s="161"/>
      <c r="H831" s="160"/>
      <c r="I831" s="160"/>
      <c r="J831" s="161"/>
    </row>
    <row r="832">
      <c r="A832" s="155" t="str">
        <f t="shared" si="1"/>
        <v/>
      </c>
      <c r="B832" s="156"/>
      <c r="C832" s="157"/>
      <c r="D832" s="156"/>
      <c r="E832" s="156"/>
      <c r="F832" s="156"/>
      <c r="G832" s="157"/>
      <c r="H832" s="156"/>
      <c r="I832" s="156"/>
      <c r="J832" s="157"/>
    </row>
    <row r="833">
      <c r="A833" s="159" t="str">
        <f t="shared" si="1"/>
        <v/>
      </c>
      <c r="B833" s="160"/>
      <c r="C833" s="161"/>
      <c r="D833" s="160"/>
      <c r="E833" s="160"/>
      <c r="F833" s="160"/>
      <c r="G833" s="161"/>
      <c r="H833" s="160"/>
      <c r="I833" s="160"/>
      <c r="J833" s="161"/>
    </row>
    <row r="834">
      <c r="A834" s="155" t="str">
        <f t="shared" si="1"/>
        <v/>
      </c>
      <c r="B834" s="156"/>
      <c r="C834" s="157"/>
      <c r="D834" s="156"/>
      <c r="E834" s="156"/>
      <c r="F834" s="156"/>
      <c r="G834" s="157"/>
      <c r="H834" s="156"/>
      <c r="I834" s="156"/>
      <c r="J834" s="157"/>
    </row>
    <row r="835">
      <c r="A835" s="159" t="str">
        <f t="shared" si="1"/>
        <v/>
      </c>
      <c r="B835" s="160"/>
      <c r="C835" s="161"/>
      <c r="D835" s="160"/>
      <c r="E835" s="160"/>
      <c r="F835" s="160"/>
      <c r="G835" s="161"/>
      <c r="H835" s="160"/>
      <c r="I835" s="160"/>
      <c r="J835" s="161"/>
    </row>
    <row r="836">
      <c r="A836" s="155" t="str">
        <f t="shared" si="1"/>
        <v/>
      </c>
      <c r="B836" s="156"/>
      <c r="C836" s="157"/>
      <c r="D836" s="156"/>
      <c r="E836" s="156"/>
      <c r="F836" s="156"/>
      <c r="G836" s="157"/>
      <c r="H836" s="156"/>
      <c r="I836" s="156"/>
      <c r="J836" s="157"/>
    </row>
    <row r="837">
      <c r="A837" s="159" t="str">
        <f t="shared" si="1"/>
        <v/>
      </c>
      <c r="B837" s="160"/>
      <c r="C837" s="161"/>
      <c r="D837" s="160"/>
      <c r="E837" s="160"/>
      <c r="F837" s="160"/>
      <c r="G837" s="161"/>
      <c r="H837" s="160"/>
      <c r="I837" s="160"/>
      <c r="J837" s="161"/>
    </row>
    <row r="838">
      <c r="A838" s="155" t="str">
        <f t="shared" si="1"/>
        <v/>
      </c>
      <c r="B838" s="156"/>
      <c r="C838" s="157"/>
      <c r="D838" s="156"/>
      <c r="E838" s="156"/>
      <c r="F838" s="156"/>
      <c r="G838" s="157"/>
      <c r="H838" s="156"/>
      <c r="I838" s="156"/>
      <c r="J838" s="157"/>
    </row>
    <row r="839">
      <c r="A839" s="159" t="str">
        <f t="shared" si="1"/>
        <v/>
      </c>
      <c r="B839" s="160"/>
      <c r="C839" s="161"/>
      <c r="D839" s="160"/>
      <c r="E839" s="160"/>
      <c r="F839" s="160"/>
      <c r="G839" s="161"/>
      <c r="H839" s="160"/>
      <c r="I839" s="160"/>
      <c r="J839" s="161"/>
    </row>
    <row r="840">
      <c r="A840" s="155" t="str">
        <f t="shared" si="1"/>
        <v/>
      </c>
      <c r="B840" s="156"/>
      <c r="C840" s="157"/>
      <c r="D840" s="156"/>
      <c r="E840" s="156"/>
      <c r="F840" s="156"/>
      <c r="G840" s="157"/>
      <c r="H840" s="156"/>
      <c r="I840" s="156"/>
      <c r="J840" s="157"/>
    </row>
    <row r="841">
      <c r="A841" s="159" t="str">
        <f t="shared" si="1"/>
        <v/>
      </c>
      <c r="B841" s="160"/>
      <c r="C841" s="161"/>
      <c r="D841" s="160"/>
      <c r="E841" s="160"/>
      <c r="F841" s="160"/>
      <c r="G841" s="161"/>
      <c r="H841" s="160"/>
      <c r="I841" s="160"/>
      <c r="J841" s="161"/>
    </row>
    <row r="842">
      <c r="A842" s="155" t="str">
        <f t="shared" si="1"/>
        <v/>
      </c>
      <c r="B842" s="156"/>
      <c r="C842" s="157"/>
      <c r="D842" s="156"/>
      <c r="E842" s="156"/>
      <c r="F842" s="156"/>
      <c r="G842" s="157"/>
      <c r="H842" s="156"/>
      <c r="I842" s="156"/>
      <c r="J842" s="157"/>
    </row>
    <row r="843">
      <c r="A843" s="159" t="str">
        <f t="shared" si="1"/>
        <v/>
      </c>
      <c r="B843" s="160"/>
      <c r="C843" s="161"/>
      <c r="D843" s="160"/>
      <c r="E843" s="160"/>
      <c r="F843" s="160"/>
      <c r="G843" s="161"/>
      <c r="H843" s="160"/>
      <c r="I843" s="160"/>
      <c r="J843" s="161"/>
    </row>
    <row r="844">
      <c r="A844" s="155" t="str">
        <f t="shared" si="1"/>
        <v/>
      </c>
      <c r="B844" s="156"/>
      <c r="C844" s="157"/>
      <c r="D844" s="156"/>
      <c r="E844" s="156"/>
      <c r="F844" s="156"/>
      <c r="G844" s="157"/>
      <c r="H844" s="156"/>
      <c r="I844" s="156"/>
      <c r="J844" s="157"/>
    </row>
    <row r="845">
      <c r="A845" s="159" t="str">
        <f t="shared" si="1"/>
        <v/>
      </c>
      <c r="B845" s="160"/>
      <c r="C845" s="161"/>
      <c r="D845" s="160"/>
      <c r="E845" s="160"/>
      <c r="F845" s="160"/>
      <c r="G845" s="161"/>
      <c r="H845" s="160"/>
      <c r="I845" s="160"/>
      <c r="J845" s="161"/>
    </row>
    <row r="846">
      <c r="A846" s="155" t="str">
        <f t="shared" si="1"/>
        <v/>
      </c>
      <c r="B846" s="156"/>
      <c r="C846" s="157"/>
      <c r="D846" s="156"/>
      <c r="E846" s="156"/>
      <c r="F846" s="156"/>
      <c r="G846" s="157"/>
      <c r="H846" s="156"/>
      <c r="I846" s="156"/>
      <c r="J846" s="157"/>
    </row>
    <row r="847">
      <c r="A847" s="159" t="str">
        <f t="shared" si="1"/>
        <v/>
      </c>
      <c r="B847" s="160"/>
      <c r="C847" s="161"/>
      <c r="D847" s="160"/>
      <c r="E847" s="160"/>
      <c r="F847" s="160"/>
      <c r="G847" s="161"/>
      <c r="H847" s="160"/>
      <c r="I847" s="160"/>
      <c r="J847" s="161"/>
    </row>
    <row r="848">
      <c r="A848" s="155" t="str">
        <f t="shared" si="1"/>
        <v/>
      </c>
      <c r="B848" s="156"/>
      <c r="C848" s="157"/>
      <c r="D848" s="156"/>
      <c r="E848" s="156"/>
      <c r="F848" s="156"/>
      <c r="G848" s="157"/>
      <c r="H848" s="156"/>
      <c r="I848" s="156"/>
      <c r="J848" s="157"/>
    </row>
    <row r="849">
      <c r="A849" s="159" t="str">
        <f t="shared" si="1"/>
        <v/>
      </c>
      <c r="B849" s="160"/>
      <c r="C849" s="161"/>
      <c r="D849" s="160"/>
      <c r="E849" s="160"/>
      <c r="F849" s="160"/>
      <c r="G849" s="161"/>
      <c r="H849" s="160"/>
      <c r="I849" s="160"/>
      <c r="J849" s="161"/>
    </row>
    <row r="850">
      <c r="A850" s="155" t="str">
        <f t="shared" si="1"/>
        <v/>
      </c>
      <c r="B850" s="156"/>
      <c r="C850" s="157"/>
      <c r="D850" s="156"/>
      <c r="E850" s="156"/>
      <c r="F850" s="156"/>
      <c r="G850" s="157"/>
      <c r="H850" s="156"/>
      <c r="I850" s="156"/>
      <c r="J850" s="157"/>
    </row>
    <row r="851">
      <c r="A851" s="159" t="str">
        <f t="shared" si="1"/>
        <v/>
      </c>
      <c r="B851" s="160"/>
      <c r="C851" s="161"/>
      <c r="D851" s="160"/>
      <c r="E851" s="160"/>
      <c r="F851" s="160"/>
      <c r="G851" s="161"/>
      <c r="H851" s="160"/>
      <c r="I851" s="160"/>
      <c r="J851" s="161"/>
    </row>
    <row r="852">
      <c r="A852" s="155" t="str">
        <f t="shared" si="1"/>
        <v/>
      </c>
      <c r="B852" s="156"/>
      <c r="C852" s="157"/>
      <c r="D852" s="156"/>
      <c r="E852" s="156"/>
      <c r="F852" s="156"/>
      <c r="G852" s="157"/>
      <c r="H852" s="156"/>
      <c r="I852" s="156"/>
      <c r="J852" s="157"/>
    </row>
    <row r="853">
      <c r="A853" s="159" t="str">
        <f t="shared" si="1"/>
        <v/>
      </c>
      <c r="B853" s="160"/>
      <c r="C853" s="161"/>
      <c r="D853" s="160"/>
      <c r="E853" s="160"/>
      <c r="F853" s="160"/>
      <c r="G853" s="161"/>
      <c r="H853" s="160"/>
      <c r="I853" s="160"/>
      <c r="J853" s="161"/>
    </row>
    <row r="854">
      <c r="A854" s="155" t="str">
        <f t="shared" si="1"/>
        <v/>
      </c>
      <c r="B854" s="156"/>
      <c r="C854" s="157"/>
      <c r="D854" s="156"/>
      <c r="E854" s="156"/>
      <c r="F854" s="156"/>
      <c r="G854" s="157"/>
      <c r="H854" s="156"/>
      <c r="I854" s="156"/>
      <c r="J854" s="157"/>
    </row>
    <row r="855">
      <c r="A855" s="159" t="str">
        <f t="shared" si="1"/>
        <v/>
      </c>
      <c r="B855" s="160"/>
      <c r="C855" s="161"/>
      <c r="D855" s="160"/>
      <c r="E855" s="160"/>
      <c r="F855" s="160"/>
      <c r="G855" s="161"/>
      <c r="H855" s="160"/>
      <c r="I855" s="160"/>
      <c r="J855" s="161"/>
    </row>
    <row r="856">
      <c r="A856" s="155" t="str">
        <f t="shared" si="1"/>
        <v/>
      </c>
      <c r="B856" s="156"/>
      <c r="C856" s="157"/>
      <c r="D856" s="156"/>
      <c r="E856" s="156"/>
      <c r="F856" s="156"/>
      <c r="G856" s="157"/>
      <c r="H856" s="156"/>
      <c r="I856" s="156"/>
      <c r="J856" s="157"/>
    </row>
    <row r="857">
      <c r="A857" s="159" t="str">
        <f t="shared" si="1"/>
        <v/>
      </c>
      <c r="B857" s="160"/>
      <c r="C857" s="161"/>
      <c r="D857" s="160"/>
      <c r="E857" s="160"/>
      <c r="F857" s="160"/>
      <c r="G857" s="161"/>
      <c r="H857" s="160"/>
      <c r="I857" s="160"/>
      <c r="J857" s="161"/>
    </row>
    <row r="858">
      <c r="A858" s="155" t="str">
        <f t="shared" si="1"/>
        <v/>
      </c>
      <c r="B858" s="156"/>
      <c r="C858" s="157"/>
      <c r="D858" s="156"/>
      <c r="E858" s="156"/>
      <c r="F858" s="156"/>
      <c r="G858" s="157"/>
      <c r="H858" s="156"/>
      <c r="I858" s="156"/>
      <c r="J858" s="157"/>
    </row>
    <row r="859">
      <c r="A859" s="159" t="str">
        <f t="shared" si="1"/>
        <v/>
      </c>
      <c r="B859" s="160"/>
      <c r="C859" s="161"/>
      <c r="D859" s="160"/>
      <c r="E859" s="160"/>
      <c r="F859" s="160"/>
      <c r="G859" s="161"/>
      <c r="H859" s="160"/>
      <c r="I859" s="160"/>
      <c r="J859" s="161"/>
    </row>
    <row r="860">
      <c r="A860" s="155" t="str">
        <f t="shared" si="1"/>
        <v/>
      </c>
      <c r="B860" s="156"/>
      <c r="C860" s="157"/>
      <c r="D860" s="156"/>
      <c r="E860" s="156"/>
      <c r="F860" s="156"/>
      <c r="G860" s="157"/>
      <c r="H860" s="156"/>
      <c r="I860" s="156"/>
      <c r="J860" s="157"/>
    </row>
    <row r="861">
      <c r="A861" s="159" t="str">
        <f t="shared" si="1"/>
        <v/>
      </c>
      <c r="B861" s="160"/>
      <c r="C861" s="161"/>
      <c r="D861" s="160"/>
      <c r="E861" s="160"/>
      <c r="F861" s="160"/>
      <c r="G861" s="161"/>
      <c r="H861" s="160"/>
      <c r="I861" s="160"/>
      <c r="J861" s="161"/>
    </row>
    <row r="862">
      <c r="A862" s="155" t="str">
        <f t="shared" si="1"/>
        <v/>
      </c>
      <c r="B862" s="156"/>
      <c r="C862" s="157"/>
      <c r="D862" s="156"/>
      <c r="E862" s="156"/>
      <c r="F862" s="156"/>
      <c r="G862" s="157"/>
      <c r="H862" s="156"/>
      <c r="I862" s="156"/>
      <c r="J862" s="157"/>
    </row>
    <row r="863">
      <c r="A863" s="159" t="str">
        <f t="shared" si="1"/>
        <v/>
      </c>
      <c r="B863" s="160"/>
      <c r="C863" s="161"/>
      <c r="D863" s="160"/>
      <c r="E863" s="160"/>
      <c r="F863" s="160"/>
      <c r="G863" s="161"/>
      <c r="H863" s="160"/>
      <c r="I863" s="160"/>
      <c r="J863" s="161"/>
    </row>
    <row r="864">
      <c r="A864" s="155" t="str">
        <f t="shared" si="1"/>
        <v/>
      </c>
      <c r="B864" s="156"/>
      <c r="C864" s="157"/>
      <c r="D864" s="156"/>
      <c r="E864" s="156"/>
      <c r="F864" s="156"/>
      <c r="G864" s="157"/>
      <c r="H864" s="156"/>
      <c r="I864" s="156"/>
      <c r="J864" s="157"/>
    </row>
    <row r="865">
      <c r="A865" s="159" t="str">
        <f t="shared" si="1"/>
        <v/>
      </c>
      <c r="B865" s="160"/>
      <c r="C865" s="161"/>
      <c r="D865" s="160"/>
      <c r="E865" s="160"/>
      <c r="F865" s="160"/>
      <c r="G865" s="161"/>
      <c r="H865" s="160"/>
      <c r="I865" s="160"/>
      <c r="J865" s="161"/>
    </row>
    <row r="866">
      <c r="A866" s="155" t="str">
        <f t="shared" si="1"/>
        <v/>
      </c>
      <c r="B866" s="156"/>
      <c r="C866" s="157"/>
      <c r="D866" s="156"/>
      <c r="E866" s="156"/>
      <c r="F866" s="156"/>
      <c r="G866" s="157"/>
      <c r="H866" s="156"/>
      <c r="I866" s="156"/>
      <c r="J866" s="157"/>
    </row>
    <row r="867">
      <c r="A867" s="159" t="str">
        <f t="shared" si="1"/>
        <v/>
      </c>
      <c r="B867" s="160"/>
      <c r="C867" s="161"/>
      <c r="D867" s="160"/>
      <c r="E867" s="160"/>
      <c r="F867" s="160"/>
      <c r="G867" s="161"/>
      <c r="H867" s="160"/>
      <c r="I867" s="160"/>
      <c r="J867" s="161"/>
    </row>
    <row r="868">
      <c r="A868" s="155" t="str">
        <f t="shared" si="1"/>
        <v/>
      </c>
      <c r="B868" s="156"/>
      <c r="C868" s="157"/>
      <c r="D868" s="156"/>
      <c r="E868" s="156"/>
      <c r="F868" s="156"/>
      <c r="G868" s="157"/>
      <c r="H868" s="156"/>
      <c r="I868" s="156"/>
      <c r="J868" s="157"/>
    </row>
    <row r="869">
      <c r="A869" s="159" t="str">
        <f t="shared" si="1"/>
        <v/>
      </c>
      <c r="B869" s="160"/>
      <c r="C869" s="161"/>
      <c r="D869" s="160"/>
      <c r="E869" s="160"/>
      <c r="F869" s="160"/>
      <c r="G869" s="161"/>
      <c r="H869" s="160"/>
      <c r="I869" s="160"/>
      <c r="J869" s="161"/>
    </row>
    <row r="870">
      <c r="A870" s="155" t="str">
        <f t="shared" si="1"/>
        <v/>
      </c>
      <c r="B870" s="156"/>
      <c r="C870" s="157"/>
      <c r="D870" s="156"/>
      <c r="E870" s="156"/>
      <c r="F870" s="156"/>
      <c r="G870" s="157"/>
      <c r="H870" s="156"/>
      <c r="I870" s="156"/>
      <c r="J870" s="157"/>
    </row>
    <row r="871">
      <c r="A871" s="159" t="str">
        <f t="shared" si="1"/>
        <v/>
      </c>
      <c r="B871" s="160"/>
      <c r="C871" s="161"/>
      <c r="D871" s="160"/>
      <c r="E871" s="160"/>
      <c r="F871" s="160"/>
      <c r="G871" s="161"/>
      <c r="H871" s="160"/>
      <c r="I871" s="160"/>
      <c r="J871" s="161"/>
    </row>
    <row r="872">
      <c r="A872" s="155" t="str">
        <f t="shared" si="1"/>
        <v/>
      </c>
      <c r="B872" s="156"/>
      <c r="C872" s="157"/>
      <c r="D872" s="156"/>
      <c r="E872" s="156"/>
      <c r="F872" s="156"/>
      <c r="G872" s="157"/>
      <c r="H872" s="156"/>
      <c r="I872" s="156"/>
      <c r="J872" s="157"/>
    </row>
    <row r="873">
      <c r="A873" s="159" t="str">
        <f t="shared" si="1"/>
        <v/>
      </c>
      <c r="B873" s="160"/>
      <c r="C873" s="161"/>
      <c r="D873" s="160"/>
      <c r="E873" s="160"/>
      <c r="F873" s="160"/>
      <c r="G873" s="161"/>
      <c r="H873" s="160"/>
      <c r="I873" s="160"/>
      <c r="J873" s="161"/>
    </row>
    <row r="874">
      <c r="A874" s="155" t="str">
        <f t="shared" si="1"/>
        <v/>
      </c>
      <c r="B874" s="156"/>
      <c r="C874" s="157"/>
      <c r="D874" s="156"/>
      <c r="E874" s="156"/>
      <c r="F874" s="156"/>
      <c r="G874" s="157"/>
      <c r="H874" s="156"/>
      <c r="I874" s="156"/>
      <c r="J874" s="157"/>
    </row>
    <row r="875">
      <c r="A875" s="159" t="str">
        <f t="shared" si="1"/>
        <v/>
      </c>
      <c r="B875" s="160"/>
      <c r="C875" s="161"/>
      <c r="D875" s="160"/>
      <c r="E875" s="160"/>
      <c r="F875" s="160"/>
      <c r="G875" s="161"/>
      <c r="H875" s="160"/>
      <c r="I875" s="160"/>
      <c r="J875" s="161"/>
    </row>
    <row r="876">
      <c r="A876" s="155" t="str">
        <f t="shared" si="1"/>
        <v/>
      </c>
      <c r="B876" s="156"/>
      <c r="C876" s="157"/>
      <c r="D876" s="156"/>
      <c r="E876" s="156"/>
      <c r="F876" s="156"/>
      <c r="G876" s="157"/>
      <c r="H876" s="156"/>
      <c r="I876" s="156"/>
      <c r="J876" s="157"/>
    </row>
    <row r="877">
      <c r="A877" s="159" t="str">
        <f t="shared" si="1"/>
        <v/>
      </c>
      <c r="B877" s="160"/>
      <c r="C877" s="161"/>
      <c r="D877" s="160"/>
      <c r="E877" s="160"/>
      <c r="F877" s="160"/>
      <c r="G877" s="161"/>
      <c r="H877" s="160"/>
      <c r="I877" s="160"/>
      <c r="J877" s="161"/>
    </row>
    <row r="878">
      <c r="A878" s="155" t="str">
        <f t="shared" si="1"/>
        <v/>
      </c>
      <c r="B878" s="156"/>
      <c r="C878" s="157"/>
      <c r="D878" s="156"/>
      <c r="E878" s="156"/>
      <c r="F878" s="156"/>
      <c r="G878" s="157"/>
      <c r="H878" s="156"/>
      <c r="I878" s="156"/>
      <c r="J878" s="157"/>
    </row>
    <row r="879">
      <c r="A879" s="159" t="str">
        <f t="shared" si="1"/>
        <v/>
      </c>
      <c r="B879" s="160"/>
      <c r="C879" s="161"/>
      <c r="D879" s="160"/>
      <c r="E879" s="160"/>
      <c r="F879" s="160"/>
      <c r="G879" s="161"/>
      <c r="H879" s="160"/>
      <c r="I879" s="160"/>
      <c r="J879" s="161"/>
    </row>
    <row r="880">
      <c r="A880" s="155" t="str">
        <f t="shared" si="1"/>
        <v/>
      </c>
      <c r="B880" s="156"/>
      <c r="C880" s="157"/>
      <c r="D880" s="156"/>
      <c r="E880" s="156"/>
      <c r="F880" s="156"/>
      <c r="G880" s="157"/>
      <c r="H880" s="156"/>
      <c r="I880" s="156"/>
      <c r="J880" s="157"/>
    </row>
    <row r="881">
      <c r="A881" s="159" t="str">
        <f t="shared" si="1"/>
        <v/>
      </c>
      <c r="B881" s="160"/>
      <c r="C881" s="161"/>
      <c r="D881" s="160"/>
      <c r="E881" s="160"/>
      <c r="F881" s="160"/>
      <c r="G881" s="161"/>
      <c r="H881" s="160"/>
      <c r="I881" s="160"/>
      <c r="J881" s="161"/>
    </row>
    <row r="882">
      <c r="A882" s="155" t="str">
        <f t="shared" si="1"/>
        <v/>
      </c>
      <c r="B882" s="156"/>
      <c r="C882" s="157"/>
      <c r="D882" s="156"/>
      <c r="E882" s="156"/>
      <c r="F882" s="156"/>
      <c r="G882" s="157"/>
      <c r="H882" s="156"/>
      <c r="I882" s="156"/>
      <c r="J882" s="157"/>
    </row>
    <row r="883">
      <c r="A883" s="159" t="str">
        <f t="shared" si="1"/>
        <v/>
      </c>
      <c r="B883" s="160"/>
      <c r="C883" s="161"/>
      <c r="D883" s="160"/>
      <c r="E883" s="160"/>
      <c r="F883" s="160"/>
      <c r="G883" s="161"/>
      <c r="H883" s="160"/>
      <c r="I883" s="160"/>
      <c r="J883" s="161"/>
    </row>
    <row r="884">
      <c r="A884" s="155" t="str">
        <f t="shared" si="1"/>
        <v/>
      </c>
      <c r="B884" s="156"/>
      <c r="C884" s="157"/>
      <c r="D884" s="156"/>
      <c r="E884" s="156"/>
      <c r="F884" s="156"/>
      <c r="G884" s="157"/>
      <c r="H884" s="156"/>
      <c r="I884" s="156"/>
      <c r="J884" s="157"/>
    </row>
    <row r="885">
      <c r="A885" s="159" t="str">
        <f t="shared" si="1"/>
        <v/>
      </c>
      <c r="B885" s="160"/>
      <c r="C885" s="161"/>
      <c r="D885" s="160"/>
      <c r="E885" s="160"/>
      <c r="F885" s="160"/>
      <c r="G885" s="161"/>
      <c r="H885" s="160"/>
      <c r="I885" s="160"/>
      <c r="J885" s="161"/>
    </row>
    <row r="886">
      <c r="A886" s="155" t="str">
        <f t="shared" si="1"/>
        <v/>
      </c>
      <c r="B886" s="156"/>
      <c r="C886" s="157"/>
      <c r="D886" s="156"/>
      <c r="E886" s="156"/>
      <c r="F886" s="156"/>
      <c r="G886" s="157"/>
      <c r="H886" s="156"/>
      <c r="I886" s="156"/>
      <c r="J886" s="157"/>
    </row>
    <row r="887">
      <c r="A887" s="159" t="str">
        <f t="shared" si="1"/>
        <v/>
      </c>
      <c r="B887" s="160"/>
      <c r="C887" s="161"/>
      <c r="D887" s="160"/>
      <c r="E887" s="160"/>
      <c r="F887" s="160"/>
      <c r="G887" s="161"/>
      <c r="H887" s="160"/>
      <c r="I887" s="160"/>
      <c r="J887" s="161"/>
    </row>
    <row r="888">
      <c r="A888" s="155" t="str">
        <f t="shared" si="1"/>
        <v/>
      </c>
      <c r="B888" s="156"/>
      <c r="C888" s="157"/>
      <c r="D888" s="156"/>
      <c r="E888" s="156"/>
      <c r="F888" s="156"/>
      <c r="G888" s="157"/>
      <c r="H888" s="156"/>
      <c r="I888" s="156"/>
      <c r="J888" s="157"/>
    </row>
    <row r="889">
      <c r="A889" s="159" t="str">
        <f t="shared" si="1"/>
        <v/>
      </c>
      <c r="B889" s="160"/>
      <c r="C889" s="161"/>
      <c r="D889" s="160"/>
      <c r="E889" s="160"/>
      <c r="F889" s="160"/>
      <c r="G889" s="161"/>
      <c r="H889" s="160"/>
      <c r="I889" s="160"/>
      <c r="J889" s="161"/>
    </row>
    <row r="890">
      <c r="A890" s="155" t="str">
        <f t="shared" si="1"/>
        <v/>
      </c>
      <c r="B890" s="156"/>
      <c r="C890" s="157"/>
      <c r="D890" s="156"/>
      <c r="E890" s="156"/>
      <c r="F890" s="156"/>
      <c r="G890" s="157"/>
      <c r="H890" s="156"/>
      <c r="I890" s="156"/>
      <c r="J890" s="157"/>
    </row>
    <row r="891">
      <c r="A891" s="159" t="str">
        <f t="shared" si="1"/>
        <v/>
      </c>
      <c r="B891" s="160"/>
      <c r="C891" s="161"/>
      <c r="D891" s="160"/>
      <c r="E891" s="160"/>
      <c r="F891" s="160"/>
      <c r="G891" s="161"/>
      <c r="H891" s="160"/>
      <c r="I891" s="160"/>
      <c r="J891" s="161"/>
    </row>
    <row r="892">
      <c r="A892" s="155" t="str">
        <f t="shared" si="1"/>
        <v/>
      </c>
      <c r="B892" s="156"/>
      <c r="C892" s="157"/>
      <c r="D892" s="156"/>
      <c r="E892" s="156"/>
      <c r="F892" s="156"/>
      <c r="G892" s="157"/>
      <c r="H892" s="156"/>
      <c r="I892" s="156"/>
      <c r="J892" s="157"/>
    </row>
    <row r="893">
      <c r="A893" s="159" t="str">
        <f t="shared" si="1"/>
        <v/>
      </c>
      <c r="B893" s="160"/>
      <c r="C893" s="161"/>
      <c r="D893" s="160"/>
      <c r="E893" s="160"/>
      <c r="F893" s="160"/>
      <c r="G893" s="161"/>
      <c r="H893" s="160"/>
      <c r="I893" s="160"/>
      <c r="J893" s="161"/>
    </row>
    <row r="894">
      <c r="A894" s="155" t="str">
        <f t="shared" si="1"/>
        <v/>
      </c>
      <c r="B894" s="156"/>
      <c r="C894" s="157"/>
      <c r="D894" s="156"/>
      <c r="E894" s="156"/>
      <c r="F894" s="156"/>
      <c r="G894" s="157"/>
      <c r="H894" s="156"/>
      <c r="I894" s="156"/>
      <c r="J894" s="157"/>
    </row>
    <row r="895">
      <c r="A895" s="159" t="str">
        <f t="shared" si="1"/>
        <v/>
      </c>
      <c r="B895" s="160"/>
      <c r="C895" s="161"/>
      <c r="D895" s="160"/>
      <c r="E895" s="160"/>
      <c r="F895" s="160"/>
      <c r="G895" s="161"/>
      <c r="H895" s="160"/>
      <c r="I895" s="160"/>
      <c r="J895" s="161"/>
    </row>
    <row r="896">
      <c r="A896" s="155" t="str">
        <f t="shared" si="1"/>
        <v/>
      </c>
      <c r="B896" s="156"/>
      <c r="C896" s="157"/>
      <c r="D896" s="156"/>
      <c r="E896" s="156"/>
      <c r="F896" s="156"/>
      <c r="G896" s="157"/>
      <c r="H896" s="156"/>
      <c r="I896" s="156"/>
      <c r="J896" s="157"/>
    </row>
    <row r="897">
      <c r="A897" s="159" t="str">
        <f t="shared" si="1"/>
        <v/>
      </c>
      <c r="B897" s="160"/>
      <c r="C897" s="161"/>
      <c r="D897" s="160"/>
      <c r="E897" s="160"/>
      <c r="F897" s="160"/>
      <c r="G897" s="161"/>
      <c r="H897" s="160"/>
      <c r="I897" s="160"/>
      <c r="J897" s="161"/>
    </row>
    <row r="898">
      <c r="A898" s="155" t="str">
        <f t="shared" si="1"/>
        <v/>
      </c>
      <c r="B898" s="156"/>
      <c r="C898" s="157"/>
      <c r="D898" s="156"/>
      <c r="E898" s="156"/>
      <c r="F898" s="156"/>
      <c r="G898" s="157"/>
      <c r="H898" s="156"/>
      <c r="I898" s="156"/>
      <c r="J898" s="157"/>
    </row>
    <row r="899">
      <c r="A899" s="159" t="str">
        <f t="shared" si="1"/>
        <v/>
      </c>
      <c r="B899" s="160"/>
      <c r="C899" s="161"/>
      <c r="D899" s="160"/>
      <c r="E899" s="160"/>
      <c r="F899" s="160"/>
      <c r="G899" s="161"/>
      <c r="H899" s="160"/>
      <c r="I899" s="160"/>
      <c r="J899" s="161"/>
    </row>
    <row r="900">
      <c r="A900" s="155" t="str">
        <f t="shared" si="1"/>
        <v/>
      </c>
      <c r="B900" s="156"/>
      <c r="C900" s="157"/>
      <c r="D900" s="156"/>
      <c r="E900" s="156"/>
      <c r="F900" s="156"/>
      <c r="G900" s="157"/>
      <c r="H900" s="156"/>
      <c r="I900" s="156"/>
      <c r="J900" s="157"/>
    </row>
    <row r="901">
      <c r="A901" s="159" t="str">
        <f t="shared" si="1"/>
        <v/>
      </c>
      <c r="B901" s="160"/>
      <c r="C901" s="161"/>
      <c r="D901" s="160"/>
      <c r="E901" s="160"/>
      <c r="F901" s="160"/>
      <c r="G901" s="161"/>
      <c r="H901" s="160"/>
      <c r="I901" s="160"/>
      <c r="J901" s="161"/>
    </row>
    <row r="902">
      <c r="A902" s="155" t="str">
        <f t="shared" si="1"/>
        <v/>
      </c>
      <c r="B902" s="156"/>
      <c r="C902" s="157"/>
      <c r="D902" s="156"/>
      <c r="E902" s="156"/>
      <c r="F902" s="156"/>
      <c r="G902" s="157"/>
      <c r="H902" s="156"/>
      <c r="I902" s="156"/>
      <c r="J902" s="157"/>
    </row>
    <row r="903">
      <c r="A903" s="159" t="str">
        <f t="shared" si="1"/>
        <v/>
      </c>
      <c r="B903" s="160"/>
      <c r="C903" s="161"/>
      <c r="D903" s="160"/>
      <c r="E903" s="160"/>
      <c r="F903" s="160"/>
      <c r="G903" s="161"/>
      <c r="H903" s="160"/>
      <c r="I903" s="160"/>
      <c r="J903" s="161"/>
    </row>
    <row r="904">
      <c r="A904" s="155" t="str">
        <f t="shared" si="1"/>
        <v/>
      </c>
      <c r="B904" s="156"/>
      <c r="C904" s="157"/>
      <c r="D904" s="156"/>
      <c r="E904" s="156"/>
      <c r="F904" s="156"/>
      <c r="G904" s="157"/>
      <c r="H904" s="156"/>
      <c r="I904" s="156"/>
      <c r="J904" s="157"/>
    </row>
    <row r="905">
      <c r="A905" s="159" t="str">
        <f t="shared" si="1"/>
        <v/>
      </c>
      <c r="B905" s="160"/>
      <c r="C905" s="161"/>
      <c r="D905" s="160"/>
      <c r="E905" s="160"/>
      <c r="F905" s="160"/>
      <c r="G905" s="161"/>
      <c r="H905" s="160"/>
      <c r="I905" s="160"/>
      <c r="J905" s="161"/>
    </row>
    <row r="906">
      <c r="A906" s="155" t="str">
        <f t="shared" si="1"/>
        <v/>
      </c>
      <c r="B906" s="156"/>
      <c r="C906" s="157"/>
      <c r="D906" s="156"/>
      <c r="E906" s="156"/>
      <c r="F906" s="156"/>
      <c r="G906" s="157"/>
      <c r="H906" s="156"/>
      <c r="I906" s="156"/>
      <c r="J906" s="157"/>
    </row>
    <row r="907">
      <c r="A907" s="159" t="str">
        <f t="shared" si="1"/>
        <v/>
      </c>
      <c r="B907" s="160"/>
      <c r="C907" s="161"/>
      <c r="D907" s="160"/>
      <c r="E907" s="160"/>
      <c r="F907" s="160"/>
      <c r="G907" s="161"/>
      <c r="H907" s="160"/>
      <c r="I907" s="160"/>
      <c r="J907" s="161"/>
    </row>
    <row r="908">
      <c r="A908" s="155" t="str">
        <f t="shared" si="1"/>
        <v/>
      </c>
      <c r="B908" s="156"/>
      <c r="C908" s="157"/>
      <c r="D908" s="156"/>
      <c r="E908" s="156"/>
      <c r="F908" s="156"/>
      <c r="G908" s="157"/>
      <c r="H908" s="156"/>
      <c r="I908" s="156"/>
      <c r="J908" s="157"/>
    </row>
    <row r="909">
      <c r="A909" s="159" t="str">
        <f t="shared" si="1"/>
        <v/>
      </c>
      <c r="B909" s="160"/>
      <c r="C909" s="161"/>
      <c r="D909" s="160"/>
      <c r="E909" s="160"/>
      <c r="F909" s="160"/>
      <c r="G909" s="161"/>
      <c r="H909" s="160"/>
      <c r="I909" s="160"/>
      <c r="J909" s="161"/>
    </row>
    <row r="910">
      <c r="A910" s="155" t="str">
        <f t="shared" si="1"/>
        <v/>
      </c>
      <c r="B910" s="156"/>
      <c r="C910" s="157"/>
      <c r="D910" s="156"/>
      <c r="E910" s="156"/>
      <c r="F910" s="156"/>
      <c r="G910" s="157"/>
      <c r="H910" s="156"/>
      <c r="I910" s="156"/>
      <c r="J910" s="157"/>
    </row>
    <row r="911">
      <c r="A911" s="159" t="str">
        <f t="shared" si="1"/>
        <v/>
      </c>
      <c r="B911" s="160"/>
      <c r="C911" s="161"/>
      <c r="D911" s="160"/>
      <c r="E911" s="160"/>
      <c r="F911" s="160"/>
      <c r="G911" s="161"/>
      <c r="H911" s="160"/>
      <c r="I911" s="160"/>
      <c r="J911" s="161"/>
    </row>
    <row r="912">
      <c r="A912" s="155" t="str">
        <f t="shared" si="1"/>
        <v/>
      </c>
      <c r="B912" s="156"/>
      <c r="C912" s="157"/>
      <c r="D912" s="156"/>
      <c r="E912" s="156"/>
      <c r="F912" s="156"/>
      <c r="G912" s="157"/>
      <c r="H912" s="156"/>
      <c r="I912" s="156"/>
      <c r="J912" s="157"/>
    </row>
    <row r="913">
      <c r="A913" s="159" t="str">
        <f t="shared" si="1"/>
        <v/>
      </c>
      <c r="B913" s="160"/>
      <c r="C913" s="161"/>
      <c r="D913" s="160"/>
      <c r="E913" s="160"/>
      <c r="F913" s="160"/>
      <c r="G913" s="161"/>
      <c r="H913" s="160"/>
      <c r="I913" s="160"/>
      <c r="J913" s="161"/>
    </row>
    <row r="914">
      <c r="A914" s="155" t="str">
        <f t="shared" si="1"/>
        <v/>
      </c>
      <c r="B914" s="156"/>
      <c r="C914" s="157"/>
      <c r="D914" s="156"/>
      <c r="E914" s="156"/>
      <c r="F914" s="156"/>
      <c r="G914" s="157"/>
      <c r="H914" s="156"/>
      <c r="I914" s="156"/>
      <c r="J914" s="157"/>
    </row>
    <row r="915">
      <c r="A915" s="159" t="str">
        <f t="shared" si="1"/>
        <v/>
      </c>
      <c r="B915" s="160"/>
      <c r="C915" s="161"/>
      <c r="D915" s="160"/>
      <c r="E915" s="160"/>
      <c r="F915" s="160"/>
      <c r="G915" s="161"/>
      <c r="H915" s="160"/>
      <c r="I915" s="160"/>
      <c r="J915" s="161"/>
    </row>
    <row r="916">
      <c r="A916" s="155" t="str">
        <f t="shared" si="1"/>
        <v/>
      </c>
      <c r="B916" s="156"/>
      <c r="C916" s="157"/>
      <c r="D916" s="156"/>
      <c r="E916" s="156"/>
      <c r="F916" s="156"/>
      <c r="G916" s="157"/>
      <c r="H916" s="156"/>
      <c r="I916" s="156"/>
      <c r="J916" s="157"/>
    </row>
    <row r="917">
      <c r="A917" s="159" t="str">
        <f t="shared" si="1"/>
        <v/>
      </c>
      <c r="B917" s="160"/>
      <c r="C917" s="161"/>
      <c r="D917" s="160"/>
      <c r="E917" s="160"/>
      <c r="F917" s="160"/>
      <c r="G917" s="161"/>
      <c r="H917" s="160"/>
      <c r="I917" s="160"/>
      <c r="J917" s="161"/>
    </row>
    <row r="918">
      <c r="A918" s="155" t="str">
        <f t="shared" si="1"/>
        <v/>
      </c>
      <c r="B918" s="156"/>
      <c r="C918" s="157"/>
      <c r="D918" s="156"/>
      <c r="E918" s="156"/>
      <c r="F918" s="156"/>
      <c r="G918" s="157"/>
      <c r="H918" s="156"/>
      <c r="I918" s="156"/>
      <c r="J918" s="157"/>
    </row>
    <row r="919">
      <c r="A919" s="159" t="str">
        <f t="shared" si="1"/>
        <v/>
      </c>
      <c r="B919" s="160"/>
      <c r="C919" s="161"/>
      <c r="D919" s="160"/>
      <c r="E919" s="160"/>
      <c r="F919" s="160"/>
      <c r="G919" s="161"/>
      <c r="H919" s="160"/>
      <c r="I919" s="160"/>
      <c r="J919" s="161"/>
    </row>
    <row r="920">
      <c r="A920" s="155" t="str">
        <f t="shared" si="1"/>
        <v/>
      </c>
      <c r="B920" s="156"/>
      <c r="C920" s="157"/>
      <c r="D920" s="156"/>
      <c r="E920" s="156"/>
      <c r="F920" s="156"/>
      <c r="G920" s="157"/>
      <c r="H920" s="156"/>
      <c r="I920" s="156"/>
      <c r="J920" s="157"/>
    </row>
    <row r="921">
      <c r="A921" s="159" t="str">
        <f t="shared" si="1"/>
        <v/>
      </c>
      <c r="B921" s="160"/>
      <c r="C921" s="161"/>
      <c r="D921" s="160"/>
      <c r="E921" s="160"/>
      <c r="F921" s="160"/>
      <c r="G921" s="161"/>
      <c r="H921" s="160"/>
      <c r="I921" s="160"/>
      <c r="J921" s="161"/>
    </row>
    <row r="922">
      <c r="A922" s="155" t="str">
        <f t="shared" si="1"/>
        <v/>
      </c>
      <c r="B922" s="156"/>
      <c r="C922" s="157"/>
      <c r="D922" s="156"/>
      <c r="E922" s="156"/>
      <c r="F922" s="156"/>
      <c r="G922" s="157"/>
      <c r="H922" s="156"/>
      <c r="I922" s="156"/>
      <c r="J922" s="157"/>
    </row>
    <row r="923">
      <c r="A923" s="159" t="str">
        <f t="shared" si="1"/>
        <v/>
      </c>
      <c r="B923" s="160"/>
      <c r="C923" s="161"/>
      <c r="D923" s="160"/>
      <c r="E923" s="160"/>
      <c r="F923" s="160"/>
      <c r="G923" s="161"/>
      <c r="H923" s="160"/>
      <c r="I923" s="160"/>
      <c r="J923" s="161"/>
    </row>
    <row r="924">
      <c r="A924" s="155" t="str">
        <f t="shared" si="1"/>
        <v/>
      </c>
      <c r="B924" s="156"/>
      <c r="C924" s="157"/>
      <c r="D924" s="156"/>
      <c r="E924" s="156"/>
      <c r="F924" s="156"/>
      <c r="G924" s="157"/>
      <c r="H924" s="156"/>
      <c r="I924" s="156"/>
      <c r="J924" s="157"/>
    </row>
    <row r="925">
      <c r="A925" s="159" t="str">
        <f t="shared" si="1"/>
        <v/>
      </c>
      <c r="B925" s="160"/>
      <c r="C925" s="161"/>
      <c r="D925" s="160"/>
      <c r="E925" s="160"/>
      <c r="F925" s="160"/>
      <c r="G925" s="161"/>
      <c r="H925" s="160"/>
      <c r="I925" s="160"/>
      <c r="J925" s="161"/>
    </row>
    <row r="926">
      <c r="A926" s="155" t="str">
        <f t="shared" si="1"/>
        <v/>
      </c>
      <c r="B926" s="156"/>
      <c r="C926" s="157"/>
      <c r="D926" s="156"/>
      <c r="E926" s="156"/>
      <c r="F926" s="156"/>
      <c r="G926" s="157"/>
      <c r="H926" s="156"/>
      <c r="I926" s="156"/>
      <c r="J926" s="157"/>
    </row>
    <row r="927">
      <c r="A927" s="159" t="str">
        <f t="shared" si="1"/>
        <v/>
      </c>
      <c r="B927" s="160"/>
      <c r="C927" s="161"/>
      <c r="D927" s="160"/>
      <c r="E927" s="160"/>
      <c r="F927" s="160"/>
      <c r="G927" s="161"/>
      <c r="H927" s="160"/>
      <c r="I927" s="160"/>
      <c r="J927" s="161"/>
    </row>
    <row r="928">
      <c r="A928" s="155" t="str">
        <f t="shared" si="1"/>
        <v/>
      </c>
      <c r="B928" s="156"/>
      <c r="C928" s="157"/>
      <c r="D928" s="156"/>
      <c r="E928" s="156"/>
      <c r="F928" s="156"/>
      <c r="G928" s="157"/>
      <c r="H928" s="156"/>
      <c r="I928" s="156"/>
      <c r="J928" s="157"/>
    </row>
    <row r="929">
      <c r="A929" s="159" t="str">
        <f t="shared" si="1"/>
        <v/>
      </c>
      <c r="B929" s="160"/>
      <c r="C929" s="161"/>
      <c r="D929" s="160"/>
      <c r="E929" s="160"/>
      <c r="F929" s="160"/>
      <c r="G929" s="161"/>
      <c r="H929" s="160"/>
      <c r="I929" s="160"/>
      <c r="J929" s="161"/>
    </row>
    <row r="930">
      <c r="A930" s="155" t="str">
        <f t="shared" si="1"/>
        <v/>
      </c>
      <c r="B930" s="156"/>
      <c r="C930" s="157"/>
      <c r="D930" s="156"/>
      <c r="E930" s="156"/>
      <c r="F930" s="156"/>
      <c r="G930" s="157"/>
      <c r="H930" s="156"/>
      <c r="I930" s="156"/>
      <c r="J930" s="157"/>
    </row>
    <row r="931">
      <c r="A931" s="159" t="str">
        <f t="shared" si="1"/>
        <v/>
      </c>
      <c r="B931" s="160"/>
      <c r="C931" s="161"/>
      <c r="D931" s="160"/>
      <c r="E931" s="160"/>
      <c r="F931" s="160"/>
      <c r="G931" s="161"/>
      <c r="H931" s="160"/>
      <c r="I931" s="160"/>
      <c r="J931" s="161"/>
    </row>
    <row r="932">
      <c r="A932" s="155" t="str">
        <f t="shared" si="1"/>
        <v/>
      </c>
      <c r="B932" s="156"/>
      <c r="C932" s="157"/>
      <c r="D932" s="156"/>
      <c r="E932" s="156"/>
      <c r="F932" s="156"/>
      <c r="G932" s="157"/>
      <c r="H932" s="156"/>
      <c r="I932" s="156"/>
      <c r="J932" s="157"/>
    </row>
    <row r="933">
      <c r="A933" s="159" t="str">
        <f t="shared" si="1"/>
        <v/>
      </c>
      <c r="B933" s="160"/>
      <c r="C933" s="161"/>
      <c r="D933" s="160"/>
      <c r="E933" s="160"/>
      <c r="F933" s="160"/>
      <c r="G933" s="161"/>
      <c r="H933" s="160"/>
      <c r="I933" s="160"/>
      <c r="J933" s="161"/>
    </row>
    <row r="934">
      <c r="A934" s="155" t="str">
        <f t="shared" si="1"/>
        <v/>
      </c>
      <c r="B934" s="156"/>
      <c r="C934" s="157"/>
      <c r="D934" s="156"/>
      <c r="E934" s="156"/>
      <c r="F934" s="156"/>
      <c r="G934" s="157"/>
      <c r="H934" s="156"/>
      <c r="I934" s="156"/>
      <c r="J934" s="157"/>
    </row>
    <row r="935">
      <c r="A935" s="159" t="str">
        <f t="shared" si="1"/>
        <v/>
      </c>
      <c r="B935" s="160"/>
      <c r="C935" s="161"/>
      <c r="D935" s="160"/>
      <c r="E935" s="160"/>
      <c r="F935" s="160"/>
      <c r="G935" s="161"/>
      <c r="H935" s="160"/>
      <c r="I935" s="160"/>
      <c r="J935" s="161"/>
    </row>
    <row r="936">
      <c r="A936" s="155" t="str">
        <f t="shared" si="1"/>
        <v/>
      </c>
      <c r="B936" s="156"/>
      <c r="C936" s="157"/>
      <c r="D936" s="156"/>
      <c r="E936" s="156"/>
      <c r="F936" s="156"/>
      <c r="G936" s="157"/>
      <c r="H936" s="156"/>
      <c r="I936" s="156"/>
      <c r="J936" s="157"/>
    </row>
    <row r="937">
      <c r="A937" s="159" t="str">
        <f t="shared" si="1"/>
        <v/>
      </c>
      <c r="B937" s="160"/>
      <c r="C937" s="161"/>
      <c r="D937" s="160"/>
      <c r="E937" s="160"/>
      <c r="F937" s="160"/>
      <c r="G937" s="161"/>
      <c r="H937" s="160"/>
      <c r="I937" s="160"/>
      <c r="J937" s="161"/>
    </row>
    <row r="938">
      <c r="A938" s="155" t="str">
        <f t="shared" si="1"/>
        <v/>
      </c>
      <c r="B938" s="156"/>
      <c r="C938" s="157"/>
      <c r="D938" s="156"/>
      <c r="E938" s="156"/>
      <c r="F938" s="156"/>
      <c r="G938" s="157"/>
      <c r="H938" s="156"/>
      <c r="I938" s="156"/>
      <c r="J938" s="157"/>
    </row>
    <row r="939">
      <c r="A939" s="159" t="str">
        <f t="shared" si="1"/>
        <v/>
      </c>
      <c r="B939" s="160"/>
      <c r="C939" s="161"/>
      <c r="D939" s="160"/>
      <c r="E939" s="160"/>
      <c r="F939" s="160"/>
      <c r="G939" s="161"/>
      <c r="H939" s="160"/>
      <c r="I939" s="160"/>
      <c r="J939" s="161"/>
    </row>
    <row r="940">
      <c r="A940" s="155" t="str">
        <f t="shared" si="1"/>
        <v/>
      </c>
      <c r="B940" s="156"/>
      <c r="C940" s="157"/>
      <c r="D940" s="156"/>
      <c r="E940" s="156"/>
      <c r="F940" s="156"/>
      <c r="G940" s="157"/>
      <c r="H940" s="156"/>
      <c r="I940" s="156"/>
      <c r="J940" s="157"/>
    </row>
    <row r="941">
      <c r="A941" s="159" t="str">
        <f t="shared" si="1"/>
        <v/>
      </c>
      <c r="B941" s="160"/>
      <c r="C941" s="161"/>
      <c r="D941" s="160"/>
      <c r="E941" s="160"/>
      <c r="F941" s="160"/>
      <c r="G941" s="161"/>
      <c r="H941" s="160"/>
      <c r="I941" s="160"/>
      <c r="J941" s="161"/>
    </row>
    <row r="942">
      <c r="A942" s="155" t="str">
        <f t="shared" si="1"/>
        <v/>
      </c>
      <c r="B942" s="156"/>
      <c r="C942" s="157"/>
      <c r="D942" s="156"/>
      <c r="E942" s="156"/>
      <c r="F942" s="156"/>
      <c r="G942" s="157"/>
      <c r="H942" s="156"/>
      <c r="I942" s="156"/>
      <c r="J942" s="157"/>
    </row>
    <row r="943">
      <c r="A943" s="159" t="str">
        <f t="shared" si="1"/>
        <v/>
      </c>
      <c r="B943" s="160"/>
      <c r="C943" s="161"/>
      <c r="D943" s="160"/>
      <c r="E943" s="160"/>
      <c r="F943" s="160"/>
      <c r="G943" s="161"/>
      <c r="H943" s="160"/>
      <c r="I943" s="160"/>
      <c r="J943" s="161"/>
    </row>
    <row r="944">
      <c r="A944" s="155" t="str">
        <f t="shared" si="1"/>
        <v/>
      </c>
      <c r="B944" s="156"/>
      <c r="C944" s="157"/>
      <c r="D944" s="156"/>
      <c r="E944" s="156"/>
      <c r="F944" s="156"/>
      <c r="G944" s="157"/>
      <c r="H944" s="156"/>
      <c r="I944" s="156"/>
      <c r="J944" s="157"/>
    </row>
    <row r="945">
      <c r="A945" s="159" t="str">
        <f t="shared" si="1"/>
        <v/>
      </c>
      <c r="B945" s="160"/>
      <c r="C945" s="161"/>
      <c r="D945" s="160"/>
      <c r="E945" s="160"/>
      <c r="F945" s="160"/>
      <c r="G945" s="161"/>
      <c r="H945" s="160"/>
      <c r="I945" s="160"/>
      <c r="J945" s="161"/>
    </row>
    <row r="946">
      <c r="A946" s="155" t="str">
        <f t="shared" si="1"/>
        <v/>
      </c>
      <c r="B946" s="156"/>
      <c r="C946" s="157"/>
      <c r="D946" s="156"/>
      <c r="E946" s="156"/>
      <c r="F946" s="156"/>
      <c r="G946" s="157"/>
      <c r="H946" s="156"/>
      <c r="I946" s="156"/>
      <c r="J946" s="157"/>
    </row>
    <row r="947">
      <c r="A947" s="159" t="str">
        <f t="shared" si="1"/>
        <v/>
      </c>
      <c r="B947" s="160"/>
      <c r="C947" s="161"/>
      <c r="D947" s="160"/>
      <c r="E947" s="160"/>
      <c r="F947" s="160"/>
      <c r="G947" s="161"/>
      <c r="H947" s="160"/>
      <c r="I947" s="160"/>
      <c r="J947" s="161"/>
    </row>
    <row r="948">
      <c r="A948" s="155" t="str">
        <f t="shared" si="1"/>
        <v/>
      </c>
      <c r="B948" s="156"/>
      <c r="C948" s="157"/>
      <c r="D948" s="156"/>
      <c r="E948" s="156"/>
      <c r="F948" s="156"/>
      <c r="G948" s="157"/>
      <c r="H948" s="156"/>
      <c r="I948" s="156"/>
      <c r="J948" s="157"/>
    </row>
    <row r="949">
      <c r="A949" s="159" t="str">
        <f t="shared" si="1"/>
        <v/>
      </c>
      <c r="B949" s="160"/>
      <c r="C949" s="161"/>
      <c r="D949" s="160"/>
      <c r="E949" s="160"/>
      <c r="F949" s="160"/>
      <c r="G949" s="161"/>
      <c r="H949" s="160"/>
      <c r="I949" s="160"/>
      <c r="J949" s="161"/>
    </row>
    <row r="950">
      <c r="A950" s="155" t="str">
        <f t="shared" si="1"/>
        <v/>
      </c>
      <c r="B950" s="156"/>
      <c r="C950" s="157"/>
      <c r="D950" s="156"/>
      <c r="E950" s="156"/>
      <c r="F950" s="156"/>
      <c r="G950" s="157"/>
      <c r="H950" s="156"/>
      <c r="I950" s="156"/>
      <c r="J950" s="157"/>
    </row>
    <row r="951">
      <c r="A951" s="159" t="str">
        <f t="shared" si="1"/>
        <v/>
      </c>
      <c r="B951" s="160"/>
      <c r="C951" s="161"/>
      <c r="D951" s="160"/>
      <c r="E951" s="160"/>
      <c r="F951" s="160"/>
      <c r="G951" s="161"/>
      <c r="H951" s="160"/>
      <c r="I951" s="160"/>
      <c r="J951" s="161"/>
    </row>
    <row r="952">
      <c r="A952" s="155" t="str">
        <f t="shared" si="1"/>
        <v/>
      </c>
      <c r="B952" s="156"/>
      <c r="C952" s="157"/>
      <c r="D952" s="156"/>
      <c r="E952" s="156"/>
      <c r="F952" s="156"/>
      <c r="G952" s="157"/>
      <c r="H952" s="156"/>
      <c r="I952" s="156"/>
      <c r="J952" s="157"/>
    </row>
    <row r="953">
      <c r="A953" s="159" t="str">
        <f t="shared" si="1"/>
        <v/>
      </c>
      <c r="B953" s="160"/>
      <c r="C953" s="161"/>
      <c r="D953" s="160"/>
      <c r="E953" s="160"/>
      <c r="F953" s="160"/>
      <c r="G953" s="161"/>
      <c r="H953" s="160"/>
      <c r="I953" s="160"/>
      <c r="J953" s="161"/>
    </row>
    <row r="954">
      <c r="A954" s="155" t="str">
        <f t="shared" si="1"/>
        <v/>
      </c>
      <c r="B954" s="156"/>
      <c r="C954" s="157"/>
      <c r="D954" s="156"/>
      <c r="E954" s="156"/>
      <c r="F954" s="156"/>
      <c r="G954" s="157"/>
      <c r="H954" s="156"/>
      <c r="I954" s="156"/>
      <c r="J954" s="157"/>
    </row>
    <row r="955">
      <c r="A955" s="159" t="str">
        <f t="shared" si="1"/>
        <v/>
      </c>
      <c r="B955" s="160"/>
      <c r="C955" s="161"/>
      <c r="D955" s="160"/>
      <c r="E955" s="160"/>
      <c r="F955" s="160"/>
      <c r="G955" s="161"/>
      <c r="H955" s="160"/>
      <c r="I955" s="160"/>
      <c r="J955" s="161"/>
    </row>
    <row r="956">
      <c r="A956" s="155" t="str">
        <f t="shared" si="1"/>
        <v/>
      </c>
      <c r="B956" s="156"/>
      <c r="C956" s="157"/>
      <c r="D956" s="156"/>
      <c r="E956" s="156"/>
      <c r="F956" s="156"/>
      <c r="G956" s="157"/>
      <c r="H956" s="156"/>
      <c r="I956" s="156"/>
      <c r="J956" s="157"/>
    </row>
    <row r="957">
      <c r="A957" s="159" t="str">
        <f t="shared" si="1"/>
        <v/>
      </c>
      <c r="B957" s="160"/>
      <c r="C957" s="161"/>
      <c r="D957" s="160"/>
      <c r="E957" s="160"/>
      <c r="F957" s="160"/>
      <c r="G957" s="161"/>
      <c r="H957" s="160"/>
      <c r="I957" s="160"/>
      <c r="J957" s="161"/>
    </row>
    <row r="958">
      <c r="A958" s="155" t="str">
        <f t="shared" si="1"/>
        <v/>
      </c>
      <c r="B958" s="156"/>
      <c r="C958" s="157"/>
      <c r="D958" s="156"/>
      <c r="E958" s="156"/>
      <c r="F958" s="156"/>
      <c r="G958" s="157"/>
      <c r="H958" s="156"/>
      <c r="I958" s="156"/>
      <c r="J958" s="157"/>
    </row>
    <row r="959">
      <c r="A959" s="159" t="str">
        <f t="shared" si="1"/>
        <v/>
      </c>
      <c r="B959" s="160"/>
      <c r="C959" s="161"/>
      <c r="D959" s="160"/>
      <c r="E959" s="160"/>
      <c r="F959" s="160"/>
      <c r="G959" s="161"/>
      <c r="H959" s="160"/>
      <c r="I959" s="160"/>
      <c r="J959" s="161"/>
    </row>
    <row r="960">
      <c r="A960" s="155" t="str">
        <f t="shared" si="1"/>
        <v/>
      </c>
      <c r="B960" s="156"/>
      <c r="C960" s="157"/>
      <c r="D960" s="156"/>
      <c r="E960" s="156"/>
      <c r="F960" s="156"/>
      <c r="G960" s="157"/>
      <c r="H960" s="156"/>
      <c r="I960" s="156"/>
      <c r="J960" s="157"/>
    </row>
    <row r="961">
      <c r="A961" s="159" t="str">
        <f t="shared" si="1"/>
        <v/>
      </c>
      <c r="B961" s="160"/>
      <c r="C961" s="161"/>
      <c r="D961" s="160"/>
      <c r="E961" s="160"/>
      <c r="F961" s="160"/>
      <c r="G961" s="161"/>
      <c r="H961" s="160"/>
      <c r="I961" s="160"/>
      <c r="J961" s="161"/>
    </row>
    <row r="962">
      <c r="A962" s="155" t="str">
        <f t="shared" si="1"/>
        <v/>
      </c>
      <c r="B962" s="156"/>
      <c r="C962" s="157"/>
      <c r="D962" s="156"/>
      <c r="E962" s="156"/>
      <c r="F962" s="156"/>
      <c r="G962" s="157"/>
      <c r="H962" s="156"/>
      <c r="I962" s="156"/>
      <c r="J962" s="157"/>
    </row>
    <row r="963">
      <c r="A963" s="159" t="str">
        <f t="shared" si="1"/>
        <v/>
      </c>
      <c r="B963" s="160"/>
      <c r="C963" s="161"/>
      <c r="D963" s="160"/>
      <c r="E963" s="160"/>
      <c r="F963" s="160"/>
      <c r="G963" s="161"/>
      <c r="H963" s="160"/>
      <c r="I963" s="160"/>
      <c r="J963" s="161"/>
    </row>
    <row r="964">
      <c r="A964" s="155" t="str">
        <f t="shared" si="1"/>
        <v/>
      </c>
      <c r="B964" s="156"/>
      <c r="C964" s="157"/>
      <c r="D964" s="156"/>
      <c r="E964" s="156"/>
      <c r="F964" s="156"/>
      <c r="G964" s="157"/>
      <c r="H964" s="156"/>
      <c r="I964" s="156"/>
      <c r="J964" s="157"/>
    </row>
    <row r="965">
      <c r="A965" s="159" t="str">
        <f t="shared" si="1"/>
        <v/>
      </c>
      <c r="B965" s="160"/>
      <c r="C965" s="161"/>
      <c r="D965" s="160"/>
      <c r="E965" s="160"/>
      <c r="F965" s="160"/>
      <c r="G965" s="161"/>
      <c r="H965" s="160"/>
      <c r="I965" s="160"/>
      <c r="J965" s="161"/>
    </row>
    <row r="966">
      <c r="A966" s="155" t="str">
        <f t="shared" si="1"/>
        <v/>
      </c>
      <c r="B966" s="156"/>
      <c r="C966" s="157"/>
      <c r="D966" s="156"/>
      <c r="E966" s="156"/>
      <c r="F966" s="156"/>
      <c r="G966" s="157"/>
      <c r="H966" s="156"/>
      <c r="I966" s="156"/>
      <c r="J966" s="157"/>
    </row>
    <row r="967">
      <c r="A967" s="159" t="str">
        <f t="shared" si="1"/>
        <v/>
      </c>
      <c r="B967" s="160"/>
      <c r="C967" s="161"/>
      <c r="D967" s="160"/>
      <c r="E967" s="160"/>
      <c r="F967" s="160"/>
      <c r="G967" s="161"/>
      <c r="H967" s="160"/>
      <c r="I967" s="160"/>
      <c r="J967" s="161"/>
    </row>
    <row r="968">
      <c r="A968" s="155" t="str">
        <f t="shared" si="1"/>
        <v/>
      </c>
      <c r="B968" s="156"/>
      <c r="C968" s="157"/>
      <c r="D968" s="156"/>
      <c r="E968" s="156"/>
      <c r="F968" s="156"/>
      <c r="G968" s="157"/>
      <c r="H968" s="156"/>
      <c r="I968" s="156"/>
      <c r="J968" s="157"/>
    </row>
    <row r="969">
      <c r="A969" s="159" t="str">
        <f t="shared" si="1"/>
        <v/>
      </c>
      <c r="B969" s="160"/>
      <c r="C969" s="161"/>
      <c r="D969" s="160"/>
      <c r="E969" s="160"/>
      <c r="F969" s="160"/>
      <c r="G969" s="161"/>
      <c r="H969" s="160"/>
      <c r="I969" s="160"/>
      <c r="J969" s="161"/>
    </row>
    <row r="970">
      <c r="A970" s="155" t="str">
        <f t="shared" si="1"/>
        <v/>
      </c>
      <c r="B970" s="156"/>
      <c r="C970" s="157"/>
      <c r="D970" s="156"/>
      <c r="E970" s="156"/>
      <c r="F970" s="156"/>
      <c r="G970" s="157"/>
      <c r="H970" s="156"/>
      <c r="I970" s="156"/>
      <c r="J970" s="157"/>
    </row>
    <row r="971">
      <c r="A971" s="159" t="str">
        <f t="shared" si="1"/>
        <v/>
      </c>
      <c r="B971" s="160"/>
      <c r="C971" s="161"/>
      <c r="D971" s="160"/>
      <c r="E971" s="160"/>
      <c r="F971" s="160"/>
      <c r="G971" s="161"/>
      <c r="H971" s="160"/>
      <c r="I971" s="160"/>
      <c r="J971" s="161"/>
    </row>
    <row r="972">
      <c r="A972" s="155" t="str">
        <f t="shared" si="1"/>
        <v/>
      </c>
      <c r="B972" s="156"/>
      <c r="C972" s="157"/>
      <c r="D972" s="156"/>
      <c r="E972" s="156"/>
      <c r="F972" s="156"/>
      <c r="G972" s="157"/>
      <c r="H972" s="156"/>
      <c r="I972" s="156"/>
      <c r="J972" s="157"/>
    </row>
    <row r="973">
      <c r="A973" s="159" t="str">
        <f t="shared" si="1"/>
        <v/>
      </c>
      <c r="B973" s="160"/>
      <c r="C973" s="161"/>
      <c r="D973" s="160"/>
      <c r="E973" s="160"/>
      <c r="F973" s="160"/>
      <c r="G973" s="161"/>
      <c r="H973" s="160"/>
      <c r="I973" s="160"/>
      <c r="J973" s="161"/>
    </row>
    <row r="974">
      <c r="A974" s="155" t="str">
        <f t="shared" si="1"/>
        <v/>
      </c>
      <c r="B974" s="156"/>
      <c r="C974" s="157"/>
      <c r="D974" s="156"/>
      <c r="E974" s="156"/>
      <c r="F974" s="156"/>
      <c r="G974" s="157"/>
      <c r="H974" s="156"/>
      <c r="I974" s="156"/>
      <c r="J974" s="157"/>
    </row>
    <row r="975">
      <c r="A975" s="159" t="str">
        <f t="shared" si="1"/>
        <v/>
      </c>
      <c r="B975" s="160"/>
      <c r="C975" s="161"/>
      <c r="D975" s="160"/>
      <c r="E975" s="160"/>
      <c r="F975" s="160"/>
      <c r="G975" s="161"/>
      <c r="H975" s="160"/>
      <c r="I975" s="160"/>
      <c r="J975" s="161"/>
    </row>
    <row r="976">
      <c r="A976" s="155" t="str">
        <f t="shared" si="1"/>
        <v/>
      </c>
      <c r="B976" s="156"/>
      <c r="C976" s="157"/>
      <c r="D976" s="156"/>
      <c r="E976" s="156"/>
      <c r="F976" s="156"/>
      <c r="G976" s="157"/>
      <c r="H976" s="156"/>
      <c r="I976" s="156"/>
      <c r="J976" s="157"/>
    </row>
    <row r="977">
      <c r="A977" s="159" t="str">
        <f t="shared" si="1"/>
        <v/>
      </c>
      <c r="B977" s="160"/>
      <c r="C977" s="161"/>
      <c r="D977" s="160"/>
      <c r="E977" s="160"/>
      <c r="F977" s="160"/>
      <c r="G977" s="161"/>
      <c r="H977" s="160"/>
      <c r="I977" s="160"/>
      <c r="J977" s="161"/>
    </row>
    <row r="978">
      <c r="A978" s="155" t="str">
        <f t="shared" si="1"/>
        <v/>
      </c>
      <c r="B978" s="156"/>
      <c r="C978" s="157"/>
      <c r="D978" s="156"/>
      <c r="E978" s="156"/>
      <c r="F978" s="156"/>
      <c r="G978" s="157"/>
      <c r="H978" s="156"/>
      <c r="I978" s="156"/>
      <c r="J978" s="157"/>
    </row>
    <row r="979">
      <c r="A979" s="159" t="str">
        <f t="shared" si="1"/>
        <v/>
      </c>
      <c r="B979" s="160"/>
      <c r="C979" s="161"/>
      <c r="D979" s="160"/>
      <c r="E979" s="160"/>
      <c r="F979" s="160"/>
      <c r="G979" s="161"/>
      <c r="H979" s="160"/>
      <c r="I979" s="160"/>
      <c r="J979" s="161"/>
    </row>
    <row r="980">
      <c r="A980" s="155" t="str">
        <f t="shared" si="1"/>
        <v/>
      </c>
      <c r="B980" s="156"/>
      <c r="C980" s="157"/>
      <c r="D980" s="156"/>
      <c r="E980" s="156"/>
      <c r="F980" s="156"/>
      <c r="G980" s="157"/>
      <c r="H980" s="156"/>
      <c r="I980" s="156"/>
      <c r="J980" s="157"/>
    </row>
    <row r="981">
      <c r="A981" s="159" t="str">
        <f t="shared" si="1"/>
        <v/>
      </c>
      <c r="B981" s="160"/>
      <c r="C981" s="161"/>
      <c r="D981" s="160"/>
      <c r="E981" s="160"/>
      <c r="F981" s="160"/>
      <c r="G981" s="161"/>
      <c r="H981" s="160"/>
      <c r="I981" s="160"/>
      <c r="J981" s="161"/>
    </row>
    <row r="982">
      <c r="A982" s="155" t="str">
        <f t="shared" si="1"/>
        <v/>
      </c>
      <c r="B982" s="156"/>
      <c r="C982" s="157"/>
      <c r="D982" s="156"/>
      <c r="E982" s="156"/>
      <c r="F982" s="156"/>
      <c r="G982" s="157"/>
      <c r="H982" s="156"/>
      <c r="I982" s="156"/>
      <c r="J982" s="157"/>
    </row>
    <row r="983">
      <c r="A983" s="159" t="str">
        <f t="shared" si="1"/>
        <v/>
      </c>
      <c r="B983" s="160"/>
      <c r="C983" s="161"/>
      <c r="D983" s="160"/>
      <c r="E983" s="160"/>
      <c r="F983" s="160"/>
      <c r="G983" s="161"/>
      <c r="H983" s="160"/>
      <c r="I983" s="160"/>
      <c r="J983" s="161"/>
    </row>
    <row r="984">
      <c r="A984" s="155" t="str">
        <f t="shared" si="1"/>
        <v/>
      </c>
      <c r="B984" s="156"/>
      <c r="C984" s="157"/>
      <c r="D984" s="156"/>
      <c r="E984" s="156"/>
      <c r="F984" s="156"/>
      <c r="G984" s="157"/>
      <c r="H984" s="156"/>
      <c r="I984" s="156"/>
      <c r="J984" s="157"/>
    </row>
    <row r="985">
      <c r="A985" s="159" t="str">
        <f t="shared" si="1"/>
        <v/>
      </c>
      <c r="B985" s="160"/>
      <c r="C985" s="161"/>
      <c r="D985" s="160"/>
      <c r="E985" s="160"/>
      <c r="F985" s="160"/>
      <c r="G985" s="161"/>
      <c r="H985" s="160"/>
      <c r="I985" s="160"/>
      <c r="J985" s="161"/>
    </row>
    <row r="986">
      <c r="A986" s="155" t="str">
        <f t="shared" si="1"/>
        <v/>
      </c>
      <c r="B986" s="156"/>
      <c r="C986" s="157"/>
      <c r="D986" s="156"/>
      <c r="E986" s="156"/>
      <c r="F986" s="156"/>
      <c r="G986" s="157"/>
      <c r="H986" s="156"/>
      <c r="I986" s="156"/>
      <c r="J986" s="157"/>
    </row>
    <row r="987">
      <c r="A987" s="159" t="str">
        <f t="shared" si="1"/>
        <v/>
      </c>
      <c r="B987" s="160"/>
      <c r="C987" s="161"/>
      <c r="D987" s="160"/>
      <c r="E987" s="160"/>
      <c r="F987" s="160"/>
      <c r="G987" s="161"/>
      <c r="H987" s="160"/>
      <c r="I987" s="160"/>
      <c r="J987" s="161"/>
    </row>
    <row r="988">
      <c r="A988" s="155" t="str">
        <f t="shared" si="1"/>
        <v/>
      </c>
      <c r="B988" s="156"/>
      <c r="C988" s="157"/>
      <c r="D988" s="156"/>
      <c r="E988" s="156"/>
      <c r="F988" s="156"/>
      <c r="G988" s="157"/>
      <c r="H988" s="156"/>
      <c r="I988" s="156"/>
      <c r="J988" s="157"/>
    </row>
    <row r="989">
      <c r="A989" s="159" t="str">
        <f t="shared" si="1"/>
        <v/>
      </c>
      <c r="B989" s="160"/>
      <c r="C989" s="161"/>
      <c r="D989" s="160"/>
      <c r="E989" s="160"/>
      <c r="F989" s="160"/>
      <c r="G989" s="161"/>
      <c r="H989" s="160"/>
      <c r="I989" s="160"/>
      <c r="J989" s="161"/>
    </row>
    <row r="990">
      <c r="A990" s="155" t="str">
        <f t="shared" si="1"/>
        <v/>
      </c>
      <c r="B990" s="156"/>
      <c r="C990" s="157"/>
      <c r="D990" s="156"/>
      <c r="E990" s="156"/>
      <c r="F990" s="156"/>
      <c r="G990" s="157"/>
      <c r="H990" s="156"/>
      <c r="I990" s="156"/>
      <c r="J990" s="157"/>
    </row>
    <row r="991">
      <c r="A991" s="159" t="str">
        <f t="shared" si="1"/>
        <v/>
      </c>
      <c r="B991" s="160"/>
      <c r="C991" s="161"/>
      <c r="D991" s="160"/>
      <c r="E991" s="160"/>
      <c r="F991" s="160"/>
      <c r="G991" s="161"/>
      <c r="H991" s="160"/>
      <c r="I991" s="160"/>
      <c r="J991" s="161"/>
    </row>
    <row r="992">
      <c r="A992" s="155" t="str">
        <f t="shared" si="1"/>
        <v/>
      </c>
      <c r="B992" s="156"/>
      <c r="C992" s="157"/>
      <c r="D992" s="156"/>
      <c r="E992" s="156"/>
      <c r="F992" s="156"/>
      <c r="G992" s="157"/>
      <c r="H992" s="156"/>
      <c r="I992" s="156"/>
      <c r="J992" s="157"/>
    </row>
    <row r="993">
      <c r="A993" s="159" t="str">
        <f t="shared" si="1"/>
        <v/>
      </c>
      <c r="B993" s="160"/>
      <c r="C993" s="161"/>
      <c r="D993" s="160"/>
      <c r="E993" s="160"/>
      <c r="F993" s="160"/>
      <c r="G993" s="161"/>
      <c r="H993" s="160"/>
      <c r="I993" s="160"/>
      <c r="J993" s="161"/>
    </row>
    <row r="994">
      <c r="A994" s="155" t="str">
        <f t="shared" si="1"/>
        <v/>
      </c>
      <c r="B994" s="156"/>
      <c r="C994" s="157"/>
      <c r="D994" s="156"/>
      <c r="E994" s="156"/>
      <c r="F994" s="156"/>
      <c r="G994" s="157"/>
      <c r="H994" s="156"/>
      <c r="I994" s="156"/>
      <c r="J994" s="157"/>
    </row>
    <row r="995">
      <c r="A995" s="159" t="str">
        <f t="shared" si="1"/>
        <v/>
      </c>
      <c r="B995" s="160"/>
      <c r="C995" s="161"/>
      <c r="D995" s="160"/>
      <c r="E995" s="160"/>
      <c r="F995" s="160"/>
      <c r="G995" s="161"/>
      <c r="H995" s="160"/>
      <c r="I995" s="160"/>
      <c r="J995" s="161"/>
    </row>
    <row r="996">
      <c r="A996" s="155" t="str">
        <f t="shared" si="1"/>
        <v/>
      </c>
      <c r="B996" s="156"/>
      <c r="C996" s="157"/>
      <c r="D996" s="156"/>
      <c r="E996" s="156"/>
      <c r="F996" s="156"/>
      <c r="G996" s="157"/>
      <c r="H996" s="156"/>
      <c r="I996" s="156"/>
      <c r="J996" s="157"/>
    </row>
    <row r="997">
      <c r="A997" s="159" t="str">
        <f t="shared" si="1"/>
        <v/>
      </c>
      <c r="B997" s="160"/>
      <c r="C997" s="161"/>
      <c r="D997" s="160"/>
      <c r="E997" s="160"/>
      <c r="F997" s="160"/>
      <c r="G997" s="161"/>
      <c r="H997" s="160"/>
      <c r="I997" s="160"/>
      <c r="J997" s="161"/>
    </row>
    <row r="998">
      <c r="A998" s="155" t="str">
        <f t="shared" si="1"/>
        <v/>
      </c>
      <c r="B998" s="156"/>
      <c r="C998" s="157"/>
      <c r="D998" s="156"/>
      <c r="E998" s="156"/>
      <c r="F998" s="156"/>
      <c r="G998" s="157"/>
      <c r="H998" s="156"/>
      <c r="I998" s="156"/>
      <c r="J998" s="157"/>
    </row>
    <row r="999">
      <c r="A999" s="159" t="str">
        <f t="shared" si="1"/>
        <v/>
      </c>
      <c r="B999" s="160"/>
      <c r="C999" s="161"/>
      <c r="D999" s="160"/>
      <c r="E999" s="160"/>
      <c r="F999" s="160"/>
      <c r="G999" s="161"/>
      <c r="H999" s="160"/>
      <c r="I999" s="160"/>
      <c r="J999" s="161"/>
    </row>
    <row r="1000">
      <c r="A1000" s="155" t="str">
        <f t="shared" si="1"/>
        <v/>
      </c>
      <c r="B1000" s="156"/>
      <c r="C1000" s="157"/>
      <c r="D1000" s="156"/>
      <c r="E1000" s="156"/>
      <c r="F1000" s="156"/>
      <c r="G1000" s="157"/>
      <c r="H1000" s="156"/>
      <c r="I1000" s="156"/>
      <c r="J1000" s="157"/>
    </row>
  </sheetData>
  <autoFilter ref="$A$5:$J$158"/>
  <mergeCells count="1">
    <mergeCell ref="L6:M7"/>
  </mergeCells>
  <dataValidations>
    <dataValidation type="list" allowBlank="1" showErrorMessage="1" sqref="C2">
      <formula1>"BLK 1,BLK 3,BLOCK 4,BLK 5,BLK 45,BLK 46,BLK 41,BLK 49"</formula1>
    </dataValidation>
  </dataValidations>
  <drawing r:id="rId1"/>
</worksheet>
</file>