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nesser/Documents/Harvard/Research/TROPOMI_Inversion/paper/"/>
    </mc:Choice>
  </mc:AlternateContent>
  <xr:revisionPtr revIDLastSave="0" documentId="13_ncr:1_{4895C476-B519-9948-8AA3-D83CFB52F427}" xr6:coauthVersionLast="47" xr6:coauthVersionMax="47" xr10:uidLastSave="{00000000-0000-0000-0000-000000000000}"/>
  <bookViews>
    <workbookView xWindow="15600" yWindow="460" windowWidth="22740" windowHeight="20540" activeTab="5" xr2:uid="{95ADAA5D-9913-4C42-80C5-C44B6108DEC1}"/>
  </bookViews>
  <sheets>
    <sheet name="raw" sheetId="1" r:id="rId1"/>
    <sheet name="raw_epa22" sheetId="3" r:id="rId2"/>
    <sheet name="epa22" sheetId="4" r:id="rId3"/>
    <sheet name="raw_epa23" sheetId="5" r:id="rId4"/>
    <sheet name="epa23" sheetId="6" r:id="rId5"/>
    <sheet name="Sheet2" sheetId="2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8" i="6"/>
  <c r="C8" i="6"/>
  <c r="B3" i="6"/>
  <c r="B8" i="6" s="1"/>
  <c r="B4" i="6"/>
  <c r="B5" i="6"/>
  <c r="B6" i="6"/>
  <c r="B7" i="6"/>
  <c r="B2" i="6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P2" i="5"/>
  <c r="O2" i="5"/>
  <c r="M1" i="5"/>
  <c r="N1" i="5"/>
  <c r="M2" i="5"/>
  <c r="N2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J3" i="2"/>
  <c r="L17" i="5"/>
  <c r="L12" i="5"/>
  <c r="L11" i="5"/>
  <c r="L10" i="5"/>
  <c r="L8" i="5"/>
  <c r="L3" i="5"/>
  <c r="L9" i="5"/>
  <c r="L16" i="5"/>
  <c r="K9" i="5"/>
  <c r="K10" i="5"/>
  <c r="K14" i="5"/>
  <c r="K15" i="5"/>
  <c r="K17" i="5"/>
  <c r="K2" i="5"/>
  <c r="J2" i="5"/>
  <c r="H4" i="2"/>
  <c r="C4" i="2"/>
  <c r="A17" i="5"/>
  <c r="B17" i="5"/>
  <c r="C17" i="5"/>
  <c r="F17" i="5"/>
  <c r="G17" i="5"/>
  <c r="J17" i="5"/>
  <c r="A15" i="5"/>
  <c r="B15" i="5"/>
  <c r="C15" i="5"/>
  <c r="F15" i="5"/>
  <c r="G15" i="5"/>
  <c r="J15" i="5"/>
  <c r="L15" i="5"/>
  <c r="A16" i="5"/>
  <c r="B16" i="5"/>
  <c r="C16" i="5"/>
  <c r="F16" i="5"/>
  <c r="G16" i="5"/>
  <c r="J16" i="5"/>
  <c r="K16" i="5"/>
  <c r="A2" i="5"/>
  <c r="B2" i="5"/>
  <c r="C2" i="5"/>
  <c r="F2" i="5"/>
  <c r="G2" i="5"/>
  <c r="L2" i="5"/>
  <c r="A3" i="5"/>
  <c r="B3" i="5"/>
  <c r="C3" i="5"/>
  <c r="F3" i="5"/>
  <c r="G3" i="5"/>
  <c r="J3" i="5"/>
  <c r="K3" i="5"/>
  <c r="A4" i="5"/>
  <c r="B4" i="5"/>
  <c r="C4" i="5"/>
  <c r="F4" i="5"/>
  <c r="G4" i="5"/>
  <c r="J4" i="5"/>
  <c r="K4" i="5"/>
  <c r="L4" i="5"/>
  <c r="A5" i="5"/>
  <c r="B5" i="5"/>
  <c r="C5" i="5"/>
  <c r="F5" i="5"/>
  <c r="G5" i="5"/>
  <c r="J5" i="5"/>
  <c r="K5" i="5"/>
  <c r="L5" i="5"/>
  <c r="A6" i="5"/>
  <c r="B6" i="5"/>
  <c r="C6" i="5"/>
  <c r="F6" i="5"/>
  <c r="G6" i="5"/>
  <c r="J6" i="5"/>
  <c r="K6" i="5"/>
  <c r="L6" i="5"/>
  <c r="A7" i="5"/>
  <c r="B7" i="5"/>
  <c r="C7" i="5"/>
  <c r="F7" i="5"/>
  <c r="G7" i="5"/>
  <c r="J7" i="5"/>
  <c r="K7" i="5"/>
  <c r="L7" i="5"/>
  <c r="A8" i="5"/>
  <c r="B8" i="5"/>
  <c r="C8" i="5"/>
  <c r="F8" i="5"/>
  <c r="G8" i="5"/>
  <c r="J8" i="5"/>
  <c r="K8" i="5"/>
  <c r="A9" i="5"/>
  <c r="B9" i="5"/>
  <c r="C9" i="5"/>
  <c r="F9" i="5"/>
  <c r="G9" i="5"/>
  <c r="J9" i="5"/>
  <c r="A10" i="5"/>
  <c r="B10" i="5"/>
  <c r="C10" i="5"/>
  <c r="F10" i="5"/>
  <c r="G10" i="5"/>
  <c r="J10" i="5"/>
  <c r="A11" i="5"/>
  <c r="B11" i="5"/>
  <c r="C11" i="5"/>
  <c r="F11" i="5"/>
  <c r="G11" i="5"/>
  <c r="J11" i="5"/>
  <c r="K11" i="5"/>
  <c r="A12" i="5"/>
  <c r="B12" i="5"/>
  <c r="C12" i="5"/>
  <c r="F12" i="5"/>
  <c r="G12" i="5"/>
  <c r="J12" i="5"/>
  <c r="K12" i="5"/>
  <c r="A13" i="5"/>
  <c r="B13" i="5"/>
  <c r="C13" i="5"/>
  <c r="F13" i="5"/>
  <c r="G13" i="5"/>
  <c r="J13" i="5"/>
  <c r="K13" i="5"/>
  <c r="L13" i="5"/>
  <c r="A14" i="5"/>
  <c r="B14" i="5"/>
  <c r="C14" i="5"/>
  <c r="F14" i="5"/>
  <c r="G14" i="5"/>
  <c r="J14" i="5"/>
  <c r="L14" i="5"/>
  <c r="J1" i="5"/>
  <c r="K1" i="5"/>
  <c r="L1" i="5"/>
  <c r="B1" i="5"/>
  <c r="C1" i="5"/>
  <c r="D1" i="5"/>
  <c r="E1" i="5"/>
  <c r="F1" i="5"/>
  <c r="G1" i="5"/>
  <c r="H1" i="5"/>
  <c r="I1" i="5"/>
  <c r="A1" i="5"/>
  <c r="B7" i="4"/>
  <c r="I9" i="2" s="1"/>
  <c r="I3" i="2"/>
  <c r="C6" i="6" l="1"/>
  <c r="J5" i="2"/>
  <c r="C5" i="6"/>
  <c r="J4" i="2"/>
  <c r="J9" i="2"/>
  <c r="D4" i="6"/>
  <c r="D6" i="6"/>
  <c r="J8" i="2"/>
  <c r="D5" i="6"/>
  <c r="C3" i="6"/>
  <c r="J7" i="2"/>
  <c r="D3" i="6"/>
  <c r="C2" i="2"/>
  <c r="E4" i="2"/>
  <c r="D7" i="2" l="1"/>
  <c r="J6" i="2"/>
  <c r="D8" i="2"/>
  <c r="C2" i="6"/>
  <c r="C4" i="6"/>
  <c r="D6" i="2" s="1"/>
  <c r="D2" i="6"/>
  <c r="C7" i="6"/>
  <c r="D5" i="2"/>
  <c r="D7" i="6"/>
  <c r="B3" i="4"/>
  <c r="I5" i="2" s="1"/>
  <c r="B4" i="4"/>
  <c r="I6" i="2" s="1"/>
  <c r="B5" i="4"/>
  <c r="I7" i="2" s="1"/>
  <c r="B6" i="4"/>
  <c r="B2" i="4"/>
  <c r="I1" i="3"/>
  <c r="J1" i="3"/>
  <c r="K1" i="3"/>
  <c r="I2" i="3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M2" i="3"/>
  <c r="L2" i="3"/>
  <c r="B1" i="3"/>
  <c r="C1" i="3"/>
  <c r="D1" i="3"/>
  <c r="E1" i="3"/>
  <c r="F1" i="3"/>
  <c r="G1" i="3"/>
  <c r="H1" i="3"/>
  <c r="B2" i="3"/>
  <c r="C2" i="3"/>
  <c r="D2" i="3"/>
  <c r="E2" i="3"/>
  <c r="F2" i="3"/>
  <c r="G2" i="3"/>
  <c r="H2" i="3"/>
  <c r="B3" i="3"/>
  <c r="C3" i="3"/>
  <c r="D3" i="3"/>
  <c r="E3" i="3"/>
  <c r="F3" i="3"/>
  <c r="G3" i="3"/>
  <c r="L3" i="3" s="1"/>
  <c r="H3" i="3"/>
  <c r="M3" i="3" s="1"/>
  <c r="B4" i="3"/>
  <c r="C4" i="3"/>
  <c r="D4" i="3"/>
  <c r="E4" i="3"/>
  <c r="F4" i="3"/>
  <c r="G4" i="3"/>
  <c r="L4" i="3" s="1"/>
  <c r="H4" i="3"/>
  <c r="M4" i="3" s="1"/>
  <c r="B5" i="3"/>
  <c r="C5" i="3"/>
  <c r="D5" i="3"/>
  <c r="E5" i="3"/>
  <c r="F5" i="3"/>
  <c r="G5" i="3"/>
  <c r="L5" i="3" s="1"/>
  <c r="H5" i="3"/>
  <c r="M5" i="3" s="1"/>
  <c r="B6" i="3"/>
  <c r="C6" i="3"/>
  <c r="D6" i="3"/>
  <c r="E6" i="3"/>
  <c r="F6" i="3"/>
  <c r="G6" i="3"/>
  <c r="L6" i="3" s="1"/>
  <c r="H6" i="3"/>
  <c r="M6" i="3" s="1"/>
  <c r="B7" i="3"/>
  <c r="C7" i="3"/>
  <c r="D7" i="3"/>
  <c r="E7" i="3"/>
  <c r="F7" i="3"/>
  <c r="G7" i="3"/>
  <c r="L7" i="3" s="1"/>
  <c r="H7" i="3"/>
  <c r="M7" i="3" s="1"/>
  <c r="B8" i="3"/>
  <c r="C8" i="3"/>
  <c r="D8" i="3"/>
  <c r="E8" i="3"/>
  <c r="F8" i="3"/>
  <c r="G8" i="3"/>
  <c r="L8" i="3" s="1"/>
  <c r="H8" i="3"/>
  <c r="M8" i="3" s="1"/>
  <c r="B9" i="3"/>
  <c r="C9" i="3"/>
  <c r="D9" i="3"/>
  <c r="E9" i="3"/>
  <c r="F9" i="3"/>
  <c r="G9" i="3"/>
  <c r="L9" i="3" s="1"/>
  <c r="H9" i="3"/>
  <c r="M9" i="3" s="1"/>
  <c r="B10" i="3"/>
  <c r="C10" i="3"/>
  <c r="D10" i="3"/>
  <c r="E10" i="3"/>
  <c r="F10" i="3"/>
  <c r="G10" i="3"/>
  <c r="L10" i="3" s="1"/>
  <c r="H10" i="3"/>
  <c r="M10" i="3" s="1"/>
  <c r="B11" i="3"/>
  <c r="C11" i="3"/>
  <c r="D11" i="3"/>
  <c r="E11" i="3"/>
  <c r="F11" i="3"/>
  <c r="G11" i="3"/>
  <c r="L11" i="3" s="1"/>
  <c r="H11" i="3"/>
  <c r="M11" i="3" s="1"/>
  <c r="B12" i="3"/>
  <c r="C12" i="3"/>
  <c r="D12" i="3"/>
  <c r="E12" i="3"/>
  <c r="F12" i="3"/>
  <c r="G12" i="3"/>
  <c r="L12" i="3" s="1"/>
  <c r="H12" i="3"/>
  <c r="M12" i="3" s="1"/>
  <c r="B13" i="3"/>
  <c r="C13" i="3"/>
  <c r="D13" i="3"/>
  <c r="E13" i="3"/>
  <c r="F13" i="3"/>
  <c r="G13" i="3"/>
  <c r="L13" i="3" s="1"/>
  <c r="H13" i="3"/>
  <c r="M13" i="3" s="1"/>
  <c r="B14" i="3"/>
  <c r="C14" i="3"/>
  <c r="D14" i="3"/>
  <c r="E14" i="3"/>
  <c r="F14" i="3"/>
  <c r="G14" i="3"/>
  <c r="L14" i="3" s="1"/>
  <c r="H14" i="3"/>
  <c r="M14" i="3" s="1"/>
  <c r="B15" i="3"/>
  <c r="C15" i="3"/>
  <c r="D15" i="3"/>
  <c r="E15" i="3"/>
  <c r="F15" i="3"/>
  <c r="G15" i="3"/>
  <c r="L15" i="3" s="1"/>
  <c r="H15" i="3"/>
  <c r="M15" i="3" s="1"/>
  <c r="B16" i="3"/>
  <c r="C16" i="3"/>
  <c r="D16" i="3"/>
  <c r="E16" i="3"/>
  <c r="F16" i="3"/>
  <c r="G16" i="3"/>
  <c r="L16" i="3" s="1"/>
  <c r="H16" i="3"/>
  <c r="M16" i="3" s="1"/>
  <c r="B17" i="3"/>
  <c r="C17" i="3"/>
  <c r="D17" i="3"/>
  <c r="E17" i="3"/>
  <c r="F17" i="3"/>
  <c r="G17" i="3"/>
  <c r="L17" i="3" s="1"/>
  <c r="H17" i="3"/>
  <c r="M17" i="3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" i="3"/>
  <c r="B14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2" i="1"/>
  <c r="C11" i="2" s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J10" i="1" s="1"/>
  <c r="C10" i="1"/>
  <c r="D10" i="1"/>
  <c r="A11" i="1"/>
  <c r="B11" i="1"/>
  <c r="J11" i="1" s="1"/>
  <c r="C11" i="1"/>
  <c r="D11" i="1"/>
  <c r="A12" i="1"/>
  <c r="B12" i="1"/>
  <c r="J12" i="1" s="1"/>
  <c r="C12" i="1"/>
  <c r="D12" i="1"/>
  <c r="A13" i="1"/>
  <c r="B13" i="1"/>
  <c r="J13" i="1" s="1"/>
  <c r="C13" i="1"/>
  <c r="D13" i="1"/>
  <c r="A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J26" i="1" s="1"/>
  <c r="C26" i="1"/>
  <c r="D26" i="1"/>
  <c r="A27" i="1"/>
  <c r="B27" i="1"/>
  <c r="C27" i="1"/>
  <c r="D27" i="1"/>
  <c r="A28" i="1"/>
  <c r="B28" i="1"/>
  <c r="J28" i="1" s="1"/>
  <c r="C28" i="1"/>
  <c r="D28" i="1"/>
  <c r="A29" i="1"/>
  <c r="B29" i="1"/>
  <c r="J29" i="1" s="1"/>
  <c r="C29" i="1"/>
  <c r="D29" i="1"/>
  <c r="B1" i="1"/>
  <c r="C1" i="1"/>
  <c r="D1" i="1"/>
  <c r="A1" i="1"/>
  <c r="D4" i="2" l="1"/>
  <c r="D9" i="2"/>
  <c r="H8" i="2"/>
  <c r="I8" i="2"/>
  <c r="I4" i="2"/>
  <c r="I13" i="2" s="1"/>
  <c r="B8" i="4"/>
  <c r="C2" i="4"/>
  <c r="C7" i="4"/>
  <c r="H9" i="2"/>
  <c r="C5" i="4"/>
  <c r="H7" i="2"/>
  <c r="D4" i="4"/>
  <c r="H6" i="2"/>
  <c r="C3" i="4"/>
  <c r="H5" i="2"/>
  <c r="C12" i="2"/>
  <c r="C10" i="2" s="1"/>
  <c r="J27" i="1"/>
  <c r="J16" i="1"/>
  <c r="J30" i="1"/>
  <c r="J15" i="1"/>
  <c r="J17" i="1"/>
  <c r="C4" i="4"/>
  <c r="D7" i="4"/>
  <c r="D5" i="4"/>
  <c r="D3" i="4"/>
  <c r="C6" i="4"/>
  <c r="D6" i="4"/>
  <c r="D2" i="4"/>
  <c r="J14" i="1"/>
  <c r="J31" i="1"/>
  <c r="E30" i="1"/>
  <c r="K30" i="1" s="1"/>
  <c r="F7" i="1"/>
  <c r="F33" i="1"/>
  <c r="L33" i="1" s="1"/>
  <c r="E33" i="1"/>
  <c r="K33" i="1" s="1"/>
  <c r="J33" i="1"/>
  <c r="F9" i="2"/>
  <c r="F6" i="2"/>
  <c r="F30" i="1"/>
  <c r="L30" i="1" s="1"/>
  <c r="F5" i="2"/>
  <c r="E32" i="1"/>
  <c r="K32" i="1" s="1"/>
  <c r="J32" i="1"/>
  <c r="F11" i="2"/>
  <c r="F12" i="2"/>
  <c r="F4" i="2"/>
  <c r="E31" i="1"/>
  <c r="K31" i="1" s="1"/>
  <c r="F8" i="2"/>
  <c r="F7" i="2"/>
  <c r="F31" i="1"/>
  <c r="L31" i="1" s="1"/>
  <c r="F32" i="1"/>
  <c r="L32" i="1" s="1"/>
  <c r="E20" i="1"/>
  <c r="E12" i="1"/>
  <c r="K12" i="1" s="1"/>
  <c r="E10" i="1"/>
  <c r="K10" i="1" s="1"/>
  <c r="F2" i="1"/>
  <c r="E28" i="1"/>
  <c r="K28" i="1" s="1"/>
  <c r="E22" i="1"/>
  <c r="E16" i="1"/>
  <c r="K16" i="1" s="1"/>
  <c r="E8" i="1"/>
  <c r="E24" i="1"/>
  <c r="E18" i="1"/>
  <c r="E6" i="1"/>
  <c r="F23" i="1"/>
  <c r="F25" i="1"/>
  <c r="F21" i="1"/>
  <c r="F17" i="1"/>
  <c r="L17" i="1" s="1"/>
  <c r="F9" i="1"/>
  <c r="E3" i="1"/>
  <c r="F29" i="1"/>
  <c r="L29" i="1" s="1"/>
  <c r="E19" i="1"/>
  <c r="F13" i="1"/>
  <c r="L13" i="1" s="1"/>
  <c r="E7" i="1"/>
  <c r="F5" i="1"/>
  <c r="F15" i="1"/>
  <c r="L15" i="1" s="1"/>
  <c r="E23" i="1"/>
  <c r="E15" i="1"/>
  <c r="K15" i="1" s="1"/>
  <c r="G9" i="2" s="1"/>
  <c r="E2" i="1"/>
  <c r="F22" i="1"/>
  <c r="F14" i="1"/>
  <c r="L14" i="1" s="1"/>
  <c r="F6" i="1"/>
  <c r="E14" i="1"/>
  <c r="K14" i="1" s="1"/>
  <c r="F27" i="1"/>
  <c r="L27" i="1" s="1"/>
  <c r="F19" i="1"/>
  <c r="F11" i="1"/>
  <c r="L11" i="1" s="1"/>
  <c r="F3" i="1"/>
  <c r="E27" i="1"/>
  <c r="K27" i="1" s="1"/>
  <c r="E11" i="1"/>
  <c r="K11" i="1" s="1"/>
  <c r="F26" i="1"/>
  <c r="L26" i="1" s="1"/>
  <c r="F18" i="1"/>
  <c r="F10" i="1"/>
  <c r="L10" i="1" s="1"/>
  <c r="E4" i="1"/>
  <c r="E26" i="1"/>
  <c r="K26" i="1" s="1"/>
  <c r="E29" i="1"/>
  <c r="K29" i="1" s="1"/>
  <c r="E25" i="1"/>
  <c r="E12" i="2" s="1"/>
  <c r="E21" i="1"/>
  <c r="E7" i="2" s="1"/>
  <c r="E17" i="1"/>
  <c r="K17" i="1" s="1"/>
  <c r="G12" i="2" s="1"/>
  <c r="E13" i="1"/>
  <c r="K13" i="1" s="1"/>
  <c r="E9" i="1"/>
  <c r="E5" i="1"/>
  <c r="F28" i="1"/>
  <c r="L28" i="1" s="1"/>
  <c r="F24" i="1"/>
  <c r="F20" i="1"/>
  <c r="F16" i="1"/>
  <c r="L16" i="1" s="1"/>
  <c r="F12" i="1"/>
  <c r="L12" i="1" s="1"/>
  <c r="F8" i="1"/>
  <c r="F4" i="1"/>
  <c r="C3" i="2" l="1"/>
  <c r="C8" i="4"/>
  <c r="D8" i="4"/>
  <c r="H3" i="2"/>
  <c r="E9" i="2"/>
  <c r="C5" i="2"/>
  <c r="C6" i="2"/>
  <c r="C7" i="2"/>
  <c r="C8" i="2"/>
  <c r="C9" i="2"/>
  <c r="E5" i="2"/>
  <c r="E6" i="2"/>
  <c r="G7" i="2"/>
  <c r="E11" i="2"/>
  <c r="G11" i="2"/>
  <c r="G8" i="2"/>
  <c r="E8" i="2"/>
  <c r="G5" i="2"/>
  <c r="G4" i="2"/>
  <c r="G6" i="2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E2" i="5"/>
  <c r="D2" i="5"/>
  <c r="I8" i="5" l="1"/>
  <c r="H8" i="5"/>
  <c r="I11" i="5"/>
  <c r="H7" i="5"/>
  <c r="H2" i="5"/>
  <c r="I14" i="5"/>
  <c r="I10" i="5"/>
  <c r="I6" i="5"/>
  <c r="I4" i="5"/>
  <c r="H4" i="5"/>
  <c r="I15" i="5"/>
  <c r="H3" i="5"/>
  <c r="I2" i="5"/>
  <c r="H6" i="5"/>
  <c r="I12" i="5"/>
  <c r="H12" i="5"/>
  <c r="I3" i="5"/>
  <c r="H11" i="5"/>
  <c r="H10" i="5"/>
  <c r="I17" i="5"/>
  <c r="I13" i="5"/>
  <c r="I9" i="5"/>
  <c r="I5" i="5"/>
  <c r="I16" i="5"/>
  <c r="H16" i="5"/>
  <c r="I7" i="5"/>
  <c r="H15" i="5"/>
  <c r="H14" i="5"/>
  <c r="H17" i="5"/>
  <c r="H13" i="5"/>
  <c r="H9" i="5"/>
  <c r="H5" i="5"/>
</calcChain>
</file>

<file path=xl/sharedStrings.xml><?xml version="1.0" encoding="utf-8"?>
<sst xmlns="http://schemas.openxmlformats.org/spreadsheetml/2006/main" count="63" uniqueCount="43">
  <si>
    <t>Livestock</t>
  </si>
  <si>
    <t>Oil and natural gas</t>
  </si>
  <si>
    <t>Coal</t>
  </si>
  <si>
    <t>Landfills</t>
  </si>
  <si>
    <t>Wastewater</t>
  </si>
  <si>
    <t>Wetlands</t>
  </si>
  <si>
    <t>ong</t>
  </si>
  <si>
    <t>livestock</t>
  </si>
  <si>
    <t>coal</t>
  </si>
  <si>
    <t>landfills</t>
  </si>
  <si>
    <t>wastewater</t>
  </si>
  <si>
    <t>wetlands</t>
  </si>
  <si>
    <t>min_abs</t>
  </si>
  <si>
    <t>max_abs</t>
  </si>
  <si>
    <t>other_anth</t>
  </si>
  <si>
    <t>dofs</t>
  </si>
  <si>
    <t>dofs_min</t>
  </si>
  <si>
    <t>dofs_max</t>
  </si>
  <si>
    <t>Percentage of prior emissions optimized</t>
  </si>
  <si>
    <t>pct_opt</t>
  </si>
  <si>
    <t>pct_opt_min</t>
  </si>
  <si>
    <t>pct_opt_max</t>
  </si>
  <si>
    <t>Other anthropogenic</t>
  </si>
  <si>
    <t>Other biogenic</t>
  </si>
  <si>
    <t>other_bio</t>
  </si>
  <si>
    <t>Anthropogenic sources</t>
  </si>
  <si>
    <t>Natural sources</t>
  </si>
  <si>
    <t>30.9 (30.0 - 31.8)</t>
  </si>
  <si>
    <t>39.3 (38.2 - 40.3)</t>
  </si>
  <si>
    <t>8.4 (8.1 - 8.6)</t>
  </si>
  <si>
    <t>74 (65 - 83)</t>
  </si>
  <si>
    <t>80 (72 - 87)</t>
  </si>
  <si>
    <t>53 (36 - 69)</t>
  </si>
  <si>
    <t>mean</t>
  </si>
  <si>
    <t>min</t>
  </si>
  <si>
    <t>max</t>
  </si>
  <si>
    <t>minus_sq</t>
  </si>
  <si>
    <t>plus_sq</t>
  </si>
  <si>
    <t>Sensitivity</t>
  </si>
  <si>
    <t>total</t>
  </si>
  <si>
    <t>Inventory emissions</t>
  </si>
  <si>
    <t>Posterior emissions</t>
  </si>
  <si>
    <t>Total sources (Tg a-1)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</si>
</sst>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/>
    <xf numFmtId="164" fontId="1" fillId="0" borderId="4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indent="2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8" xfId="0" applyFont="1" applyBorder="1"/>
    <xf numFmtId="164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 indent="2"/>
    </xf>
    <xf numFmtId="0" fontId="1" fillId="0" borderId="10" xfId="0" applyFont="1" applyBorder="1"/>
    <xf numFmtId="164" fontId="1" fillId="0" borderId="10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" fillId="0" borderId="6" xfId="0" applyFont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indent="1"/>
    </xf>
    <xf numFmtId="0" fontId="1" fillId="0" borderId="13" xfId="0" applyFont="1" applyBorder="1" applyAlignment="1">
      <alignment horizontal="left" indent="2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 indent="2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0" xfId="0" applyFont="1"/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21" xfId="0" applyFont="1" applyBorder="1"/>
    <xf numFmtId="0" fontId="2" fillId="0" borderId="22" xfId="0" applyFont="1" applyBorder="1"/>
    <xf numFmtId="164" fontId="1" fillId="0" borderId="0" xfId="0" applyNumberFormat="1" applyFont="1" applyAlignment="1">
      <alignment horizontal="left"/>
    </xf>
    <xf numFmtId="164" fontId="1" fillId="0" borderId="25" xfId="0" applyNumberFormat="1" applyFont="1" applyBorder="1" applyAlignment="1">
      <alignment horizontal="left"/>
    </xf>
    <xf numFmtId="164" fontId="1" fillId="0" borderId="26" xfId="0" applyNumberFormat="1" applyFont="1" applyBorder="1" applyAlignment="1">
      <alignment horizontal="left"/>
    </xf>
    <xf numFmtId="164" fontId="1" fillId="0" borderId="27" xfId="0" applyNumberFormat="1" applyFont="1" applyBorder="1" applyAlignment="1">
      <alignment horizontal="left"/>
    </xf>
    <xf numFmtId="164" fontId="1" fillId="0" borderId="28" xfId="0" applyNumberFormat="1" applyFont="1" applyBorder="1" applyAlignment="1">
      <alignment horizontal="left"/>
    </xf>
    <xf numFmtId="0" fontId="2" fillId="0" borderId="30" xfId="0" applyFont="1" applyBorder="1" applyAlignment="1">
      <alignment horizontal="left" indent="1"/>
    </xf>
    <xf numFmtId="0" fontId="1" fillId="0" borderId="31" xfId="0" applyFont="1" applyBorder="1"/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1" xfId="0" applyFont="1" applyBorder="1" applyAlignment="1">
      <alignment horizontal="left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5" fontId="0" fillId="0" borderId="0" xfId="1" applyNumberFormat="1" applyFont="1"/>
    <xf numFmtId="164" fontId="1" fillId="0" borderId="32" xfId="0" applyNumberFormat="1" applyFont="1" applyBorder="1" applyAlignment="1">
      <alignment horizontal="left"/>
    </xf>
    <xf numFmtId="164" fontId="1" fillId="0" borderId="31" xfId="0" applyNumberFormat="1" applyFont="1" applyBorder="1" applyAlignment="1">
      <alignment horizontal="left"/>
    </xf>
    <xf numFmtId="164" fontId="1" fillId="0" borderId="26" xfId="0" applyNumberFormat="1" applyFont="1" applyBorder="1" applyAlignment="1">
      <alignment horizontal="left"/>
    </xf>
    <xf numFmtId="164" fontId="1" fillId="0" borderId="10" xfId="0" applyNumberFormat="1" applyFont="1" applyBorder="1" applyAlignment="1">
      <alignment horizontal="left"/>
    </xf>
    <xf numFmtId="164" fontId="1" fillId="0" borderId="29" xfId="0" applyNumberFormat="1" applyFont="1" applyBorder="1" applyAlignment="1">
      <alignment horizontal="left"/>
    </xf>
    <xf numFmtId="164" fontId="1" fillId="0" borderId="14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U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nesser/Documents/Harvard/Research/TROPOMI_Inversion/inversion_data/countries/epa_ghgi_202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nesser/Documents/Harvard/Research/TROPOMI_Inversion/inversion_data/countries/epa_ghgi_20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US"/>
    </sheetNames>
    <sheetDataSet>
      <sheetData sheetId="0">
        <row r="1">
          <cell r="B1" t="str">
            <v>mean</v>
          </cell>
          <cell r="C1" t="str">
            <v>min</v>
          </cell>
          <cell r="D1" t="str">
            <v>max</v>
          </cell>
        </row>
        <row r="2">
          <cell r="A2" t="str">
            <v>prior_livestock</v>
          </cell>
          <cell r="B2">
            <v>9.1751600585821596</v>
          </cell>
          <cell r="C2">
            <v>0</v>
          </cell>
          <cell r="D2">
            <v>0</v>
          </cell>
        </row>
        <row r="3">
          <cell r="A3" t="str">
            <v>prior_ong</v>
          </cell>
          <cell r="B3">
            <v>9.4217441570790292</v>
          </cell>
          <cell r="C3">
            <v>0</v>
          </cell>
          <cell r="D3">
            <v>0</v>
          </cell>
        </row>
        <row r="4">
          <cell r="A4" t="str">
            <v>prior_coal</v>
          </cell>
          <cell r="B4">
            <v>2.8941541922983198</v>
          </cell>
          <cell r="C4">
            <v>0</v>
          </cell>
          <cell r="D4">
            <v>0</v>
          </cell>
        </row>
        <row r="5">
          <cell r="A5" t="str">
            <v>prior_landfills</v>
          </cell>
          <cell r="B5">
            <v>5.6512483122710799</v>
          </cell>
          <cell r="C5">
            <v>0</v>
          </cell>
          <cell r="D5">
            <v>0</v>
          </cell>
        </row>
        <row r="6">
          <cell r="A6" t="str">
            <v>prior_wastewater</v>
          </cell>
          <cell r="B6">
            <v>0.634853586640719</v>
          </cell>
          <cell r="C6">
            <v>0</v>
          </cell>
          <cell r="D6">
            <v>0</v>
          </cell>
        </row>
        <row r="7">
          <cell r="A7" t="str">
            <v>prior_other_anth</v>
          </cell>
          <cell r="B7">
            <v>0.93546787309467605</v>
          </cell>
          <cell r="C7">
            <v>0</v>
          </cell>
          <cell r="D7">
            <v>0</v>
          </cell>
        </row>
        <row r="8">
          <cell r="A8" t="str">
            <v>prior_wetlands</v>
          </cell>
          <cell r="B8">
            <v>6.6284714498648896</v>
          </cell>
          <cell r="C8">
            <v>0</v>
          </cell>
          <cell r="D8">
            <v>0</v>
          </cell>
        </row>
        <row r="9">
          <cell r="A9" t="str">
            <v>prior_other_bio</v>
          </cell>
          <cell r="B9">
            <v>1.1278355280694401</v>
          </cell>
          <cell r="C9">
            <v>0</v>
          </cell>
          <cell r="D9">
            <v>0</v>
          </cell>
        </row>
        <row r="10">
          <cell r="A10" t="str">
            <v>prior_sub_livestock</v>
          </cell>
          <cell r="B10">
            <v>6.0197138870711298</v>
          </cell>
          <cell r="C10">
            <v>1.0870001634355999</v>
          </cell>
          <cell r="D10">
            <v>0.98416779938961896</v>
          </cell>
        </row>
        <row r="11">
          <cell r="A11" t="str">
            <v>prior_sub_ong</v>
          </cell>
          <cell r="B11">
            <v>8.2884442491299009</v>
          </cell>
          <cell r="C11">
            <v>0.41021722989939602</v>
          </cell>
          <cell r="D11">
            <v>0.35791041014463598</v>
          </cell>
        </row>
        <row r="12">
          <cell r="A12" t="str">
            <v>prior_sub_coal</v>
          </cell>
          <cell r="B12">
            <v>2.78602554728573</v>
          </cell>
          <cell r="C12">
            <v>4.2450286035606799E-2</v>
          </cell>
          <cell r="D12">
            <v>4.1260559079634399E-2</v>
          </cell>
        </row>
        <row r="13">
          <cell r="A13" t="str">
            <v>prior_sub_landfills</v>
          </cell>
          <cell r="B13">
            <v>4.60002531208516</v>
          </cell>
          <cell r="C13">
            <v>0.52389463533067504</v>
          </cell>
          <cell r="D13">
            <v>0.46146775002493401</v>
          </cell>
        </row>
        <row r="14">
          <cell r="A14" t="str">
            <v>prior_sub_wastewater</v>
          </cell>
          <cell r="B14">
            <v>0.51795613477176405</v>
          </cell>
          <cell r="C14">
            <v>6.8121657967815497E-2</v>
          </cell>
          <cell r="D14">
            <v>5.1432060983418897E-2</v>
          </cell>
        </row>
        <row r="15">
          <cell r="A15" t="str">
            <v>prior_sub_other_anth</v>
          </cell>
          <cell r="B15">
            <v>0.74635855868378398</v>
          </cell>
          <cell r="C15">
            <v>0.11120115625566</v>
          </cell>
          <cell r="D15">
            <v>8.4051907863531602E-2</v>
          </cell>
        </row>
        <row r="16">
          <cell r="A16" t="str">
            <v>prior_sub_wetlands</v>
          </cell>
          <cell r="B16">
            <v>3.6838001916357199</v>
          </cell>
          <cell r="C16">
            <v>1.2160859435038101</v>
          </cell>
          <cell r="D16">
            <v>1.0627297714260999</v>
          </cell>
        </row>
        <row r="17">
          <cell r="A17" t="str">
            <v>prior_sub_other_bio</v>
          </cell>
          <cell r="B17">
            <v>0.46129894987731102</v>
          </cell>
          <cell r="C17">
            <v>0.106667677610342</v>
          </cell>
          <cell r="D17">
            <v>0.107165317412231</v>
          </cell>
        </row>
        <row r="18">
          <cell r="A18" t="str">
            <v>post_livestock</v>
          </cell>
          <cell r="B18">
            <v>10.379164582638399</v>
          </cell>
          <cell r="C18">
            <v>0.34950117889732701</v>
          </cell>
          <cell r="D18">
            <v>0.34761464113209301</v>
          </cell>
        </row>
        <row r="19">
          <cell r="A19" t="str">
            <v>post_ong</v>
          </cell>
          <cell r="B19">
            <v>10.410589499475099</v>
          </cell>
          <cell r="C19">
            <v>0.26265478156403699</v>
          </cell>
          <cell r="D19">
            <v>0.28297074745584999</v>
          </cell>
        </row>
        <row r="20">
          <cell r="A20" t="str">
            <v>post_coal</v>
          </cell>
          <cell r="B20">
            <v>1.52741574314078</v>
          </cell>
          <cell r="C20">
            <v>0.33494804975518</v>
          </cell>
          <cell r="D20">
            <v>0.37304677159518101</v>
          </cell>
        </row>
        <row r="21">
          <cell r="A21" t="str">
            <v>post_landfills</v>
          </cell>
          <cell r="B21">
            <v>6.8929110501456803</v>
          </cell>
          <cell r="C21">
            <v>0.49506151195403397</v>
          </cell>
          <cell r="D21">
            <v>0.58002589773337399</v>
          </cell>
        </row>
        <row r="22">
          <cell r="A22" t="str">
            <v>post_wastewater</v>
          </cell>
          <cell r="B22">
            <v>0.62164068658730298</v>
          </cell>
          <cell r="C22">
            <v>0.129588636718481</v>
          </cell>
          <cell r="D22">
            <v>8.7392722509704701E-2</v>
          </cell>
        </row>
        <row r="23">
          <cell r="A23" t="str">
            <v>post_other_anth</v>
          </cell>
          <cell r="B23">
            <v>1.10626826657368</v>
          </cell>
          <cell r="C23">
            <v>6.2755852480630203E-2</v>
          </cell>
          <cell r="D23">
            <v>6.7811804558369895E-2</v>
          </cell>
        </row>
        <row r="24">
          <cell r="A24" t="str">
            <v>post_wetlands</v>
          </cell>
          <cell r="B24">
            <v>7.2131638503835598</v>
          </cell>
          <cell r="C24">
            <v>0.23674113923729401</v>
          </cell>
          <cell r="D24">
            <v>0.22317566741875799</v>
          </cell>
        </row>
        <row r="25">
          <cell r="A25" t="str">
            <v>post_other_bio</v>
          </cell>
          <cell r="B25">
            <v>1.1688477229929899</v>
          </cell>
          <cell r="C25">
            <v>1.26923762106818E-2</v>
          </cell>
          <cell r="D25">
            <v>1.49272708058103E-2</v>
          </cell>
        </row>
        <row r="26">
          <cell r="A26" t="str">
            <v>post_sub_livestock</v>
          </cell>
          <cell r="B26">
            <v>7.2237184111273596</v>
          </cell>
          <cell r="C26">
            <v>1.4286023597517901</v>
          </cell>
          <cell r="D26">
            <v>1.33178244052171</v>
          </cell>
        </row>
        <row r="27">
          <cell r="A27" t="str">
            <v>post_sub_ong</v>
          </cell>
          <cell r="B27">
            <v>9.2772895915259994</v>
          </cell>
          <cell r="C27">
            <v>0.67226365196220195</v>
          </cell>
          <cell r="D27">
            <v>0.64088115760048703</v>
          </cell>
        </row>
        <row r="28">
          <cell r="A28" t="str">
            <v>post_sub_coal</v>
          </cell>
          <cell r="B28">
            <v>1.41928709812818</v>
          </cell>
          <cell r="C28">
            <v>0.293687490675545</v>
          </cell>
          <cell r="D28">
            <v>0.33059648555957399</v>
          </cell>
        </row>
        <row r="29">
          <cell r="A29" t="str">
            <v>post_sub_landfills</v>
          </cell>
          <cell r="B29">
            <v>5.8416880499597603</v>
          </cell>
          <cell r="C29">
            <v>1.01639284749494</v>
          </cell>
          <cell r="D29">
            <v>1.0414936477583101</v>
          </cell>
        </row>
        <row r="30">
          <cell r="A30" t="str">
            <v>post_sub_wastewater</v>
          </cell>
          <cell r="B30">
            <v>0.50474323471834803</v>
          </cell>
          <cell r="C30">
            <v>7.8156575735062295E-2</v>
          </cell>
          <cell r="D30">
            <v>3.5459187088264503E-2</v>
          </cell>
        </row>
        <row r="31">
          <cell r="A31" t="str">
            <v>post_sub_other_anth</v>
          </cell>
          <cell r="B31">
            <v>0.91715895216279597</v>
          </cell>
          <cell r="C31">
            <v>0.173476368850255</v>
          </cell>
          <cell r="D31">
            <v>0.151863712421901</v>
          </cell>
        </row>
        <row r="32">
          <cell r="A32" t="str">
            <v>post_sub_wetlands</v>
          </cell>
          <cell r="B32">
            <v>4.2684925921543897</v>
          </cell>
          <cell r="C32">
            <v>1.43781281481943</v>
          </cell>
          <cell r="D32">
            <v>1.1807217514466299</v>
          </cell>
        </row>
        <row r="33">
          <cell r="A33" t="str">
            <v>post_sub_other_bio</v>
          </cell>
          <cell r="B33">
            <v>0.50231114480086303</v>
          </cell>
          <cell r="C33">
            <v>0.118447011963427</v>
          </cell>
          <cell r="D33">
            <v>0.114169964707868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a_ghgi_2022"/>
    </sheetNames>
    <sheetDataSet>
      <sheetData sheetId="0">
        <row r="1">
          <cell r="A1" t="str">
            <v>sector</v>
          </cell>
          <cell r="B1" t="str">
            <v>subsector</v>
          </cell>
          <cell r="C1" t="str">
            <v>mean_MMTCO2</v>
          </cell>
          <cell r="D1" t="str">
            <v>minus_MMTCO2</v>
          </cell>
          <cell r="E1" t="str">
            <v>plus_MMTCO2</v>
          </cell>
          <cell r="F1" t="str">
            <v>mean_all</v>
          </cell>
          <cell r="G1" t="str">
            <v>minus</v>
          </cell>
          <cell r="H1" t="str">
            <v>plus</v>
          </cell>
          <cell r="I1" t="str">
            <v>AK</v>
          </cell>
          <cell r="J1" t="str">
            <v>HI</v>
          </cell>
          <cell r="K1" t="str">
            <v>mean</v>
          </cell>
        </row>
        <row r="2">
          <cell r="A2" t="str">
            <v>livestock</v>
          </cell>
          <cell r="B2" t="str">
            <v>enteric_fermentation</v>
          </cell>
          <cell r="C2">
            <v>176.1</v>
          </cell>
          <cell r="D2">
            <v>0.11</v>
          </cell>
          <cell r="E2">
            <v>0.18</v>
          </cell>
          <cell r="F2">
            <v>7.0439999999999996</v>
          </cell>
          <cell r="G2">
            <v>0.77483999999999997</v>
          </cell>
          <cell r="H2">
            <v>1.2679199999999999</v>
          </cell>
          <cell r="I2">
            <v>1.3408820000000001E-3</v>
          </cell>
          <cell r="J2">
            <v>1.0180721E-2</v>
          </cell>
          <cell r="K2">
            <v>7.0324783999999996</v>
          </cell>
        </row>
        <row r="3">
          <cell r="A3" t="str">
            <v>livestock</v>
          </cell>
          <cell r="B3" t="str">
            <v>manure_management</v>
          </cell>
          <cell r="C3">
            <v>58.7</v>
          </cell>
          <cell r="D3">
            <v>0.18</v>
          </cell>
          <cell r="E3">
            <v>0.2</v>
          </cell>
          <cell r="F3">
            <v>2.3479999999999999</v>
          </cell>
          <cell r="G3">
            <v>0.42263999999999996</v>
          </cell>
          <cell r="H3">
            <v>0.46960000000000002</v>
          </cell>
          <cell r="I3">
            <v>2.8E-5</v>
          </cell>
          <cell r="J3">
            <v>5.3562200000000003E-4</v>
          </cell>
          <cell r="K3">
            <v>2.3474363409999999</v>
          </cell>
        </row>
        <row r="4">
          <cell r="A4" t="str">
            <v>ong</v>
          </cell>
          <cell r="B4" t="str">
            <v>natural_gas_systems</v>
          </cell>
          <cell r="C4">
            <v>172.2</v>
          </cell>
          <cell r="D4">
            <v>0.18</v>
          </cell>
          <cell r="E4">
            <v>0.18</v>
          </cell>
          <cell r="F4">
            <v>6.8879999999999999</v>
          </cell>
          <cell r="G4">
            <v>1.2398399999999998</v>
          </cell>
          <cell r="H4">
            <v>1.2398399999999998</v>
          </cell>
          <cell r="I4">
            <v>1.8473119999999999E-2</v>
          </cell>
          <cell r="J4">
            <v>5.7967999999999995E-4</v>
          </cell>
          <cell r="K4">
            <v>6.8689472</v>
          </cell>
        </row>
        <row r="5">
          <cell r="A5" t="str">
            <v>ong</v>
          </cell>
          <cell r="B5" t="str">
            <v>abandoned_wells</v>
          </cell>
          <cell r="C5">
            <v>7</v>
          </cell>
          <cell r="D5">
            <v>0.83</v>
          </cell>
          <cell r="E5">
            <v>1.97</v>
          </cell>
          <cell r="F5">
            <v>0.28000000000000003</v>
          </cell>
          <cell r="G5">
            <v>0.23240000000000002</v>
          </cell>
          <cell r="H5">
            <v>0.55160000000000009</v>
          </cell>
          <cell r="I5">
            <v>2.0330000000000001E-4</v>
          </cell>
          <cell r="J5">
            <v>0</v>
          </cell>
          <cell r="K5">
            <v>0.27979670000000001</v>
          </cell>
        </row>
        <row r="6">
          <cell r="A6" t="str">
            <v>ong</v>
          </cell>
          <cell r="B6" t="str">
            <v>petroleum_systems</v>
          </cell>
          <cell r="C6">
            <v>40.4</v>
          </cell>
          <cell r="D6">
            <v>0.28000000000000003</v>
          </cell>
          <cell r="E6">
            <v>0.32</v>
          </cell>
          <cell r="F6">
            <v>1.6160000000000001</v>
          </cell>
          <cell r="G6">
            <v>0.45248000000000005</v>
          </cell>
          <cell r="H6">
            <v>0.51712000000000002</v>
          </cell>
          <cell r="I6">
            <v>2.667282E-2</v>
          </cell>
          <cell r="J6">
            <v>2.7603E-5</v>
          </cell>
          <cell r="K6">
            <v>1.589299577</v>
          </cell>
        </row>
        <row r="7">
          <cell r="A7" t="str">
            <v>landfills</v>
          </cell>
          <cell r="B7" t="str">
            <v>landfills</v>
          </cell>
          <cell r="C7">
            <v>113.6</v>
          </cell>
          <cell r="D7">
            <v>0.23</v>
          </cell>
          <cell r="E7">
            <v>0.22</v>
          </cell>
          <cell r="F7">
            <v>4.5439999999999996</v>
          </cell>
          <cell r="G7">
            <v>1.04512</v>
          </cell>
          <cell r="H7">
            <v>0.9996799999999999</v>
          </cell>
          <cell r="I7">
            <v>1.921227E-2</v>
          </cell>
          <cell r="J7">
            <v>1.359549E-2</v>
          </cell>
          <cell r="K7">
            <v>4.5111922399999997</v>
          </cell>
        </row>
        <row r="8">
          <cell r="A8" t="str">
            <v>coal</v>
          </cell>
          <cell r="B8" t="str">
            <v>coal_mining</v>
          </cell>
          <cell r="C8">
            <v>47.4</v>
          </cell>
          <cell r="D8">
            <v>0.09</v>
          </cell>
          <cell r="E8">
            <v>0.17</v>
          </cell>
          <cell r="F8">
            <v>1.8959999999999999</v>
          </cell>
          <cell r="G8">
            <v>0.17063999999999999</v>
          </cell>
          <cell r="H8">
            <v>0.32232</v>
          </cell>
          <cell r="I8">
            <v>5.4816999999999995E-4</v>
          </cell>
          <cell r="J8">
            <v>0</v>
          </cell>
          <cell r="K8">
            <v>1.8954518300000001</v>
          </cell>
        </row>
        <row r="9">
          <cell r="A9" t="str">
            <v>coal</v>
          </cell>
          <cell r="B9" t="str">
            <v>abandoned_coal</v>
          </cell>
          <cell r="C9">
            <v>5.9</v>
          </cell>
          <cell r="D9">
            <v>0.22</v>
          </cell>
          <cell r="E9">
            <v>0.2</v>
          </cell>
          <cell r="F9">
            <v>0.23599999999999999</v>
          </cell>
          <cell r="G9">
            <v>5.1920000000000001E-2</v>
          </cell>
          <cell r="H9">
            <v>4.7199999999999999E-2</v>
          </cell>
          <cell r="I9">
            <v>0</v>
          </cell>
          <cell r="J9">
            <v>0</v>
          </cell>
          <cell r="K9">
            <v>0.23599999999999999</v>
          </cell>
        </row>
        <row r="10">
          <cell r="A10" t="str">
            <v>wastewater</v>
          </cell>
          <cell r="B10" t="str">
            <v>wastewater</v>
          </cell>
          <cell r="C10">
            <v>18.100000000000001</v>
          </cell>
          <cell r="D10">
            <v>0.35</v>
          </cell>
          <cell r="E10">
            <v>0.23</v>
          </cell>
          <cell r="F10">
            <v>0.72399999999999998</v>
          </cell>
          <cell r="G10">
            <v>0.25339999999999996</v>
          </cell>
          <cell r="H10">
            <v>0.16652</v>
          </cell>
          <cell r="I10">
            <v>1.07891E-3</v>
          </cell>
          <cell r="J10">
            <v>2.0542799999999999E-3</v>
          </cell>
          <cell r="K10">
            <v>0.72086680999999997</v>
          </cell>
        </row>
        <row r="11">
          <cell r="A11" t="str">
            <v>other_anth</v>
          </cell>
          <cell r="B11" t="str">
            <v>rice</v>
          </cell>
          <cell r="C11">
            <v>15.1</v>
          </cell>
          <cell r="D11">
            <v>0.75</v>
          </cell>
          <cell r="E11">
            <v>0.75</v>
          </cell>
          <cell r="F11">
            <v>0.60399999999999998</v>
          </cell>
          <cell r="G11">
            <v>0.45299999999999996</v>
          </cell>
          <cell r="H11">
            <v>0.45299999999999996</v>
          </cell>
          <cell r="I11">
            <v>0</v>
          </cell>
          <cell r="J11">
            <v>0</v>
          </cell>
          <cell r="K11">
            <v>0.60399999999999998</v>
          </cell>
        </row>
        <row r="12">
          <cell r="A12" t="str">
            <v>other_anth</v>
          </cell>
          <cell r="B12" t="str">
            <v>stationary_combustion</v>
          </cell>
          <cell r="C12">
            <v>8.8000000000000007</v>
          </cell>
          <cell r="D12">
            <v>0.34</v>
          </cell>
          <cell r="E12">
            <v>1.25</v>
          </cell>
          <cell r="F12">
            <v>0.35199999999999998</v>
          </cell>
          <cell r="G12">
            <v>0.11967999999999999</v>
          </cell>
          <cell r="H12">
            <v>0.43999999999999995</v>
          </cell>
          <cell r="I12">
            <v>2.57479E-3</v>
          </cell>
          <cell r="J12">
            <v>1.2066999999999999E-4</v>
          </cell>
          <cell r="K12">
            <v>0.34930454</v>
          </cell>
        </row>
        <row r="13">
          <cell r="A13" t="str">
            <v>other_anth</v>
          </cell>
          <cell r="B13" t="str">
            <v>mobile_combustion</v>
          </cell>
          <cell r="C13">
            <v>2.5</v>
          </cell>
          <cell r="D13">
            <v>0.08</v>
          </cell>
          <cell r="E13">
            <v>0.24</v>
          </cell>
          <cell r="F13">
            <v>0.1</v>
          </cell>
          <cell r="G13">
            <v>8.0000000000000002E-3</v>
          </cell>
          <cell r="H13">
            <v>2.4E-2</v>
          </cell>
          <cell r="I13">
            <v>3.7681999999999999E-4</v>
          </cell>
          <cell r="J13">
            <v>7.0629000000000004E-4</v>
          </cell>
          <cell r="K13">
            <v>9.8916889999999993E-2</v>
          </cell>
        </row>
        <row r="14">
          <cell r="A14" t="str">
            <v>other_anth</v>
          </cell>
          <cell r="B14" t="str">
            <v>field_burning</v>
          </cell>
          <cell r="C14">
            <v>0.4</v>
          </cell>
          <cell r="D14">
            <v>0.18</v>
          </cell>
          <cell r="E14">
            <v>0.18</v>
          </cell>
          <cell r="F14">
            <v>1.6E-2</v>
          </cell>
          <cell r="G14">
            <v>2.8799999999999997E-3</v>
          </cell>
          <cell r="H14">
            <v>2.8799999999999997E-3</v>
          </cell>
          <cell r="I14">
            <v>0</v>
          </cell>
          <cell r="J14">
            <v>0</v>
          </cell>
          <cell r="K14">
            <v>1.6E-2</v>
          </cell>
        </row>
        <row r="15">
          <cell r="A15" t="str">
            <v>other_anth</v>
          </cell>
          <cell r="B15" t="str">
            <v>petrochemical_production</v>
          </cell>
          <cell r="C15">
            <v>0.3</v>
          </cell>
          <cell r="D15">
            <v>0.56999999999999995</v>
          </cell>
          <cell r="E15">
            <v>0.46</v>
          </cell>
          <cell r="F15">
            <v>1.2E-2</v>
          </cell>
          <cell r="G15">
            <v>6.8399999999999997E-3</v>
          </cell>
          <cell r="H15">
            <v>5.5200000000000006E-3</v>
          </cell>
          <cell r="I15">
            <v>0</v>
          </cell>
          <cell r="J15">
            <v>0</v>
          </cell>
          <cell r="K15">
            <v>1.2E-2</v>
          </cell>
        </row>
        <row r="16">
          <cell r="A16" t="str">
            <v>other_anth</v>
          </cell>
          <cell r="B16" t="str">
            <v>anaroebic_digestion</v>
          </cell>
          <cell r="C16">
            <v>0.2</v>
          </cell>
          <cell r="D16">
            <v>0.54</v>
          </cell>
          <cell r="E16">
            <v>0.54</v>
          </cell>
          <cell r="F16">
            <v>8.0000000000000002E-3</v>
          </cell>
          <cell r="G16">
            <v>4.3200000000000001E-3</v>
          </cell>
          <cell r="H16">
            <v>4.3200000000000001E-3</v>
          </cell>
          <cell r="I16">
            <v>0</v>
          </cell>
          <cell r="J16">
            <v>0</v>
          </cell>
          <cell r="K16">
            <v>8.0000000000000002E-3</v>
          </cell>
        </row>
        <row r="17">
          <cell r="A17" t="str">
            <v>other_anth</v>
          </cell>
          <cell r="B17" t="str">
            <v>composting</v>
          </cell>
          <cell r="C17">
            <v>2.2999999999999998</v>
          </cell>
          <cell r="D17">
            <v>0.57999999999999996</v>
          </cell>
          <cell r="E17">
            <v>0.57999999999999996</v>
          </cell>
          <cell r="F17">
            <v>9.1999999999999998E-2</v>
          </cell>
          <cell r="G17">
            <v>5.3359999999999998E-2</v>
          </cell>
          <cell r="H17">
            <v>5.3359999999999998E-2</v>
          </cell>
          <cell r="I17">
            <v>0</v>
          </cell>
          <cell r="J17">
            <v>0</v>
          </cell>
          <cell r="K17">
            <v>9.1999999999999998E-2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a_ghgi_2023"/>
    </sheetNames>
    <sheetDataSet>
      <sheetData sheetId="0">
        <row r="1">
          <cell r="A1" t="str">
            <v>sector</v>
          </cell>
          <cell r="B1" t="str">
            <v>subsector</v>
          </cell>
          <cell r="C1" t="str">
            <v>mean_MMTCO2</v>
          </cell>
          <cell r="D1" t="str">
            <v>minus_MMTCO2</v>
          </cell>
          <cell r="E1" t="str">
            <v>plus_MMTCO2</v>
          </cell>
          <cell r="F1" t="str">
            <v>mean_MMTCO2_2022</v>
          </cell>
          <cell r="G1" t="str">
            <v>mean_all</v>
          </cell>
          <cell r="H1" t="str">
            <v>minus</v>
          </cell>
          <cell r="I1" t="str">
            <v>plus</v>
          </cell>
          <cell r="J1" t="str">
            <v>AK_2022</v>
          </cell>
          <cell r="K1" t="str">
            <v>AK_2023</v>
          </cell>
          <cell r="L1" t="str">
            <v>HI_2022</v>
          </cell>
          <cell r="M1" t="str">
            <v>HI_2023</v>
          </cell>
          <cell r="N1" t="str">
            <v>mean</v>
          </cell>
        </row>
        <row r="2">
          <cell r="A2" t="str">
            <v>livestock</v>
          </cell>
          <cell r="B2" t="str">
            <v>enteric_fermentation</v>
          </cell>
          <cell r="C2">
            <v>197.3</v>
          </cell>
          <cell r="D2">
            <v>21.703000000000003</v>
          </cell>
          <cell r="E2">
            <v>35.514000000000003</v>
          </cell>
          <cell r="F2">
            <v>176.1</v>
          </cell>
          <cell r="G2">
            <v>7.0464285709999999</v>
          </cell>
          <cell r="H2">
            <v>0.77510714285714299</v>
          </cell>
          <cell r="I2">
            <v>1.268357142857143</v>
          </cell>
          <cell r="J2">
            <v>1.3408820000000001E-3</v>
          </cell>
          <cell r="K2">
            <v>1.5023059999999999E-3</v>
          </cell>
          <cell r="L2">
            <v>1.0180721E-2</v>
          </cell>
          <cell r="M2">
            <v>1.1406339E-2</v>
          </cell>
          <cell r="N2">
            <v>7.0335199270000004</v>
          </cell>
        </row>
        <row r="3">
          <cell r="A3" t="str">
            <v>livestock</v>
          </cell>
          <cell r="B3" t="str">
            <v>manure_management</v>
          </cell>
          <cell r="C3">
            <v>65.7</v>
          </cell>
          <cell r="D3">
            <v>11.826000000000001</v>
          </cell>
          <cell r="E3">
            <v>13.14</v>
          </cell>
          <cell r="F3">
            <v>58.7</v>
          </cell>
          <cell r="G3">
            <v>2.3464285710000001</v>
          </cell>
          <cell r="H3">
            <v>0.42235714285714288</v>
          </cell>
          <cell r="I3">
            <v>0.46928571428571431</v>
          </cell>
          <cell r="J3">
            <v>2.8E-5</v>
          </cell>
          <cell r="K3">
            <v>3.1300000000000002E-5</v>
          </cell>
          <cell r="L3">
            <v>5.3562200000000003E-4</v>
          </cell>
          <cell r="M3">
            <v>5.9949500000000002E-4</v>
          </cell>
          <cell r="N3">
            <v>2.3457977369999998</v>
          </cell>
        </row>
        <row r="4">
          <cell r="A4" t="str">
            <v>ong</v>
          </cell>
          <cell r="B4" t="str">
            <v>natural_gas_systems</v>
          </cell>
          <cell r="C4">
            <v>193.6</v>
          </cell>
          <cell r="D4">
            <v>32.911999999999999</v>
          </cell>
          <cell r="E4">
            <v>32.911999999999999</v>
          </cell>
          <cell r="F4">
            <v>172.2</v>
          </cell>
          <cell r="G4">
            <v>6.914285714</v>
          </cell>
          <cell r="H4">
            <v>1.1754285714285715</v>
          </cell>
          <cell r="I4">
            <v>1.1754285714285715</v>
          </cell>
          <cell r="J4">
            <v>1.8473119999999999E-2</v>
          </cell>
          <cell r="K4">
            <v>2.0768849999999998E-2</v>
          </cell>
          <cell r="L4">
            <v>5.7967999999999995E-4</v>
          </cell>
          <cell r="M4">
            <v>6.5171900000000004E-4</v>
          </cell>
          <cell r="N4">
            <v>6.892865145</v>
          </cell>
        </row>
        <row r="5">
          <cell r="A5" t="str">
            <v>ong</v>
          </cell>
          <cell r="B5" t="str">
            <v>abandoned_wells</v>
          </cell>
          <cell r="C5">
            <v>8.3000000000000007</v>
          </cell>
          <cell r="D5">
            <v>6.9720000000000004</v>
          </cell>
          <cell r="E5">
            <v>14.940000000000001</v>
          </cell>
          <cell r="F5">
            <v>7</v>
          </cell>
          <cell r="G5">
            <v>0.29642857099999997</v>
          </cell>
          <cell r="H5">
            <v>0.24900000000000003</v>
          </cell>
          <cell r="I5">
            <v>0.53357142857142859</v>
          </cell>
          <cell r="J5">
            <v>2.0330000000000001E-4</v>
          </cell>
          <cell r="K5">
            <v>2.4105599999999999E-4</v>
          </cell>
          <cell r="L5">
            <v>0</v>
          </cell>
          <cell r="M5">
            <v>0</v>
          </cell>
          <cell r="N5">
            <v>0.29618751599999998</v>
          </cell>
        </row>
        <row r="6">
          <cell r="A6" t="str">
            <v>ong</v>
          </cell>
          <cell r="B6" t="str">
            <v>petroleum_systems</v>
          </cell>
          <cell r="C6">
            <v>59.9</v>
          </cell>
          <cell r="D6">
            <v>5.99</v>
          </cell>
          <cell r="E6">
            <v>8.9849999999999994</v>
          </cell>
          <cell r="F6">
            <v>40.4</v>
          </cell>
          <cell r="G6">
            <v>2.1392857140000001</v>
          </cell>
          <cell r="H6">
            <v>0.21392857142857144</v>
          </cell>
          <cell r="I6">
            <v>0.32089285714285715</v>
          </cell>
          <cell r="J6">
            <v>2.667282E-2</v>
          </cell>
          <cell r="K6">
            <v>3.9547077E-2</v>
          </cell>
          <cell r="L6">
            <v>2.7603E-5</v>
          </cell>
          <cell r="M6">
            <v>4.0926200000000001E-5</v>
          </cell>
          <cell r="N6">
            <v>2.0996977110000001</v>
          </cell>
        </row>
        <row r="7">
          <cell r="A7" t="str">
            <v>landfills</v>
          </cell>
          <cell r="B7" t="str">
            <v>landfills</v>
          </cell>
          <cell r="C7">
            <v>129</v>
          </cell>
          <cell r="D7">
            <v>24.51</v>
          </cell>
          <cell r="E7">
            <v>33.54</v>
          </cell>
          <cell r="F7">
            <v>113.6</v>
          </cell>
          <cell r="G7">
            <v>4.6071428570000004</v>
          </cell>
          <cell r="H7">
            <v>0.87535714285714294</v>
          </cell>
          <cell r="I7">
            <v>1.1978571428571427</v>
          </cell>
          <cell r="J7">
            <v>1.921227E-2</v>
          </cell>
          <cell r="K7">
            <v>2.1816749999999999E-2</v>
          </cell>
          <cell r="L7">
            <v>1.359549E-2</v>
          </cell>
          <cell r="M7">
            <v>1.5438541E-2</v>
          </cell>
          <cell r="N7">
            <v>4.5698875660000002</v>
          </cell>
        </row>
        <row r="8">
          <cell r="A8" t="str">
            <v>coal</v>
          </cell>
          <cell r="B8" t="str">
            <v>coal_mining</v>
          </cell>
          <cell r="C8">
            <v>53</v>
          </cell>
          <cell r="D8">
            <v>5.3000000000000007</v>
          </cell>
          <cell r="E8">
            <v>11.129999999999999</v>
          </cell>
          <cell r="F8">
            <v>47.4</v>
          </cell>
          <cell r="G8">
            <v>1.8928571430000001</v>
          </cell>
          <cell r="H8">
            <v>0.18928571428571431</v>
          </cell>
          <cell r="I8">
            <v>0.39749999999999996</v>
          </cell>
          <cell r="J8">
            <v>5.4816999999999995E-4</v>
          </cell>
          <cell r="K8">
            <v>6.1293299999999997E-4</v>
          </cell>
          <cell r="L8">
            <v>0</v>
          </cell>
          <cell r="M8">
            <v>0</v>
          </cell>
          <cell r="N8">
            <v>1.8922442100000001</v>
          </cell>
        </row>
        <row r="9">
          <cell r="A9" t="str">
            <v>coal</v>
          </cell>
          <cell r="B9" t="str">
            <v>abandoned_coal</v>
          </cell>
          <cell r="C9">
            <v>6.6</v>
          </cell>
          <cell r="D9">
            <v>1.452</v>
          </cell>
          <cell r="E9">
            <v>1.3859999999999999</v>
          </cell>
          <cell r="F9">
            <v>5.9</v>
          </cell>
          <cell r="G9">
            <v>0.235714286</v>
          </cell>
          <cell r="H9">
            <v>5.1857142857142859E-2</v>
          </cell>
          <cell r="I9">
            <v>4.9499999999999995E-2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0.235714286</v>
          </cell>
        </row>
        <row r="10">
          <cell r="A10" t="str">
            <v>wastewater</v>
          </cell>
          <cell r="B10" t="str">
            <v>wastewater</v>
          </cell>
          <cell r="C10">
            <v>21.2</v>
          </cell>
          <cell r="D10">
            <v>6.1479999999999997</v>
          </cell>
          <cell r="E10">
            <v>6.7839999999999998</v>
          </cell>
          <cell r="F10">
            <v>18.100000000000001</v>
          </cell>
          <cell r="G10">
            <v>0.75714285699999995</v>
          </cell>
          <cell r="H10">
            <v>0.21957142857142856</v>
          </cell>
          <cell r="I10">
            <v>0.24228571428571427</v>
          </cell>
          <cell r="J10">
            <v>1.07891E-3</v>
          </cell>
          <cell r="K10">
            <v>1.2636959999999999E-3</v>
          </cell>
          <cell r="L10">
            <v>2.0542799999999999E-3</v>
          </cell>
          <cell r="M10">
            <v>2.4061180000000001E-3</v>
          </cell>
          <cell r="N10">
            <v>0.75347304299999995</v>
          </cell>
        </row>
        <row r="11">
          <cell r="A11" t="str">
            <v>other_anth</v>
          </cell>
          <cell r="B11" t="str">
            <v>rice</v>
          </cell>
          <cell r="C11">
            <v>16.899999999999999</v>
          </cell>
          <cell r="D11">
            <v>12.674999999999999</v>
          </cell>
          <cell r="E11">
            <v>12.674999999999999</v>
          </cell>
          <cell r="F11">
            <v>15.1</v>
          </cell>
          <cell r="G11">
            <v>0.60357142900000005</v>
          </cell>
          <cell r="H11">
            <v>0.45267857142857137</v>
          </cell>
          <cell r="I11">
            <v>0.45267857142857137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0.60357142900000005</v>
          </cell>
        </row>
        <row r="12">
          <cell r="A12" t="str">
            <v>other_anth</v>
          </cell>
          <cell r="B12" t="str">
            <v>stationary_combustion</v>
          </cell>
          <cell r="C12">
            <v>9.8000000000000007</v>
          </cell>
          <cell r="D12">
            <v>3.3320000000000003</v>
          </cell>
          <cell r="E12">
            <v>12.446000000000002</v>
          </cell>
          <cell r="F12">
            <v>8.8000000000000007</v>
          </cell>
          <cell r="G12">
            <v>0.35</v>
          </cell>
          <cell r="H12">
            <v>0.11900000000000001</v>
          </cell>
          <cell r="I12">
            <v>0.44450000000000006</v>
          </cell>
          <cell r="J12">
            <v>2.57479E-3</v>
          </cell>
          <cell r="K12">
            <v>2.8673800000000001E-3</v>
          </cell>
          <cell r="L12">
            <v>1.2066999999999999E-4</v>
          </cell>
          <cell r="M12">
            <v>1.3438299999999999E-4</v>
          </cell>
          <cell r="N12">
            <v>0.34699823800000001</v>
          </cell>
        </row>
        <row r="13">
          <cell r="A13" t="str">
            <v>other_anth</v>
          </cell>
          <cell r="B13" t="str">
            <v>mobile_combustion</v>
          </cell>
          <cell r="C13">
            <v>2.9</v>
          </cell>
          <cell r="D13">
            <v>0.11599999999999999</v>
          </cell>
          <cell r="E13">
            <v>0.84099999999999997</v>
          </cell>
          <cell r="F13">
            <v>2.5</v>
          </cell>
          <cell r="G13">
            <v>0.10357142900000001</v>
          </cell>
          <cell r="H13">
            <v>4.1428571428571426E-3</v>
          </cell>
          <cell r="I13">
            <v>3.0035714285714284E-2</v>
          </cell>
          <cell r="J13">
            <v>3.7681999999999999E-4</v>
          </cell>
          <cell r="K13">
            <v>4.3711100000000001E-4</v>
          </cell>
          <cell r="L13">
            <v>7.0629000000000004E-4</v>
          </cell>
          <cell r="M13">
            <v>8.1929599999999996E-4</v>
          </cell>
          <cell r="N13">
            <v>0.10231502100000001</v>
          </cell>
        </row>
        <row r="14">
          <cell r="A14" t="str">
            <v>other_anth</v>
          </cell>
          <cell r="B14" t="str">
            <v>field_burning</v>
          </cell>
          <cell r="C14">
            <v>0.5</v>
          </cell>
          <cell r="D14">
            <v>0.08</v>
          </cell>
          <cell r="E14">
            <v>0.08</v>
          </cell>
          <cell r="F14">
            <v>0.4</v>
          </cell>
          <cell r="G14">
            <v>1.7857142999999999E-2</v>
          </cell>
          <cell r="H14">
            <v>2.8571428571428571E-3</v>
          </cell>
          <cell r="I14">
            <v>2.8571428571428571E-3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1.7857142999999999E-2</v>
          </cell>
        </row>
        <row r="15">
          <cell r="A15" t="str">
            <v>other_anth</v>
          </cell>
          <cell r="B15" t="str">
            <v>petrochemical_production</v>
          </cell>
          <cell r="C15">
            <v>0.4</v>
          </cell>
          <cell r="D15">
            <v>0.23199999999999998</v>
          </cell>
          <cell r="E15">
            <v>0.192</v>
          </cell>
          <cell r="F15">
            <v>0.3</v>
          </cell>
          <cell r="G15">
            <v>1.4285714E-2</v>
          </cell>
          <cell r="H15">
            <v>8.2857142857142851E-3</v>
          </cell>
          <cell r="I15">
            <v>6.8571428571428577E-3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1.4285714E-2</v>
          </cell>
        </row>
        <row r="16">
          <cell r="A16" t="str">
            <v>other_anth</v>
          </cell>
          <cell r="B16" t="str">
            <v>anaroebic_digestion</v>
          </cell>
          <cell r="C16">
            <v>0.2</v>
          </cell>
          <cell r="D16">
            <v>0.10800000000000001</v>
          </cell>
          <cell r="E16">
            <v>0.10800000000000001</v>
          </cell>
          <cell r="F16">
            <v>0.2</v>
          </cell>
          <cell r="G16">
            <v>7.1428569999999999E-3</v>
          </cell>
          <cell r="H16">
            <v>3.8571428571428576E-3</v>
          </cell>
          <cell r="I16">
            <v>3.8571428571428576E-3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7.1428569999999999E-3</v>
          </cell>
        </row>
        <row r="17">
          <cell r="A17" t="str">
            <v>other_anth</v>
          </cell>
          <cell r="B17" t="str">
            <v>composting</v>
          </cell>
          <cell r="C17">
            <v>2.5</v>
          </cell>
          <cell r="D17">
            <v>1.45</v>
          </cell>
          <cell r="E17">
            <v>1.45</v>
          </cell>
          <cell r="F17">
            <v>2.2999999999999998</v>
          </cell>
          <cell r="G17">
            <v>8.9285714000000002E-2</v>
          </cell>
          <cell r="H17">
            <v>5.1785714285714282E-2</v>
          </cell>
          <cell r="I17">
            <v>5.1785714285714282E-2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8.9285714000000002E-2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5C22-7789-9644-A253-95C7CCE1C9F9}">
  <dimension ref="A1:L33"/>
  <sheetViews>
    <sheetView workbookViewId="0">
      <selection activeCell="B40" sqref="B40"/>
    </sheetView>
  </sheetViews>
  <sheetFormatPr baseColWidth="10" defaultRowHeight="16" x14ac:dyDescent="0.2"/>
  <cols>
    <col min="1" max="1" width="19.83203125" bestFit="1" customWidth="1"/>
  </cols>
  <sheetData>
    <row r="1" spans="1:12" x14ac:dyDescent="0.2">
      <c r="A1">
        <f>[1]CONUS!A1</f>
        <v>0</v>
      </c>
      <c r="B1" t="str">
        <f>[1]CONUS!B1</f>
        <v>mean</v>
      </c>
      <c r="C1" t="str">
        <f>[1]CONUS!C1</f>
        <v>min</v>
      </c>
      <c r="D1" t="str">
        <f>[1]CONUS!D1</f>
        <v>max</v>
      </c>
      <c r="E1" t="s">
        <v>12</v>
      </c>
      <c r="F1" t="s">
        <v>13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</row>
    <row r="2" spans="1:12" x14ac:dyDescent="0.2">
      <c r="A2" t="str">
        <f>[1]CONUS!A2</f>
        <v>prior_livestock</v>
      </c>
      <c r="B2">
        <f>[1]CONUS!B2</f>
        <v>9.1751600585821596</v>
      </c>
      <c r="C2">
        <f>[1]CONUS!C2</f>
        <v>0</v>
      </c>
      <c r="D2">
        <f>[1]CONUS!D2</f>
        <v>0</v>
      </c>
      <c r="E2">
        <f>B2-C2</f>
        <v>9.1751600585821596</v>
      </c>
      <c r="F2">
        <f>B2+D2</f>
        <v>9.1751600585821596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tr">
        <f>[1]CONUS!A3</f>
        <v>prior_ong</v>
      </c>
      <c r="B3">
        <f>[1]CONUS!B3</f>
        <v>9.4217441570790292</v>
      </c>
      <c r="C3">
        <f>[1]CONUS!C3</f>
        <v>0</v>
      </c>
      <c r="D3">
        <f>[1]CONUS!D3</f>
        <v>0</v>
      </c>
      <c r="E3">
        <f t="shared" ref="E3:E29" si="0">B3-C3</f>
        <v>9.4217441570790292</v>
      </c>
      <c r="F3">
        <f t="shared" ref="F3:F29" si="1">B3+D3</f>
        <v>9.4217441570790292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tr">
        <f>[1]CONUS!A4</f>
        <v>prior_coal</v>
      </c>
      <c r="B4">
        <f>[1]CONUS!B4</f>
        <v>2.8941541922983198</v>
      </c>
      <c r="C4">
        <f>[1]CONUS!C4</f>
        <v>0</v>
      </c>
      <c r="D4">
        <f>[1]CONUS!D4</f>
        <v>0</v>
      </c>
      <c r="E4">
        <f t="shared" si="0"/>
        <v>2.8941541922983198</v>
      </c>
      <c r="F4">
        <f t="shared" si="1"/>
        <v>2.8941541922983198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tr">
        <f>[1]CONUS!A5</f>
        <v>prior_landfills</v>
      </c>
      <c r="B5">
        <f>[1]CONUS!B5</f>
        <v>5.6512483122710799</v>
      </c>
      <c r="C5">
        <f>[1]CONUS!C5</f>
        <v>0</v>
      </c>
      <c r="D5">
        <f>[1]CONUS!D5</f>
        <v>0</v>
      </c>
      <c r="E5">
        <f t="shared" si="0"/>
        <v>5.6512483122710799</v>
      </c>
      <c r="F5">
        <f t="shared" si="1"/>
        <v>5.6512483122710799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 t="str">
        <f>[1]CONUS!A6</f>
        <v>prior_wastewater</v>
      </c>
      <c r="B6">
        <f>[1]CONUS!B6</f>
        <v>0.634853586640719</v>
      </c>
      <c r="C6">
        <f>[1]CONUS!C6</f>
        <v>0</v>
      </c>
      <c r="D6">
        <f>[1]CONUS!D6</f>
        <v>0</v>
      </c>
      <c r="E6">
        <f t="shared" si="0"/>
        <v>0.634853586640719</v>
      </c>
      <c r="F6">
        <f t="shared" si="1"/>
        <v>0.634853586640719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 t="str">
        <f>[1]CONUS!A7</f>
        <v>prior_other_anth</v>
      </c>
      <c r="B7">
        <f>[1]CONUS!B7</f>
        <v>0.93546787309467605</v>
      </c>
      <c r="C7">
        <f>[1]CONUS!C7</f>
        <v>0</v>
      </c>
      <c r="D7">
        <f>[1]CONUS!D7</f>
        <v>0</v>
      </c>
      <c r="E7">
        <f t="shared" si="0"/>
        <v>0.93546787309467605</v>
      </c>
      <c r="F7">
        <f t="shared" si="1"/>
        <v>0.93546787309467605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tr">
        <f>[1]CONUS!A8</f>
        <v>prior_wetlands</v>
      </c>
      <c r="B8">
        <f>[1]CONUS!B8</f>
        <v>6.6284714498648896</v>
      </c>
      <c r="C8">
        <f>[1]CONUS!C8</f>
        <v>0</v>
      </c>
      <c r="D8">
        <f>[1]CONUS!D8</f>
        <v>0</v>
      </c>
      <c r="E8">
        <f t="shared" si="0"/>
        <v>6.6284714498648896</v>
      </c>
      <c r="F8">
        <f t="shared" si="1"/>
        <v>6.6284714498648896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tr">
        <f>[1]CONUS!A9</f>
        <v>prior_other_bio</v>
      </c>
      <c r="B9">
        <f>[1]CONUS!B9</f>
        <v>1.1278355280694401</v>
      </c>
      <c r="C9">
        <f>[1]CONUS!C9</f>
        <v>0</v>
      </c>
      <c r="D9">
        <f>[1]CONUS!D9</f>
        <v>0</v>
      </c>
      <c r="E9">
        <f t="shared" si="0"/>
        <v>1.1278355280694401</v>
      </c>
      <c r="F9">
        <f t="shared" si="1"/>
        <v>1.1278355280694401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tr">
        <f>[1]CONUS!A10</f>
        <v>prior_sub_livestock</v>
      </c>
      <c r="B10">
        <f>[1]CONUS!B10</f>
        <v>6.0197138870711298</v>
      </c>
      <c r="C10">
        <f>[1]CONUS!C10</f>
        <v>1.0870001634355999</v>
      </c>
      <c r="D10">
        <f>[1]CONUS!D10</f>
        <v>0.98416779938961896</v>
      </c>
      <c r="E10">
        <f t="shared" si="0"/>
        <v>4.9327137236355298</v>
      </c>
      <c r="F10">
        <f t="shared" si="1"/>
        <v>7.0038816864607485</v>
      </c>
      <c r="G10">
        <v>0</v>
      </c>
      <c r="H10">
        <v>0</v>
      </c>
      <c r="I10">
        <v>0</v>
      </c>
      <c r="J10" s="1">
        <f>B10/$B2</f>
        <v>0.65608816071175524</v>
      </c>
      <c r="K10" s="1">
        <f>E10/$B2</f>
        <v>0.53761609521150777</v>
      </c>
      <c r="L10" s="1">
        <f>F10/$B2</f>
        <v>0.76335253464156572</v>
      </c>
    </row>
    <row r="11" spans="1:12" x14ac:dyDescent="0.2">
      <c r="A11" t="str">
        <f>[1]CONUS!A11</f>
        <v>prior_sub_ong</v>
      </c>
      <c r="B11">
        <f>[1]CONUS!B11</f>
        <v>8.2884442491299009</v>
      </c>
      <c r="C11">
        <f>[1]CONUS!C11</f>
        <v>0.41021722989939602</v>
      </c>
      <c r="D11">
        <f>[1]CONUS!D11</f>
        <v>0.35791041014463598</v>
      </c>
      <c r="E11">
        <f t="shared" si="0"/>
        <v>7.8782270192305051</v>
      </c>
      <c r="F11">
        <f t="shared" si="1"/>
        <v>8.6463546592745359</v>
      </c>
      <c r="G11">
        <v>0</v>
      </c>
      <c r="H11">
        <v>0</v>
      </c>
      <c r="I11">
        <v>0</v>
      </c>
      <c r="J11" s="1">
        <f t="shared" ref="J11:J17" si="2">B11/$B3</f>
        <v>0.87971442558248381</v>
      </c>
      <c r="K11" s="1">
        <f t="shared" ref="K11:K17" si="3">E11/$B3</f>
        <v>0.83617501047416976</v>
      </c>
      <c r="L11" s="1">
        <f t="shared" ref="L11:L17" si="4">F11/$B3</f>
        <v>0.91770212766583092</v>
      </c>
    </row>
    <row r="12" spans="1:12" x14ac:dyDescent="0.2">
      <c r="A12" t="str">
        <f>[1]CONUS!A12</f>
        <v>prior_sub_coal</v>
      </c>
      <c r="B12">
        <f>[1]CONUS!B12</f>
        <v>2.78602554728573</v>
      </c>
      <c r="C12">
        <f>[1]CONUS!C12</f>
        <v>4.2450286035606799E-2</v>
      </c>
      <c r="D12">
        <f>[1]CONUS!D12</f>
        <v>4.1260559079634399E-2</v>
      </c>
      <c r="E12">
        <f t="shared" si="0"/>
        <v>2.7435752612501232</v>
      </c>
      <c r="F12">
        <f t="shared" si="1"/>
        <v>2.8272861063653645</v>
      </c>
      <c r="G12">
        <v>0</v>
      </c>
      <c r="H12">
        <v>0</v>
      </c>
      <c r="I12">
        <v>0</v>
      </c>
      <c r="J12" s="1">
        <f t="shared" si="2"/>
        <v>0.96263894809048778</v>
      </c>
      <c r="K12" s="1">
        <f t="shared" si="3"/>
        <v>0.94797135154412138</v>
      </c>
      <c r="L12" s="1">
        <f t="shared" si="4"/>
        <v>0.97689546531041815</v>
      </c>
    </row>
    <row r="13" spans="1:12" x14ac:dyDescent="0.2">
      <c r="A13" t="str">
        <f>[1]CONUS!A13</f>
        <v>prior_sub_landfills</v>
      </c>
      <c r="B13">
        <f>[1]CONUS!B13</f>
        <v>4.60002531208516</v>
      </c>
      <c r="C13">
        <f>[1]CONUS!C13</f>
        <v>0.52389463533067504</v>
      </c>
      <c r="D13">
        <f>[1]CONUS!D13</f>
        <v>0.46146775002493401</v>
      </c>
      <c r="E13">
        <f t="shared" si="0"/>
        <v>4.0761306767544845</v>
      </c>
      <c r="F13">
        <f t="shared" si="1"/>
        <v>5.0614930621100935</v>
      </c>
      <c r="G13">
        <v>0</v>
      </c>
      <c r="H13">
        <v>0</v>
      </c>
      <c r="I13">
        <v>0</v>
      </c>
      <c r="J13" s="1">
        <f t="shared" si="2"/>
        <v>0.81398393025779781</v>
      </c>
      <c r="K13" s="1">
        <f t="shared" si="3"/>
        <v>0.72127969813388015</v>
      </c>
      <c r="L13" s="1">
        <f t="shared" si="4"/>
        <v>0.89564159676360422</v>
      </c>
    </row>
    <row r="14" spans="1:12" x14ac:dyDescent="0.2">
      <c r="A14" t="str">
        <f>[1]CONUS!A14</f>
        <v>prior_sub_wastewater</v>
      </c>
      <c r="B14">
        <f>[1]CONUS!B14</f>
        <v>0.51795613477176405</v>
      </c>
      <c r="C14">
        <f>[1]CONUS!C14</f>
        <v>6.8121657967815497E-2</v>
      </c>
      <c r="D14">
        <f>[1]CONUS!D14</f>
        <v>5.1432060983418897E-2</v>
      </c>
      <c r="E14">
        <f t="shared" si="0"/>
        <v>0.44983447680394856</v>
      </c>
      <c r="F14">
        <f t="shared" si="1"/>
        <v>0.56938819575518296</v>
      </c>
      <c r="G14">
        <v>0</v>
      </c>
      <c r="H14">
        <v>0</v>
      </c>
      <c r="I14">
        <v>0</v>
      </c>
      <c r="J14" s="1">
        <f t="shared" si="2"/>
        <v>0.81586706867719028</v>
      </c>
      <c r="K14" s="1">
        <f t="shared" si="3"/>
        <v>0.70856412607545394</v>
      </c>
      <c r="L14" s="1">
        <f t="shared" si="4"/>
        <v>0.89688111989420849</v>
      </c>
    </row>
    <row r="15" spans="1:12" x14ac:dyDescent="0.2">
      <c r="A15" t="str">
        <f>[1]CONUS!A15</f>
        <v>prior_sub_other_anth</v>
      </c>
      <c r="B15">
        <f>[1]CONUS!B15</f>
        <v>0.74635855868378398</v>
      </c>
      <c r="C15">
        <f>[1]CONUS!C15</f>
        <v>0.11120115625566</v>
      </c>
      <c r="D15">
        <f>[1]CONUS!D15</f>
        <v>8.4051907863531602E-2</v>
      </c>
      <c r="E15">
        <f t="shared" si="0"/>
        <v>0.63515740242812402</v>
      </c>
      <c r="F15">
        <f t="shared" si="1"/>
        <v>0.83041046654731554</v>
      </c>
      <c r="G15">
        <v>0</v>
      </c>
      <c r="H15">
        <v>0</v>
      </c>
      <c r="I15">
        <v>0</v>
      </c>
      <c r="J15" s="1">
        <f t="shared" si="2"/>
        <v>0.79784520682117233</v>
      </c>
      <c r="K15" s="1">
        <f t="shared" si="3"/>
        <v>0.67897297245165955</v>
      </c>
      <c r="L15" s="1">
        <f t="shared" si="4"/>
        <v>0.88769533452836391</v>
      </c>
    </row>
    <row r="16" spans="1:12" x14ac:dyDescent="0.2">
      <c r="A16" t="str">
        <f>[1]CONUS!A16</f>
        <v>prior_sub_wetlands</v>
      </c>
      <c r="B16">
        <f>[1]CONUS!B16</f>
        <v>3.6838001916357199</v>
      </c>
      <c r="C16">
        <f>[1]CONUS!C16</f>
        <v>1.2160859435038101</v>
      </c>
      <c r="D16">
        <f>[1]CONUS!D16</f>
        <v>1.0627297714260999</v>
      </c>
      <c r="E16">
        <f t="shared" si="0"/>
        <v>2.4677142481319096</v>
      </c>
      <c r="F16">
        <f t="shared" si="1"/>
        <v>4.7465299630618194</v>
      </c>
      <c r="G16">
        <v>0</v>
      </c>
      <c r="H16">
        <v>0</v>
      </c>
      <c r="I16">
        <v>0</v>
      </c>
      <c r="J16" s="1">
        <f t="shared" si="2"/>
        <v>0.55575410100179401</v>
      </c>
      <c r="K16" s="1">
        <f t="shared" si="3"/>
        <v>0.37229009233828864</v>
      </c>
      <c r="L16" s="1">
        <f t="shared" si="4"/>
        <v>0.71608213129718912</v>
      </c>
    </row>
    <row r="17" spans="1:12" x14ac:dyDescent="0.2">
      <c r="A17" t="str">
        <f>[1]CONUS!A17</f>
        <v>prior_sub_other_bio</v>
      </c>
      <c r="B17">
        <f>[1]CONUS!B17</f>
        <v>0.46129894987731102</v>
      </c>
      <c r="C17">
        <f>[1]CONUS!C17</f>
        <v>0.106667677610342</v>
      </c>
      <c r="D17">
        <f>[1]CONUS!D17</f>
        <v>0.107165317412231</v>
      </c>
      <c r="E17">
        <f t="shared" si="0"/>
        <v>0.354631272266969</v>
      </c>
      <c r="F17">
        <f t="shared" si="1"/>
        <v>0.56846426728954202</v>
      </c>
      <c r="G17">
        <v>0</v>
      </c>
      <c r="H17">
        <v>0</v>
      </c>
      <c r="I17">
        <v>0</v>
      </c>
      <c r="J17" s="1">
        <f t="shared" si="2"/>
        <v>0.40901260724330468</v>
      </c>
      <c r="K17" s="1">
        <f t="shared" si="3"/>
        <v>0.31443527308809394</v>
      </c>
      <c r="L17" s="1">
        <f t="shared" si="4"/>
        <v>0.50403117577135059</v>
      </c>
    </row>
    <row r="18" spans="1:12" x14ac:dyDescent="0.2">
      <c r="A18" t="str">
        <f>[1]CONUS!A18</f>
        <v>post_livestock</v>
      </c>
      <c r="B18">
        <f>[1]CONUS!B18</f>
        <v>10.379164582638399</v>
      </c>
      <c r="C18">
        <f>[1]CONUS!C18</f>
        <v>0.34950117889732701</v>
      </c>
      <c r="D18">
        <f>[1]CONUS!D18</f>
        <v>0.34761464113209301</v>
      </c>
      <c r="E18">
        <f t="shared" si="0"/>
        <v>10.029663403741072</v>
      </c>
      <c r="F18">
        <f t="shared" si="1"/>
        <v>10.726779223770492</v>
      </c>
      <c r="G18">
        <v>0.65681699999999998</v>
      </c>
      <c r="H18">
        <v>0.54654100000000005</v>
      </c>
      <c r="I18">
        <v>0.76186100000000001</v>
      </c>
      <c r="J18" s="1">
        <v>0</v>
      </c>
      <c r="K18" s="1">
        <v>0</v>
      </c>
      <c r="L18" s="1">
        <v>0</v>
      </c>
    </row>
    <row r="19" spans="1:12" x14ac:dyDescent="0.2">
      <c r="A19" t="str">
        <f>[1]CONUS!A19</f>
        <v>post_ong</v>
      </c>
      <c r="B19">
        <f>[1]CONUS!B19</f>
        <v>10.410589499475099</v>
      </c>
      <c r="C19">
        <f>[1]CONUS!C19</f>
        <v>0.26265478156403699</v>
      </c>
      <c r="D19">
        <f>[1]CONUS!D19</f>
        <v>0.28297074745584999</v>
      </c>
      <c r="E19">
        <f t="shared" si="0"/>
        <v>10.147934717911063</v>
      </c>
      <c r="F19">
        <f t="shared" si="1"/>
        <v>10.69356024693095</v>
      </c>
      <c r="G19">
        <v>0.91457900000000003</v>
      </c>
      <c r="H19">
        <v>0.88304300000000002</v>
      </c>
      <c r="I19">
        <v>0.95116000000000001</v>
      </c>
      <c r="J19" s="1">
        <v>0</v>
      </c>
      <c r="K19" s="1">
        <v>0</v>
      </c>
      <c r="L19" s="1">
        <v>0</v>
      </c>
    </row>
    <row r="20" spans="1:12" x14ac:dyDescent="0.2">
      <c r="A20" t="str">
        <f>[1]CONUS!A20</f>
        <v>post_coal</v>
      </c>
      <c r="B20">
        <f>[1]CONUS!B20</f>
        <v>1.52741574314078</v>
      </c>
      <c r="C20">
        <f>[1]CONUS!C20</f>
        <v>0.33494804975518</v>
      </c>
      <c r="D20">
        <f>[1]CONUS!D20</f>
        <v>0.37304677159518101</v>
      </c>
      <c r="E20">
        <f t="shared" si="0"/>
        <v>1.1924676933856</v>
      </c>
      <c r="F20">
        <f t="shared" si="1"/>
        <v>1.9004625147359611</v>
      </c>
      <c r="G20">
        <v>0.59750099999999995</v>
      </c>
      <c r="H20">
        <v>0.445496</v>
      </c>
      <c r="I20">
        <v>0.795207</v>
      </c>
      <c r="J20" s="1">
        <v>0</v>
      </c>
      <c r="K20" s="1">
        <v>0</v>
      </c>
      <c r="L20" s="1">
        <v>0</v>
      </c>
    </row>
    <row r="21" spans="1:12" x14ac:dyDescent="0.2">
      <c r="A21" t="str">
        <f>[1]CONUS!A21</f>
        <v>post_landfills</v>
      </c>
      <c r="B21">
        <f>[1]CONUS!B21</f>
        <v>6.8929110501456803</v>
      </c>
      <c r="C21">
        <f>[1]CONUS!C21</f>
        <v>0.49506151195403397</v>
      </c>
      <c r="D21">
        <f>[1]CONUS!D21</f>
        <v>0.58002589773337399</v>
      </c>
      <c r="E21">
        <f t="shared" si="0"/>
        <v>6.3978495381916467</v>
      </c>
      <c r="F21">
        <f t="shared" si="1"/>
        <v>7.4729369478790542</v>
      </c>
      <c r="G21">
        <v>0.46759299999999998</v>
      </c>
      <c r="H21">
        <v>0.339036</v>
      </c>
      <c r="I21">
        <v>0.63791100000000001</v>
      </c>
      <c r="J21" s="1">
        <v>0</v>
      </c>
      <c r="K21" s="1">
        <v>0</v>
      </c>
      <c r="L21" s="1">
        <v>0</v>
      </c>
    </row>
    <row r="22" spans="1:12" x14ac:dyDescent="0.2">
      <c r="A22" t="str">
        <f>[1]CONUS!A22</f>
        <v>post_wastewater</v>
      </c>
      <c r="B22">
        <f>[1]CONUS!B22</f>
        <v>0.62164068658730298</v>
      </c>
      <c r="C22">
        <f>[1]CONUS!C22</f>
        <v>0.129588636718481</v>
      </c>
      <c r="D22">
        <f>[1]CONUS!D22</f>
        <v>8.7392722509704701E-2</v>
      </c>
      <c r="E22">
        <f t="shared" si="0"/>
        <v>0.49205204986882201</v>
      </c>
      <c r="F22">
        <f t="shared" si="1"/>
        <v>0.70903340909700763</v>
      </c>
      <c r="G22">
        <v>0.32885399999999998</v>
      </c>
      <c r="H22">
        <v>0.16441</v>
      </c>
      <c r="I22">
        <v>0.59903700000000004</v>
      </c>
      <c r="J22" s="1">
        <v>0</v>
      </c>
      <c r="K22" s="1">
        <v>0</v>
      </c>
      <c r="L22" s="1">
        <v>0</v>
      </c>
    </row>
    <row r="23" spans="1:12" x14ac:dyDescent="0.2">
      <c r="A23" t="str">
        <f>[1]CONUS!A23</f>
        <v>post_other_anth</v>
      </c>
      <c r="B23">
        <f>[1]CONUS!B23</f>
        <v>1.10626826657368</v>
      </c>
      <c r="C23">
        <f>[1]CONUS!C23</f>
        <v>6.2755852480630203E-2</v>
      </c>
      <c r="D23">
        <f>[1]CONUS!D23</f>
        <v>6.7811804558369895E-2</v>
      </c>
      <c r="E23">
        <f t="shared" si="0"/>
        <v>1.0435124140930498</v>
      </c>
      <c r="F23">
        <f t="shared" si="1"/>
        <v>1.17408007113205</v>
      </c>
      <c r="G23">
        <v>0.59388399999999997</v>
      </c>
      <c r="H23">
        <v>0.43994</v>
      </c>
      <c r="I23">
        <v>0.76417900000000005</v>
      </c>
      <c r="J23" s="1">
        <v>0</v>
      </c>
      <c r="K23" s="1">
        <v>0</v>
      </c>
      <c r="L23" s="1">
        <v>0</v>
      </c>
    </row>
    <row r="24" spans="1:12" x14ac:dyDescent="0.2">
      <c r="A24" t="str">
        <f>[1]CONUS!A24</f>
        <v>post_wetlands</v>
      </c>
      <c r="B24">
        <f>[1]CONUS!B24</f>
        <v>7.2131638503835598</v>
      </c>
      <c r="C24">
        <f>[1]CONUS!C24</f>
        <v>0.23674113923729401</v>
      </c>
      <c r="D24">
        <f>[1]CONUS!D24</f>
        <v>0.22317566741875799</v>
      </c>
      <c r="E24">
        <f t="shared" si="0"/>
        <v>6.9764227111462658</v>
      </c>
      <c r="F24">
        <f t="shared" si="1"/>
        <v>7.4363395178023177</v>
      </c>
      <c r="G24">
        <v>0.353296</v>
      </c>
      <c r="H24">
        <v>0.15912299999999999</v>
      </c>
      <c r="I24">
        <v>0.55184900000000003</v>
      </c>
      <c r="J24" s="1">
        <v>0</v>
      </c>
      <c r="K24" s="1">
        <v>0</v>
      </c>
      <c r="L24" s="1">
        <v>0</v>
      </c>
    </row>
    <row r="25" spans="1:12" x14ac:dyDescent="0.2">
      <c r="A25" t="str">
        <f>[1]CONUS!A25</f>
        <v>post_other_bio</v>
      </c>
      <c r="B25">
        <f>[1]CONUS!B25</f>
        <v>1.1688477229929899</v>
      </c>
      <c r="C25">
        <f>[1]CONUS!C25</f>
        <v>1.26923762106818E-2</v>
      </c>
      <c r="D25">
        <f>[1]CONUS!D25</f>
        <v>1.49272708058103E-2</v>
      </c>
      <c r="E25">
        <f t="shared" si="0"/>
        <v>1.156155346782308</v>
      </c>
      <c r="F25">
        <f t="shared" si="1"/>
        <v>1.1837749937988002</v>
      </c>
      <c r="G25">
        <v>0.25346000000000002</v>
      </c>
      <c r="H25">
        <v>0.19487499999999999</v>
      </c>
      <c r="I25">
        <v>0.32344299999999998</v>
      </c>
      <c r="J25" s="1">
        <v>0</v>
      </c>
      <c r="K25" s="1">
        <v>0</v>
      </c>
      <c r="L25" s="1">
        <v>0</v>
      </c>
    </row>
    <row r="26" spans="1:12" x14ac:dyDescent="0.2">
      <c r="A26" t="str">
        <f>[1]CONUS!A26</f>
        <v>post_sub_livestock</v>
      </c>
      <c r="B26">
        <f>[1]CONUS!B26</f>
        <v>7.2237184111273596</v>
      </c>
      <c r="C26">
        <f>[1]CONUS!C26</f>
        <v>1.4286023597517901</v>
      </c>
      <c r="D26">
        <f>[1]CONUS!D26</f>
        <v>1.33178244052171</v>
      </c>
      <c r="E26">
        <f t="shared" si="0"/>
        <v>5.7951160513755697</v>
      </c>
      <c r="F26">
        <f t="shared" si="1"/>
        <v>8.5555008516490698</v>
      </c>
      <c r="G26">
        <v>0</v>
      </c>
      <c r="H26">
        <v>0</v>
      </c>
      <c r="I26">
        <v>0</v>
      </c>
      <c r="J26" s="1">
        <f>B26/$B18</f>
        <v>0.69598264423041645</v>
      </c>
      <c r="K26" s="1">
        <f>E26/$B18</f>
        <v>0.55834128125006022</v>
      </c>
      <c r="L26" s="1">
        <f>F26/$B18</f>
        <v>0.82429571123288314</v>
      </c>
    </row>
    <row r="27" spans="1:12" x14ac:dyDescent="0.2">
      <c r="A27" t="str">
        <f>[1]CONUS!A27</f>
        <v>post_sub_ong</v>
      </c>
      <c r="B27">
        <f>[1]CONUS!B27</f>
        <v>9.2772895915259994</v>
      </c>
      <c r="C27">
        <f>[1]CONUS!C27</f>
        <v>0.67226365196220195</v>
      </c>
      <c r="D27">
        <f>[1]CONUS!D27</f>
        <v>0.64088115760048703</v>
      </c>
      <c r="E27">
        <f t="shared" si="0"/>
        <v>8.6050259395637969</v>
      </c>
      <c r="F27">
        <f t="shared" si="1"/>
        <v>9.918170749126487</v>
      </c>
      <c r="G27">
        <v>0</v>
      </c>
      <c r="H27">
        <v>0</v>
      </c>
      <c r="I27">
        <v>0</v>
      </c>
      <c r="J27" s="1">
        <f>B27/$B19</f>
        <v>0.89113969886083388</v>
      </c>
      <c r="K27" s="1">
        <f t="shared" ref="K27:L33" si="5">E27/$B19</f>
        <v>0.82656471470685322</v>
      </c>
      <c r="L27" s="1">
        <f t="shared" si="5"/>
        <v>0.95270020488528151</v>
      </c>
    </row>
    <row r="28" spans="1:12" x14ac:dyDescent="0.2">
      <c r="A28" t="str">
        <f>[1]CONUS!A28</f>
        <v>post_sub_coal</v>
      </c>
      <c r="B28">
        <f>[1]CONUS!B28</f>
        <v>1.41928709812818</v>
      </c>
      <c r="C28">
        <f>[1]CONUS!C28</f>
        <v>0.293687490675545</v>
      </c>
      <c r="D28">
        <f>[1]CONUS!D28</f>
        <v>0.33059648555957399</v>
      </c>
      <c r="E28">
        <f t="shared" si="0"/>
        <v>1.1255996074526351</v>
      </c>
      <c r="F28">
        <f t="shared" si="1"/>
        <v>1.749883583687754</v>
      </c>
      <c r="G28">
        <v>0</v>
      </c>
      <c r="H28">
        <v>0</v>
      </c>
      <c r="I28">
        <v>0</v>
      </c>
      <c r="J28" s="1">
        <f t="shared" ref="J28:J33" si="6">B28/$B20</f>
        <v>0.92920811147968252</v>
      </c>
      <c r="K28" s="1">
        <f t="shared" si="5"/>
        <v>0.73693073579174839</v>
      </c>
      <c r="L28" s="1">
        <f t="shared" si="5"/>
        <v>1.1456498281794059</v>
      </c>
    </row>
    <row r="29" spans="1:12" x14ac:dyDescent="0.2">
      <c r="A29" t="str">
        <f>[1]CONUS!A29</f>
        <v>post_sub_landfills</v>
      </c>
      <c r="B29">
        <f>[1]CONUS!B29</f>
        <v>5.8416880499597603</v>
      </c>
      <c r="C29">
        <f>[1]CONUS!C29</f>
        <v>1.01639284749494</v>
      </c>
      <c r="D29">
        <f>[1]CONUS!D29</f>
        <v>1.0414936477583101</v>
      </c>
      <c r="E29">
        <f t="shared" si="0"/>
        <v>4.8252952024648206</v>
      </c>
      <c r="F29">
        <f t="shared" si="1"/>
        <v>6.8831816977180704</v>
      </c>
      <c r="G29">
        <v>0</v>
      </c>
      <c r="H29">
        <v>0</v>
      </c>
      <c r="I29">
        <v>0</v>
      </c>
      <c r="J29" s="1">
        <f t="shared" si="6"/>
        <v>0.8474921564287845</v>
      </c>
      <c r="K29" s="1">
        <f t="shared" si="5"/>
        <v>0.70003735248590493</v>
      </c>
      <c r="L29" s="1">
        <f t="shared" si="5"/>
        <v>0.99858849876970279</v>
      </c>
    </row>
    <row r="30" spans="1:12" x14ac:dyDescent="0.2">
      <c r="A30" t="str">
        <f>[1]CONUS!A30</f>
        <v>post_sub_wastewater</v>
      </c>
      <c r="B30">
        <f>[1]CONUS!B30</f>
        <v>0.50474323471834803</v>
      </c>
      <c r="C30">
        <f>[1]CONUS!C30</f>
        <v>7.8156575735062295E-2</v>
      </c>
      <c r="D30">
        <f>[1]CONUS!D30</f>
        <v>3.5459187088264503E-2</v>
      </c>
      <c r="E30">
        <f t="shared" ref="E30:E33" si="7">B30-C30</f>
        <v>0.42658665898328574</v>
      </c>
      <c r="F30">
        <f t="shared" ref="F30:F33" si="8">B30+D30</f>
        <v>0.54020242180661249</v>
      </c>
      <c r="G30">
        <v>0</v>
      </c>
      <c r="H30">
        <v>0</v>
      </c>
      <c r="I30">
        <v>0</v>
      </c>
      <c r="J30" s="1">
        <f t="shared" si="6"/>
        <v>0.81195334476785741</v>
      </c>
      <c r="K30" s="1">
        <f t="shared" si="5"/>
        <v>0.68622705718502885</v>
      </c>
      <c r="L30" s="1">
        <f t="shared" si="5"/>
        <v>0.86899463542553479</v>
      </c>
    </row>
    <row r="31" spans="1:12" x14ac:dyDescent="0.2">
      <c r="A31" t="str">
        <f>[1]CONUS!A31</f>
        <v>post_sub_other_anth</v>
      </c>
      <c r="B31">
        <f>[1]CONUS!B31</f>
        <v>0.91715895216279597</v>
      </c>
      <c r="C31">
        <f>[1]CONUS!C31</f>
        <v>0.173476368850255</v>
      </c>
      <c r="D31">
        <f>[1]CONUS!D31</f>
        <v>0.151863712421901</v>
      </c>
      <c r="E31">
        <f t="shared" si="7"/>
        <v>0.743682583312541</v>
      </c>
      <c r="F31">
        <f t="shared" si="8"/>
        <v>1.069022664584697</v>
      </c>
      <c r="G31">
        <v>0</v>
      </c>
      <c r="H31">
        <v>0</v>
      </c>
      <c r="I31">
        <v>0</v>
      </c>
      <c r="J31" s="1">
        <f t="shared" si="6"/>
        <v>0.82905654973129528</v>
      </c>
      <c r="K31" s="1">
        <f t="shared" si="5"/>
        <v>0.67224434233828767</v>
      </c>
      <c r="L31" s="1">
        <f t="shared" si="5"/>
        <v>0.96633221514674761</v>
      </c>
    </row>
    <row r="32" spans="1:12" x14ac:dyDescent="0.2">
      <c r="A32" t="str">
        <f>[1]CONUS!A32</f>
        <v>post_sub_wetlands</v>
      </c>
      <c r="B32">
        <f>[1]CONUS!B32</f>
        <v>4.2684925921543897</v>
      </c>
      <c r="C32">
        <f>[1]CONUS!C32</f>
        <v>1.43781281481943</v>
      </c>
      <c r="D32">
        <f>[1]CONUS!D32</f>
        <v>1.1807217514466299</v>
      </c>
      <c r="E32">
        <f t="shared" si="7"/>
        <v>2.8306797773349599</v>
      </c>
      <c r="F32">
        <f t="shared" si="8"/>
        <v>5.4492143436010192</v>
      </c>
      <c r="G32">
        <v>0</v>
      </c>
      <c r="H32">
        <v>0</v>
      </c>
      <c r="I32">
        <v>0</v>
      </c>
      <c r="J32" s="1">
        <f t="shared" si="6"/>
        <v>0.59176426332356402</v>
      </c>
      <c r="K32" s="1">
        <f t="shared" si="5"/>
        <v>0.3924324798450875</v>
      </c>
      <c r="L32" s="1">
        <f t="shared" si="5"/>
        <v>0.75545411925049466</v>
      </c>
    </row>
    <row r="33" spans="1:12" x14ac:dyDescent="0.2">
      <c r="A33" t="str">
        <f>[1]CONUS!A33</f>
        <v>post_sub_other_bio</v>
      </c>
      <c r="B33">
        <f>[1]CONUS!B33</f>
        <v>0.50231114480086303</v>
      </c>
      <c r="C33">
        <f>[1]CONUS!C33</f>
        <v>0.118447011963427</v>
      </c>
      <c r="D33">
        <f>[1]CONUS!D33</f>
        <v>0.114169964707868</v>
      </c>
      <c r="E33">
        <f t="shared" si="7"/>
        <v>0.38386413283743603</v>
      </c>
      <c r="F33">
        <f t="shared" si="8"/>
        <v>0.61648110950873103</v>
      </c>
      <c r="G33">
        <v>0</v>
      </c>
      <c r="H33">
        <v>0</v>
      </c>
      <c r="I33">
        <v>0</v>
      </c>
      <c r="J33" s="1">
        <f t="shared" si="6"/>
        <v>0.42974900401450805</v>
      </c>
      <c r="K33" s="1">
        <f t="shared" si="5"/>
        <v>0.32841244012051535</v>
      </c>
      <c r="L33" s="1">
        <f t="shared" si="5"/>
        <v>0.5274263681928979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4AA2-F105-564E-8ADC-8A6D37F89D9F}">
  <dimension ref="A1:M17"/>
  <sheetViews>
    <sheetView workbookViewId="0">
      <selection activeCell="M5" sqref="M5"/>
    </sheetView>
  </sheetViews>
  <sheetFormatPr baseColWidth="10" defaultRowHeight="16" x14ac:dyDescent="0.2"/>
  <sheetData>
    <row r="1" spans="1:13" x14ac:dyDescent="0.2">
      <c r="A1" t="str">
        <f>[2]epa_ghgi_2022!A1</f>
        <v>sector</v>
      </c>
      <c r="B1" t="str">
        <f>[2]epa_ghgi_2022!B1</f>
        <v>subsector</v>
      </c>
      <c r="C1" t="str">
        <f>[2]epa_ghgi_2022!C1</f>
        <v>mean_MMTCO2</v>
      </c>
      <c r="D1" t="str">
        <f>[2]epa_ghgi_2022!D1</f>
        <v>minus_MMTCO2</v>
      </c>
      <c r="E1" t="str">
        <f>[2]epa_ghgi_2022!E1</f>
        <v>plus_MMTCO2</v>
      </c>
      <c r="F1" t="str">
        <f>[2]epa_ghgi_2022!F1</f>
        <v>mean_all</v>
      </c>
      <c r="G1" t="str">
        <f>[2]epa_ghgi_2022!G1</f>
        <v>minus</v>
      </c>
      <c r="H1" t="str">
        <f>[2]epa_ghgi_2022!H1</f>
        <v>plus</v>
      </c>
      <c r="I1" t="str">
        <f>[2]epa_ghgi_2022!I1</f>
        <v>AK</v>
      </c>
      <c r="J1" t="str">
        <f>[2]epa_ghgi_2022!J1</f>
        <v>HI</v>
      </c>
      <c r="K1" t="str">
        <f>[2]epa_ghgi_2022!K1</f>
        <v>mean</v>
      </c>
      <c r="L1" t="s">
        <v>36</v>
      </c>
      <c r="M1" t="s">
        <v>37</v>
      </c>
    </row>
    <row r="2" spans="1:13" x14ac:dyDescent="0.2">
      <c r="A2" t="str">
        <f>[2]epa_ghgi_2022!A2</f>
        <v>livestock</v>
      </c>
      <c r="B2" t="str">
        <f>[2]epa_ghgi_2022!B2</f>
        <v>enteric_fermentation</v>
      </c>
      <c r="C2">
        <f>[2]epa_ghgi_2022!C2</f>
        <v>176.1</v>
      </c>
      <c r="D2">
        <f>[2]epa_ghgi_2022!D2</f>
        <v>0.11</v>
      </c>
      <c r="E2">
        <f>[2]epa_ghgi_2022!E2</f>
        <v>0.18</v>
      </c>
      <c r="F2">
        <f>[2]epa_ghgi_2022!F2</f>
        <v>7.0439999999999996</v>
      </c>
      <c r="G2">
        <f>[2]epa_ghgi_2022!G2</f>
        <v>0.77483999999999997</v>
      </c>
      <c r="H2">
        <f>[2]epa_ghgi_2022!H2</f>
        <v>1.2679199999999999</v>
      </c>
      <c r="I2">
        <f>[2]epa_ghgi_2022!I2</f>
        <v>1.3408820000000001E-3</v>
      </c>
      <c r="J2">
        <f>[2]epa_ghgi_2022!J2</f>
        <v>1.0180721E-2</v>
      </c>
      <c r="K2">
        <f>[2]epa_ghgi_2022!K2</f>
        <v>7.0324783999999996</v>
      </c>
      <c r="L2">
        <f t="shared" ref="L2:L17" si="0">G2^2</f>
        <v>0.60037702559999995</v>
      </c>
      <c r="M2">
        <f t="shared" ref="M2:M17" si="1">H2^2</f>
        <v>1.6076211263999998</v>
      </c>
    </row>
    <row r="3" spans="1:13" x14ac:dyDescent="0.2">
      <c r="A3" t="str">
        <f>[2]epa_ghgi_2022!A3</f>
        <v>livestock</v>
      </c>
      <c r="B3" t="str">
        <f>[2]epa_ghgi_2022!B3</f>
        <v>manure_management</v>
      </c>
      <c r="C3">
        <f>[2]epa_ghgi_2022!C3</f>
        <v>58.7</v>
      </c>
      <c r="D3">
        <f>[2]epa_ghgi_2022!D3</f>
        <v>0.18</v>
      </c>
      <c r="E3">
        <f>[2]epa_ghgi_2022!E3</f>
        <v>0.2</v>
      </c>
      <c r="F3">
        <f>[2]epa_ghgi_2022!F3</f>
        <v>2.3479999999999999</v>
      </c>
      <c r="G3">
        <f>[2]epa_ghgi_2022!G3</f>
        <v>0.42263999999999996</v>
      </c>
      <c r="H3">
        <f>[2]epa_ghgi_2022!H3</f>
        <v>0.46960000000000002</v>
      </c>
      <c r="I3">
        <f>[2]epa_ghgi_2022!I3</f>
        <v>2.8E-5</v>
      </c>
      <c r="J3">
        <f>[2]epa_ghgi_2022!J3</f>
        <v>5.3562200000000003E-4</v>
      </c>
      <c r="K3">
        <f>[2]epa_ghgi_2022!K3</f>
        <v>2.3474363409999999</v>
      </c>
      <c r="L3">
        <f t="shared" si="0"/>
        <v>0.17862456959999998</v>
      </c>
      <c r="M3">
        <f t="shared" si="1"/>
        <v>0.22052416000000002</v>
      </c>
    </row>
    <row r="4" spans="1:13" x14ac:dyDescent="0.2">
      <c r="A4" t="str">
        <f>[2]epa_ghgi_2022!A4</f>
        <v>ong</v>
      </c>
      <c r="B4" t="str">
        <f>[2]epa_ghgi_2022!B4</f>
        <v>natural_gas_systems</v>
      </c>
      <c r="C4">
        <f>[2]epa_ghgi_2022!C4</f>
        <v>172.2</v>
      </c>
      <c r="D4">
        <f>[2]epa_ghgi_2022!D4</f>
        <v>0.18</v>
      </c>
      <c r="E4">
        <f>[2]epa_ghgi_2022!E4</f>
        <v>0.18</v>
      </c>
      <c r="F4">
        <f>[2]epa_ghgi_2022!F4</f>
        <v>6.8879999999999999</v>
      </c>
      <c r="G4">
        <f>[2]epa_ghgi_2022!G4</f>
        <v>1.2398399999999998</v>
      </c>
      <c r="H4">
        <f>[2]epa_ghgi_2022!H4</f>
        <v>1.2398399999999998</v>
      </c>
      <c r="I4">
        <f>[2]epa_ghgi_2022!I4</f>
        <v>1.8473119999999999E-2</v>
      </c>
      <c r="J4">
        <f>[2]epa_ghgi_2022!J4</f>
        <v>5.7967999999999995E-4</v>
      </c>
      <c r="K4">
        <f>[2]epa_ghgi_2022!K4</f>
        <v>6.8689472</v>
      </c>
      <c r="L4">
        <f t="shared" si="0"/>
        <v>1.5372032255999997</v>
      </c>
      <c r="M4">
        <f t="shared" si="1"/>
        <v>1.5372032255999997</v>
      </c>
    </row>
    <row r="5" spans="1:13" x14ac:dyDescent="0.2">
      <c r="A5" t="str">
        <f>[2]epa_ghgi_2022!A5</f>
        <v>ong</v>
      </c>
      <c r="B5" t="str">
        <f>[2]epa_ghgi_2022!B5</f>
        <v>abandoned_wells</v>
      </c>
      <c r="C5">
        <f>[2]epa_ghgi_2022!C5</f>
        <v>7</v>
      </c>
      <c r="D5">
        <f>[2]epa_ghgi_2022!D5</f>
        <v>0.83</v>
      </c>
      <c r="E5">
        <f>[2]epa_ghgi_2022!E5</f>
        <v>1.97</v>
      </c>
      <c r="F5">
        <f>[2]epa_ghgi_2022!F5</f>
        <v>0.28000000000000003</v>
      </c>
      <c r="G5">
        <f>[2]epa_ghgi_2022!G5</f>
        <v>0.23240000000000002</v>
      </c>
      <c r="H5">
        <f>[2]epa_ghgi_2022!H5</f>
        <v>0.55160000000000009</v>
      </c>
      <c r="I5">
        <f>[2]epa_ghgi_2022!I5</f>
        <v>2.0330000000000001E-4</v>
      </c>
      <c r="J5">
        <f>[2]epa_ghgi_2022!J5</f>
        <v>0</v>
      </c>
      <c r="K5">
        <f>[2]epa_ghgi_2022!K5</f>
        <v>0.27979670000000001</v>
      </c>
      <c r="L5">
        <f t="shared" si="0"/>
        <v>5.4009760000000011E-2</v>
      </c>
      <c r="M5">
        <f t="shared" si="1"/>
        <v>0.30426256000000013</v>
      </c>
    </row>
    <row r="6" spans="1:13" x14ac:dyDescent="0.2">
      <c r="A6" t="str">
        <f>[2]epa_ghgi_2022!A6</f>
        <v>ong</v>
      </c>
      <c r="B6" t="str">
        <f>[2]epa_ghgi_2022!B6</f>
        <v>petroleum_systems</v>
      </c>
      <c r="C6">
        <f>[2]epa_ghgi_2022!C6</f>
        <v>40.4</v>
      </c>
      <c r="D6">
        <f>[2]epa_ghgi_2022!D6</f>
        <v>0.28000000000000003</v>
      </c>
      <c r="E6">
        <f>[2]epa_ghgi_2022!E6</f>
        <v>0.32</v>
      </c>
      <c r="F6">
        <f>[2]epa_ghgi_2022!F6</f>
        <v>1.6160000000000001</v>
      </c>
      <c r="G6">
        <f>[2]epa_ghgi_2022!G6</f>
        <v>0.45248000000000005</v>
      </c>
      <c r="H6">
        <f>[2]epa_ghgi_2022!H6</f>
        <v>0.51712000000000002</v>
      </c>
      <c r="I6">
        <f>[2]epa_ghgi_2022!I6</f>
        <v>2.667282E-2</v>
      </c>
      <c r="J6">
        <f>[2]epa_ghgi_2022!J6</f>
        <v>2.7603E-5</v>
      </c>
      <c r="K6">
        <f>[2]epa_ghgi_2022!K6</f>
        <v>1.589299577</v>
      </c>
      <c r="L6">
        <f t="shared" si="0"/>
        <v>0.20473815040000004</v>
      </c>
      <c r="M6">
        <f t="shared" si="1"/>
        <v>0.26741309440000005</v>
      </c>
    </row>
    <row r="7" spans="1:13" x14ac:dyDescent="0.2">
      <c r="A7" t="str">
        <f>[2]epa_ghgi_2022!A7</f>
        <v>landfills</v>
      </c>
      <c r="B7" t="str">
        <f>[2]epa_ghgi_2022!B7</f>
        <v>landfills</v>
      </c>
      <c r="C7">
        <f>[2]epa_ghgi_2022!C7</f>
        <v>113.6</v>
      </c>
      <c r="D7">
        <f>[2]epa_ghgi_2022!D7</f>
        <v>0.23</v>
      </c>
      <c r="E7">
        <f>[2]epa_ghgi_2022!E7</f>
        <v>0.22</v>
      </c>
      <c r="F7">
        <f>[2]epa_ghgi_2022!F7</f>
        <v>4.5439999999999996</v>
      </c>
      <c r="G7">
        <f>[2]epa_ghgi_2022!G7</f>
        <v>1.04512</v>
      </c>
      <c r="H7">
        <f>[2]epa_ghgi_2022!H7</f>
        <v>0.9996799999999999</v>
      </c>
      <c r="I7">
        <f>[2]epa_ghgi_2022!I7</f>
        <v>1.921227E-2</v>
      </c>
      <c r="J7">
        <f>[2]epa_ghgi_2022!J7</f>
        <v>1.359549E-2</v>
      </c>
      <c r="K7">
        <f>[2]epa_ghgi_2022!K7</f>
        <v>4.5111922399999997</v>
      </c>
      <c r="L7">
        <f t="shared" si="0"/>
        <v>1.0922758144000002</v>
      </c>
      <c r="M7">
        <f t="shared" si="1"/>
        <v>0.99936010239999984</v>
      </c>
    </row>
    <row r="8" spans="1:13" x14ac:dyDescent="0.2">
      <c r="A8" t="str">
        <f>[2]epa_ghgi_2022!A8</f>
        <v>coal</v>
      </c>
      <c r="B8" t="str">
        <f>[2]epa_ghgi_2022!B8</f>
        <v>coal_mining</v>
      </c>
      <c r="C8">
        <f>[2]epa_ghgi_2022!C8</f>
        <v>47.4</v>
      </c>
      <c r="D8">
        <f>[2]epa_ghgi_2022!D8</f>
        <v>0.09</v>
      </c>
      <c r="E8">
        <f>[2]epa_ghgi_2022!E8</f>
        <v>0.17</v>
      </c>
      <c r="F8">
        <f>[2]epa_ghgi_2022!F8</f>
        <v>1.8959999999999999</v>
      </c>
      <c r="G8">
        <f>[2]epa_ghgi_2022!G8</f>
        <v>0.17063999999999999</v>
      </c>
      <c r="H8">
        <f>[2]epa_ghgi_2022!H8</f>
        <v>0.32232</v>
      </c>
      <c r="I8">
        <f>[2]epa_ghgi_2022!I8</f>
        <v>5.4816999999999995E-4</v>
      </c>
      <c r="J8">
        <f>[2]epa_ghgi_2022!J8</f>
        <v>0</v>
      </c>
      <c r="K8">
        <f>[2]epa_ghgi_2022!K8</f>
        <v>1.8954518300000001</v>
      </c>
      <c r="L8">
        <f t="shared" si="0"/>
        <v>2.9118009599999994E-2</v>
      </c>
      <c r="M8">
        <f t="shared" si="1"/>
        <v>0.1038901824</v>
      </c>
    </row>
    <row r="9" spans="1:13" x14ac:dyDescent="0.2">
      <c r="A9" t="str">
        <f>[2]epa_ghgi_2022!A9</f>
        <v>coal</v>
      </c>
      <c r="B9" t="str">
        <f>[2]epa_ghgi_2022!B9</f>
        <v>abandoned_coal</v>
      </c>
      <c r="C9">
        <f>[2]epa_ghgi_2022!C9</f>
        <v>5.9</v>
      </c>
      <c r="D9">
        <f>[2]epa_ghgi_2022!D9</f>
        <v>0.22</v>
      </c>
      <c r="E9">
        <f>[2]epa_ghgi_2022!E9</f>
        <v>0.2</v>
      </c>
      <c r="F9">
        <f>[2]epa_ghgi_2022!F9</f>
        <v>0.23599999999999999</v>
      </c>
      <c r="G9">
        <f>[2]epa_ghgi_2022!G9</f>
        <v>5.1920000000000001E-2</v>
      </c>
      <c r="H9">
        <f>[2]epa_ghgi_2022!H9</f>
        <v>4.7199999999999999E-2</v>
      </c>
      <c r="I9">
        <f>[2]epa_ghgi_2022!I9</f>
        <v>0</v>
      </c>
      <c r="J9">
        <f>[2]epa_ghgi_2022!J9</f>
        <v>0</v>
      </c>
      <c r="K9">
        <f>[2]epa_ghgi_2022!K9</f>
        <v>0.23599999999999999</v>
      </c>
      <c r="L9">
        <f t="shared" si="0"/>
        <v>2.6956864000000002E-3</v>
      </c>
      <c r="M9">
        <f t="shared" si="1"/>
        <v>2.22784E-3</v>
      </c>
    </row>
    <row r="10" spans="1:13" x14ac:dyDescent="0.2">
      <c r="A10" t="str">
        <f>[2]epa_ghgi_2022!A10</f>
        <v>wastewater</v>
      </c>
      <c r="B10" t="str">
        <f>[2]epa_ghgi_2022!B10</f>
        <v>wastewater</v>
      </c>
      <c r="C10">
        <f>[2]epa_ghgi_2022!C10</f>
        <v>18.100000000000001</v>
      </c>
      <c r="D10">
        <f>[2]epa_ghgi_2022!D10</f>
        <v>0.35</v>
      </c>
      <c r="E10">
        <f>[2]epa_ghgi_2022!E10</f>
        <v>0.23</v>
      </c>
      <c r="F10">
        <f>[2]epa_ghgi_2022!F10</f>
        <v>0.72399999999999998</v>
      </c>
      <c r="G10">
        <f>[2]epa_ghgi_2022!G10</f>
        <v>0.25339999999999996</v>
      </c>
      <c r="H10">
        <f>[2]epa_ghgi_2022!H10</f>
        <v>0.16652</v>
      </c>
      <c r="I10">
        <f>[2]epa_ghgi_2022!I10</f>
        <v>1.07891E-3</v>
      </c>
      <c r="J10">
        <f>[2]epa_ghgi_2022!J10</f>
        <v>2.0542799999999999E-3</v>
      </c>
      <c r="K10">
        <f>[2]epa_ghgi_2022!K10</f>
        <v>0.72086680999999997</v>
      </c>
      <c r="L10">
        <f t="shared" si="0"/>
        <v>6.4211559999999973E-2</v>
      </c>
      <c r="M10">
        <f t="shared" si="1"/>
        <v>2.7728910400000001E-2</v>
      </c>
    </row>
    <row r="11" spans="1:13" x14ac:dyDescent="0.2">
      <c r="A11" t="str">
        <f>[2]epa_ghgi_2022!A11</f>
        <v>other_anth</v>
      </c>
      <c r="B11" t="str">
        <f>[2]epa_ghgi_2022!B11</f>
        <v>rice</v>
      </c>
      <c r="C11">
        <f>[2]epa_ghgi_2022!C11</f>
        <v>15.1</v>
      </c>
      <c r="D11">
        <f>[2]epa_ghgi_2022!D11</f>
        <v>0.75</v>
      </c>
      <c r="E11">
        <f>[2]epa_ghgi_2022!E11</f>
        <v>0.75</v>
      </c>
      <c r="F11">
        <f>[2]epa_ghgi_2022!F11</f>
        <v>0.60399999999999998</v>
      </c>
      <c r="G11">
        <f>[2]epa_ghgi_2022!G11</f>
        <v>0.45299999999999996</v>
      </c>
      <c r="H11">
        <f>[2]epa_ghgi_2022!H11</f>
        <v>0.45299999999999996</v>
      </c>
      <c r="I11">
        <f>[2]epa_ghgi_2022!I11</f>
        <v>0</v>
      </c>
      <c r="J11">
        <f>[2]epa_ghgi_2022!J11</f>
        <v>0</v>
      </c>
      <c r="K11">
        <f>[2]epa_ghgi_2022!K11</f>
        <v>0.60399999999999998</v>
      </c>
      <c r="L11">
        <f t="shared" si="0"/>
        <v>0.20520899999999997</v>
      </c>
      <c r="M11">
        <f t="shared" si="1"/>
        <v>0.20520899999999997</v>
      </c>
    </row>
    <row r="12" spans="1:13" x14ac:dyDescent="0.2">
      <c r="A12" t="str">
        <f>[2]epa_ghgi_2022!A12</f>
        <v>other_anth</v>
      </c>
      <c r="B12" t="str">
        <f>[2]epa_ghgi_2022!B12</f>
        <v>stationary_combustion</v>
      </c>
      <c r="C12">
        <f>[2]epa_ghgi_2022!C12</f>
        <v>8.8000000000000007</v>
      </c>
      <c r="D12">
        <f>[2]epa_ghgi_2022!D12</f>
        <v>0.34</v>
      </c>
      <c r="E12">
        <f>[2]epa_ghgi_2022!E12</f>
        <v>1.25</v>
      </c>
      <c r="F12">
        <f>[2]epa_ghgi_2022!F12</f>
        <v>0.35199999999999998</v>
      </c>
      <c r="G12">
        <f>[2]epa_ghgi_2022!G12</f>
        <v>0.11967999999999999</v>
      </c>
      <c r="H12">
        <f>[2]epa_ghgi_2022!H12</f>
        <v>0.43999999999999995</v>
      </c>
      <c r="I12">
        <f>[2]epa_ghgi_2022!I12</f>
        <v>2.57479E-3</v>
      </c>
      <c r="J12">
        <f>[2]epa_ghgi_2022!J12</f>
        <v>1.2066999999999999E-4</v>
      </c>
      <c r="K12">
        <f>[2]epa_ghgi_2022!K12</f>
        <v>0.34930454</v>
      </c>
      <c r="L12">
        <f t="shared" si="0"/>
        <v>1.4323302399999998E-2</v>
      </c>
      <c r="M12">
        <f t="shared" si="1"/>
        <v>0.19359999999999997</v>
      </c>
    </row>
    <row r="13" spans="1:13" x14ac:dyDescent="0.2">
      <c r="A13" t="str">
        <f>[2]epa_ghgi_2022!A13</f>
        <v>other_anth</v>
      </c>
      <c r="B13" t="str">
        <f>[2]epa_ghgi_2022!B13</f>
        <v>mobile_combustion</v>
      </c>
      <c r="C13">
        <f>[2]epa_ghgi_2022!C13</f>
        <v>2.5</v>
      </c>
      <c r="D13">
        <f>[2]epa_ghgi_2022!D13</f>
        <v>0.08</v>
      </c>
      <c r="E13">
        <f>[2]epa_ghgi_2022!E13</f>
        <v>0.24</v>
      </c>
      <c r="F13">
        <f>[2]epa_ghgi_2022!F13</f>
        <v>0.1</v>
      </c>
      <c r="G13">
        <f>[2]epa_ghgi_2022!G13</f>
        <v>8.0000000000000002E-3</v>
      </c>
      <c r="H13">
        <f>[2]epa_ghgi_2022!H13</f>
        <v>2.4E-2</v>
      </c>
      <c r="I13">
        <f>[2]epa_ghgi_2022!I13</f>
        <v>3.7681999999999999E-4</v>
      </c>
      <c r="J13">
        <f>[2]epa_ghgi_2022!J13</f>
        <v>7.0629000000000004E-4</v>
      </c>
      <c r="K13">
        <f>[2]epa_ghgi_2022!K13</f>
        <v>9.8916889999999993E-2</v>
      </c>
      <c r="L13">
        <f t="shared" si="0"/>
        <v>6.3999999999999997E-5</v>
      </c>
      <c r="M13">
        <f t="shared" si="1"/>
        <v>5.7600000000000001E-4</v>
      </c>
    </row>
    <row r="14" spans="1:13" x14ac:dyDescent="0.2">
      <c r="A14" t="str">
        <f>[2]epa_ghgi_2022!A14</f>
        <v>other_anth</v>
      </c>
      <c r="B14" t="str">
        <f>[2]epa_ghgi_2022!B14</f>
        <v>field_burning</v>
      </c>
      <c r="C14">
        <f>[2]epa_ghgi_2022!C14</f>
        <v>0.4</v>
      </c>
      <c r="D14">
        <f>[2]epa_ghgi_2022!D14</f>
        <v>0.18</v>
      </c>
      <c r="E14">
        <f>[2]epa_ghgi_2022!E14</f>
        <v>0.18</v>
      </c>
      <c r="F14">
        <f>[2]epa_ghgi_2022!F14</f>
        <v>1.6E-2</v>
      </c>
      <c r="G14">
        <f>[2]epa_ghgi_2022!G14</f>
        <v>2.8799999999999997E-3</v>
      </c>
      <c r="H14">
        <f>[2]epa_ghgi_2022!H14</f>
        <v>2.8799999999999997E-3</v>
      </c>
      <c r="I14">
        <f>[2]epa_ghgi_2022!I14</f>
        <v>0</v>
      </c>
      <c r="J14">
        <f>[2]epa_ghgi_2022!J14</f>
        <v>0</v>
      </c>
      <c r="K14">
        <f>[2]epa_ghgi_2022!K14</f>
        <v>1.6E-2</v>
      </c>
      <c r="L14">
        <f t="shared" si="0"/>
        <v>8.294399999999998E-6</v>
      </c>
      <c r="M14">
        <f t="shared" si="1"/>
        <v>8.294399999999998E-6</v>
      </c>
    </row>
    <row r="15" spans="1:13" x14ac:dyDescent="0.2">
      <c r="A15" t="str">
        <f>[2]epa_ghgi_2022!A15</f>
        <v>other_anth</v>
      </c>
      <c r="B15" t="str">
        <f>[2]epa_ghgi_2022!B15</f>
        <v>petrochemical_production</v>
      </c>
      <c r="C15">
        <f>[2]epa_ghgi_2022!C15</f>
        <v>0.3</v>
      </c>
      <c r="D15">
        <f>[2]epa_ghgi_2022!D15</f>
        <v>0.56999999999999995</v>
      </c>
      <c r="E15">
        <f>[2]epa_ghgi_2022!E15</f>
        <v>0.46</v>
      </c>
      <c r="F15">
        <f>[2]epa_ghgi_2022!F15</f>
        <v>1.2E-2</v>
      </c>
      <c r="G15">
        <f>[2]epa_ghgi_2022!G15</f>
        <v>6.8399999999999997E-3</v>
      </c>
      <c r="H15">
        <f>[2]epa_ghgi_2022!H15</f>
        <v>5.5200000000000006E-3</v>
      </c>
      <c r="I15">
        <f>[2]epa_ghgi_2022!I15</f>
        <v>0</v>
      </c>
      <c r="J15">
        <f>[2]epa_ghgi_2022!J15</f>
        <v>0</v>
      </c>
      <c r="K15">
        <f>[2]epa_ghgi_2022!K15</f>
        <v>1.2E-2</v>
      </c>
      <c r="L15">
        <f t="shared" si="0"/>
        <v>4.6785599999999995E-5</v>
      </c>
      <c r="M15">
        <f t="shared" si="1"/>
        <v>3.0470400000000006E-5</v>
      </c>
    </row>
    <row r="16" spans="1:13" x14ac:dyDescent="0.2">
      <c r="A16" t="str">
        <f>[2]epa_ghgi_2022!A16</f>
        <v>other_anth</v>
      </c>
      <c r="B16" t="str">
        <f>[2]epa_ghgi_2022!B16</f>
        <v>anaroebic_digestion</v>
      </c>
      <c r="C16">
        <f>[2]epa_ghgi_2022!C16</f>
        <v>0.2</v>
      </c>
      <c r="D16">
        <f>[2]epa_ghgi_2022!D16</f>
        <v>0.54</v>
      </c>
      <c r="E16">
        <f>[2]epa_ghgi_2022!E16</f>
        <v>0.54</v>
      </c>
      <c r="F16">
        <f>[2]epa_ghgi_2022!F16</f>
        <v>8.0000000000000002E-3</v>
      </c>
      <c r="G16">
        <f>[2]epa_ghgi_2022!G16</f>
        <v>4.3200000000000001E-3</v>
      </c>
      <c r="H16">
        <f>[2]epa_ghgi_2022!H16</f>
        <v>4.3200000000000001E-3</v>
      </c>
      <c r="I16">
        <f>[2]epa_ghgi_2022!I16</f>
        <v>0</v>
      </c>
      <c r="J16">
        <f>[2]epa_ghgi_2022!J16</f>
        <v>0</v>
      </c>
      <c r="K16">
        <f>[2]epa_ghgi_2022!K16</f>
        <v>8.0000000000000002E-3</v>
      </c>
      <c r="L16">
        <f t="shared" si="0"/>
        <v>1.8662399999999999E-5</v>
      </c>
      <c r="M16">
        <f t="shared" si="1"/>
        <v>1.8662399999999999E-5</v>
      </c>
    </row>
    <row r="17" spans="1:13" x14ac:dyDescent="0.2">
      <c r="A17" t="str">
        <f>[2]epa_ghgi_2022!A17</f>
        <v>other_anth</v>
      </c>
      <c r="B17" t="str">
        <f>[2]epa_ghgi_2022!B17</f>
        <v>composting</v>
      </c>
      <c r="C17">
        <f>[2]epa_ghgi_2022!C17</f>
        <v>2.2999999999999998</v>
      </c>
      <c r="D17">
        <f>[2]epa_ghgi_2022!D17</f>
        <v>0.57999999999999996</v>
      </c>
      <c r="E17">
        <f>[2]epa_ghgi_2022!E17</f>
        <v>0.57999999999999996</v>
      </c>
      <c r="F17">
        <f>[2]epa_ghgi_2022!F17</f>
        <v>9.1999999999999998E-2</v>
      </c>
      <c r="G17">
        <f>[2]epa_ghgi_2022!G17</f>
        <v>5.3359999999999998E-2</v>
      </c>
      <c r="H17">
        <f>[2]epa_ghgi_2022!H17</f>
        <v>5.3359999999999998E-2</v>
      </c>
      <c r="I17">
        <f>[2]epa_ghgi_2022!I17</f>
        <v>0</v>
      </c>
      <c r="J17">
        <f>[2]epa_ghgi_2022!J17</f>
        <v>0</v>
      </c>
      <c r="K17">
        <f>[2]epa_ghgi_2022!K17</f>
        <v>9.1999999999999998E-2</v>
      </c>
      <c r="L17">
        <f t="shared" si="0"/>
        <v>2.8472895999999996E-3</v>
      </c>
      <c r="M17">
        <f t="shared" si="1"/>
        <v>2.8472895999999996E-3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68AA-5A05-C94B-A407-CB8788A01811}">
  <dimension ref="A1:D8"/>
  <sheetViews>
    <sheetView workbookViewId="0">
      <selection activeCell="C5" sqref="A1:D8"/>
    </sheetView>
  </sheetViews>
  <sheetFormatPr baseColWidth="10" defaultRowHeight="16" x14ac:dyDescent="0.2"/>
  <sheetData>
    <row r="1" spans="1:4" x14ac:dyDescent="0.2">
      <c r="B1" t="s">
        <v>33</v>
      </c>
      <c r="C1" t="s">
        <v>34</v>
      </c>
      <c r="D1" t="s">
        <v>35</v>
      </c>
    </row>
    <row r="2" spans="1:4" x14ac:dyDescent="0.2">
      <c r="A2" t="s">
        <v>7</v>
      </c>
      <c r="B2">
        <f>SUMIF(raw_epa22!$A$2:$A$17,$A2, raw_epa22!K$2:K$17)</f>
        <v>9.3799147410000003</v>
      </c>
      <c r="C2">
        <f>B2-SQRT(SUMIF(raw_epa22!$A$2:$A$17,$A2, raw_epa22!L$2:L$17))</f>
        <v>8.4973040707721808</v>
      </c>
      <c r="D2">
        <f>B2+SQRT(SUMIF(raw_epa22!$A$2:$A$17,$A2, raw_epa22!M$2:M$17))</f>
        <v>10.732003971191558</v>
      </c>
    </row>
    <row r="3" spans="1:4" x14ac:dyDescent="0.2">
      <c r="A3" t="s">
        <v>6</v>
      </c>
      <c r="B3">
        <f>SUMIF(raw_epa22!$A$2:$A$17,$A3, raw_epa22!K$2:K$17)</f>
        <v>8.7380434769999997</v>
      </c>
      <c r="C3">
        <f>B3-SQRT(SUMIF(raw_epa22!$A$2:$A$17,$A3, raw_epa22!L$2:L$17))</f>
        <v>7.3979124625092521</v>
      </c>
      <c r="D3">
        <f>B3+SQRT(SUMIF(raw_epa22!$A$2:$A$17,$A3, raw_epa22!M$2:M$17))</f>
        <v>10.190241424939604</v>
      </c>
    </row>
    <row r="4" spans="1:4" x14ac:dyDescent="0.2">
      <c r="A4" t="s">
        <v>8</v>
      </c>
      <c r="B4">
        <f>SUMIF(raw_epa22!$A$2:$A$17,$A4, raw_epa22!K$2:K$17)</f>
        <v>2.13145183</v>
      </c>
      <c r="C4">
        <f>B4-SQRT(SUMIF(raw_epa22!$A$2:$A$17,$A4, raw_epa22!L$2:L$17))</f>
        <v>1.9530878874555497</v>
      </c>
      <c r="D4">
        <f>B4+SQRT(SUMIF(raw_epa22!$A$2:$A$17,$A4, raw_epa22!M$2:M$17))</f>
        <v>2.4572094429578555</v>
      </c>
    </row>
    <row r="5" spans="1:4" x14ac:dyDescent="0.2">
      <c r="A5" t="s">
        <v>9</v>
      </c>
      <c r="B5">
        <f>SUMIF(raw_epa22!$A$2:$A$17,$A5, raw_epa22!K$2:K$17)</f>
        <v>4.5111922399999997</v>
      </c>
      <c r="C5">
        <f>B5-SQRT(SUMIF(raw_epa22!$A$2:$A$17,$A5, raw_epa22!L$2:L$17))</f>
        <v>3.4660722399999999</v>
      </c>
      <c r="D5">
        <f>B5+SQRT(SUMIF(raw_epa22!$A$2:$A$17,$A5, raw_epa22!M$2:M$17))</f>
        <v>5.5108722399999994</v>
      </c>
    </row>
    <row r="6" spans="1:4" x14ac:dyDescent="0.2">
      <c r="A6" t="s">
        <v>10</v>
      </c>
      <c r="B6">
        <f>SUMIF(raw_epa22!$A$2:$A$17,$A6, raw_epa22!K$2:K$17)</f>
        <v>0.72086680999999997</v>
      </c>
      <c r="C6">
        <f>B6-SQRT(SUMIF(raw_epa22!$A$2:$A$17,$A6, raw_epa22!L$2:L$17))</f>
        <v>0.46746681000000001</v>
      </c>
      <c r="D6">
        <f>B6+SQRT(SUMIF(raw_epa22!$A$2:$A$17,$A6, raw_epa22!M$2:M$17))</f>
        <v>0.88738680999999997</v>
      </c>
    </row>
    <row r="7" spans="1:4" x14ac:dyDescent="0.2">
      <c r="A7" t="s">
        <v>14</v>
      </c>
      <c r="B7">
        <f>SUMIF(raw_epa22!$A$2:$A$17,$A7, raw_epa22!K$2:K$17)</f>
        <v>1.18022143</v>
      </c>
      <c r="C7">
        <f>B7-SQRT(SUMIF(raw_epa22!$A$2:$A$17,$A7, raw_epa22!L$2:L$17))</f>
        <v>0.70850399932778085</v>
      </c>
      <c r="D7">
        <f>B7+SQRT(SUMIF(raw_epa22!$A$2:$A$17,$A7, raw_epa22!M$2:M$17))</f>
        <v>1.8144845589930072</v>
      </c>
    </row>
    <row r="8" spans="1:4" x14ac:dyDescent="0.2">
      <c r="A8" t="s">
        <v>39</v>
      </c>
      <c r="B8">
        <f>SUM(B2:B7)</f>
        <v>26.661690527999998</v>
      </c>
      <c r="C8">
        <f>B8*0.9</f>
        <v>23.995521475199997</v>
      </c>
      <c r="D8">
        <f>B8*1.1</f>
        <v>29.327859580799998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FAE9-069C-584B-9EEE-4E86A0C173B1}">
  <dimension ref="A1:P17"/>
  <sheetViews>
    <sheetView workbookViewId="0">
      <selection activeCell="A31" sqref="A31"/>
    </sheetView>
  </sheetViews>
  <sheetFormatPr baseColWidth="10" defaultRowHeight="16" x14ac:dyDescent="0.2"/>
  <sheetData>
    <row r="1" spans="1:16" x14ac:dyDescent="0.2">
      <c r="A1" t="str">
        <f>[3]epa_ghgi_2023!A1</f>
        <v>sector</v>
      </c>
      <c r="B1" t="str">
        <f>[3]epa_ghgi_2023!B1</f>
        <v>subsector</v>
      </c>
      <c r="C1" t="str">
        <f>[3]epa_ghgi_2023!C1</f>
        <v>mean_MMTCO2</v>
      </c>
      <c r="D1" t="str">
        <f>[3]epa_ghgi_2023!D1</f>
        <v>minus_MMTCO2</v>
      </c>
      <c r="E1" t="str">
        <f>[3]epa_ghgi_2023!E1</f>
        <v>plus_MMTCO2</v>
      </c>
      <c r="F1" t="str">
        <f>[3]epa_ghgi_2023!F1</f>
        <v>mean_MMTCO2_2022</v>
      </c>
      <c r="G1" t="str">
        <f>[3]epa_ghgi_2023!G1</f>
        <v>mean_all</v>
      </c>
      <c r="H1" t="str">
        <f>[3]epa_ghgi_2023!H1</f>
        <v>minus</v>
      </c>
      <c r="I1" t="str">
        <f>[3]epa_ghgi_2023!I1</f>
        <v>plus</v>
      </c>
      <c r="J1" t="str">
        <f>[3]epa_ghgi_2023!J1</f>
        <v>AK_2022</v>
      </c>
      <c r="K1" t="str">
        <f>[3]epa_ghgi_2023!K1</f>
        <v>AK_2023</v>
      </c>
      <c r="L1" t="str">
        <f>[3]epa_ghgi_2023!L1</f>
        <v>HI_2022</v>
      </c>
      <c r="M1" t="str">
        <f>[3]epa_ghgi_2023!M1</f>
        <v>HI_2023</v>
      </c>
      <c r="N1" t="str">
        <f>[3]epa_ghgi_2023!N1</f>
        <v>mean</v>
      </c>
      <c r="O1" t="s">
        <v>36</v>
      </c>
      <c r="P1" t="s">
        <v>37</v>
      </c>
    </row>
    <row r="2" spans="1:16" x14ac:dyDescent="0.2">
      <c r="A2" t="str">
        <f>[3]epa_ghgi_2023!A2</f>
        <v>livestock</v>
      </c>
      <c r="B2" t="str">
        <f>[3]epa_ghgi_2023!B2</f>
        <v>enteric_fermentation</v>
      </c>
      <c r="C2">
        <f>[3]epa_ghgi_2023!C2</f>
        <v>197.3</v>
      </c>
      <c r="D2">
        <f>[3]epa_ghgi_2023!D2</f>
        <v>21.703000000000003</v>
      </c>
      <c r="E2">
        <f>[3]epa_ghgi_2023!E2</f>
        <v>35.514000000000003</v>
      </c>
      <c r="F2">
        <f>[3]epa_ghgi_2023!F2</f>
        <v>176.1</v>
      </c>
      <c r="G2">
        <f>[3]epa_ghgi_2023!G2</f>
        <v>7.0464285709999999</v>
      </c>
      <c r="H2">
        <f>[3]epa_ghgi_2023!H2</f>
        <v>0.77510714285714299</v>
      </c>
      <c r="I2">
        <f>[3]epa_ghgi_2023!I2</f>
        <v>1.268357142857143</v>
      </c>
      <c r="J2">
        <f>[3]epa_ghgi_2023!J2</f>
        <v>1.3408820000000001E-3</v>
      </c>
      <c r="K2">
        <f>[3]epa_ghgi_2023!K2</f>
        <v>1.5023059999999999E-3</v>
      </c>
      <c r="L2">
        <f>[3]epa_ghgi_2023!L2</f>
        <v>1.0180721E-2</v>
      </c>
      <c r="M2">
        <f>[3]epa_ghgi_2023!M2</f>
        <v>1.1406339E-2</v>
      </c>
      <c r="N2">
        <f>[3]epa_ghgi_2023!N2</f>
        <v>7.0335199270000004</v>
      </c>
      <c r="O2">
        <f>H2^2</f>
        <v>0.60079108290816352</v>
      </c>
      <c r="P2">
        <f>I2^2</f>
        <v>1.6087298418367351</v>
      </c>
    </row>
    <row r="3" spans="1:16" x14ac:dyDescent="0.2">
      <c r="A3" t="str">
        <f>[3]epa_ghgi_2023!A3</f>
        <v>livestock</v>
      </c>
      <c r="B3" t="str">
        <f>[3]epa_ghgi_2023!B3</f>
        <v>manure_management</v>
      </c>
      <c r="C3">
        <f>[3]epa_ghgi_2023!C3</f>
        <v>65.7</v>
      </c>
      <c r="D3">
        <f>[3]epa_ghgi_2023!D3</f>
        <v>11.826000000000001</v>
      </c>
      <c r="E3">
        <f>[3]epa_ghgi_2023!E3</f>
        <v>13.14</v>
      </c>
      <c r="F3">
        <f>[3]epa_ghgi_2023!F3</f>
        <v>58.7</v>
      </c>
      <c r="G3">
        <f>[3]epa_ghgi_2023!G3</f>
        <v>2.3464285710000001</v>
      </c>
      <c r="H3">
        <f>[3]epa_ghgi_2023!H3</f>
        <v>0.42235714285714288</v>
      </c>
      <c r="I3">
        <f>[3]epa_ghgi_2023!I3</f>
        <v>0.46928571428571431</v>
      </c>
      <c r="J3">
        <f>[3]epa_ghgi_2023!J3</f>
        <v>2.8E-5</v>
      </c>
      <c r="K3">
        <f>[3]epa_ghgi_2023!K3</f>
        <v>3.1300000000000002E-5</v>
      </c>
      <c r="L3">
        <f>[3]epa_ghgi_2023!L3</f>
        <v>5.3562200000000003E-4</v>
      </c>
      <c r="M3">
        <f>[3]epa_ghgi_2023!M3</f>
        <v>5.9949500000000002E-4</v>
      </c>
      <c r="N3">
        <f>[3]epa_ghgi_2023!N3</f>
        <v>2.3457977369999998</v>
      </c>
      <c r="O3">
        <f t="shared" ref="O3:O17" si="0">H3^2</f>
        <v>0.178385556122449</v>
      </c>
      <c r="P3">
        <f t="shared" ref="P3:P17" si="1">I3^2</f>
        <v>0.22022908163265309</v>
      </c>
    </row>
    <row r="4" spans="1:16" x14ac:dyDescent="0.2">
      <c r="A4" t="str">
        <f>[3]epa_ghgi_2023!A4</f>
        <v>ong</v>
      </c>
      <c r="B4" t="str">
        <f>[3]epa_ghgi_2023!B4</f>
        <v>natural_gas_systems</v>
      </c>
      <c r="C4">
        <f>[3]epa_ghgi_2023!C4</f>
        <v>193.6</v>
      </c>
      <c r="D4">
        <f>[3]epa_ghgi_2023!D4</f>
        <v>32.911999999999999</v>
      </c>
      <c r="E4">
        <f>[3]epa_ghgi_2023!E4</f>
        <v>32.911999999999999</v>
      </c>
      <c r="F4">
        <f>[3]epa_ghgi_2023!F4</f>
        <v>172.2</v>
      </c>
      <c r="G4">
        <f>[3]epa_ghgi_2023!G4</f>
        <v>6.914285714</v>
      </c>
      <c r="H4">
        <f>[3]epa_ghgi_2023!H4</f>
        <v>1.1754285714285715</v>
      </c>
      <c r="I4">
        <f>[3]epa_ghgi_2023!I4</f>
        <v>1.1754285714285715</v>
      </c>
      <c r="J4">
        <f>[3]epa_ghgi_2023!J4</f>
        <v>1.8473119999999999E-2</v>
      </c>
      <c r="K4">
        <f>[3]epa_ghgi_2023!K4</f>
        <v>2.0768849999999998E-2</v>
      </c>
      <c r="L4">
        <f>[3]epa_ghgi_2023!L4</f>
        <v>5.7967999999999995E-4</v>
      </c>
      <c r="M4">
        <f>[3]epa_ghgi_2023!M4</f>
        <v>6.5171900000000004E-4</v>
      </c>
      <c r="N4">
        <f>[3]epa_ghgi_2023!N4</f>
        <v>6.892865145</v>
      </c>
      <c r="O4">
        <f t="shared" si="0"/>
        <v>1.3816323265306123</v>
      </c>
      <c r="P4">
        <f t="shared" si="1"/>
        <v>1.3816323265306123</v>
      </c>
    </row>
    <row r="5" spans="1:16" x14ac:dyDescent="0.2">
      <c r="A5" t="str">
        <f>[3]epa_ghgi_2023!A5</f>
        <v>ong</v>
      </c>
      <c r="B5" t="str">
        <f>[3]epa_ghgi_2023!B5</f>
        <v>abandoned_wells</v>
      </c>
      <c r="C5">
        <f>[3]epa_ghgi_2023!C5</f>
        <v>8.3000000000000007</v>
      </c>
      <c r="D5">
        <f>[3]epa_ghgi_2023!D5</f>
        <v>6.9720000000000004</v>
      </c>
      <c r="E5">
        <f>[3]epa_ghgi_2023!E5</f>
        <v>14.940000000000001</v>
      </c>
      <c r="F5">
        <f>[3]epa_ghgi_2023!F5</f>
        <v>7</v>
      </c>
      <c r="G5">
        <f>[3]epa_ghgi_2023!G5</f>
        <v>0.29642857099999997</v>
      </c>
      <c r="H5">
        <f>[3]epa_ghgi_2023!H5</f>
        <v>0.24900000000000003</v>
      </c>
      <c r="I5">
        <f>[3]epa_ghgi_2023!I5</f>
        <v>0.53357142857142859</v>
      </c>
      <c r="J5">
        <f>[3]epa_ghgi_2023!J5</f>
        <v>2.0330000000000001E-4</v>
      </c>
      <c r="K5">
        <f>[3]epa_ghgi_2023!K5</f>
        <v>2.4105599999999999E-4</v>
      </c>
      <c r="L5">
        <f>[3]epa_ghgi_2023!L5</f>
        <v>0</v>
      </c>
      <c r="M5">
        <f>[3]epa_ghgi_2023!M5</f>
        <v>0</v>
      </c>
      <c r="N5">
        <f>[3]epa_ghgi_2023!N5</f>
        <v>0.29618751599999998</v>
      </c>
      <c r="O5">
        <f t="shared" si="0"/>
        <v>6.2001000000000014E-2</v>
      </c>
      <c r="P5">
        <f t="shared" si="1"/>
        <v>0.28469846938775512</v>
      </c>
    </row>
    <row r="6" spans="1:16" x14ac:dyDescent="0.2">
      <c r="A6" t="str">
        <f>[3]epa_ghgi_2023!A6</f>
        <v>ong</v>
      </c>
      <c r="B6" t="str">
        <f>[3]epa_ghgi_2023!B6</f>
        <v>petroleum_systems</v>
      </c>
      <c r="C6">
        <f>[3]epa_ghgi_2023!C6</f>
        <v>59.9</v>
      </c>
      <c r="D6">
        <f>[3]epa_ghgi_2023!D6</f>
        <v>5.99</v>
      </c>
      <c r="E6">
        <f>[3]epa_ghgi_2023!E6</f>
        <v>8.9849999999999994</v>
      </c>
      <c r="F6">
        <f>[3]epa_ghgi_2023!F6</f>
        <v>40.4</v>
      </c>
      <c r="G6">
        <f>[3]epa_ghgi_2023!G6</f>
        <v>2.1392857140000001</v>
      </c>
      <c r="H6">
        <f>[3]epa_ghgi_2023!H6</f>
        <v>0.21392857142857144</v>
      </c>
      <c r="I6">
        <f>[3]epa_ghgi_2023!I6</f>
        <v>0.32089285714285715</v>
      </c>
      <c r="J6">
        <f>[3]epa_ghgi_2023!J6</f>
        <v>2.667282E-2</v>
      </c>
      <c r="K6">
        <f>[3]epa_ghgi_2023!K6</f>
        <v>3.9547077E-2</v>
      </c>
      <c r="L6">
        <f>[3]epa_ghgi_2023!L6</f>
        <v>2.7603E-5</v>
      </c>
      <c r="M6">
        <f>[3]epa_ghgi_2023!M6</f>
        <v>4.0926200000000001E-5</v>
      </c>
      <c r="N6">
        <f>[3]epa_ghgi_2023!N6</f>
        <v>2.0996977110000001</v>
      </c>
      <c r="O6">
        <f t="shared" si="0"/>
        <v>4.5765433673469393E-2</v>
      </c>
      <c r="P6">
        <f t="shared" si="1"/>
        <v>0.10297222576530612</v>
      </c>
    </row>
    <row r="7" spans="1:16" x14ac:dyDescent="0.2">
      <c r="A7" t="str">
        <f>[3]epa_ghgi_2023!A7</f>
        <v>landfills</v>
      </c>
      <c r="B7" t="str">
        <f>[3]epa_ghgi_2023!B7</f>
        <v>landfills</v>
      </c>
      <c r="C7">
        <f>[3]epa_ghgi_2023!C7</f>
        <v>129</v>
      </c>
      <c r="D7">
        <f>[3]epa_ghgi_2023!D7</f>
        <v>24.51</v>
      </c>
      <c r="E7">
        <f>[3]epa_ghgi_2023!E7</f>
        <v>33.54</v>
      </c>
      <c r="F7">
        <f>[3]epa_ghgi_2023!F7</f>
        <v>113.6</v>
      </c>
      <c r="G7">
        <f>[3]epa_ghgi_2023!G7</f>
        <v>4.6071428570000004</v>
      </c>
      <c r="H7">
        <f>[3]epa_ghgi_2023!H7</f>
        <v>0.87535714285714294</v>
      </c>
      <c r="I7">
        <f>[3]epa_ghgi_2023!I7</f>
        <v>1.1978571428571427</v>
      </c>
      <c r="J7">
        <f>[3]epa_ghgi_2023!J7</f>
        <v>1.921227E-2</v>
      </c>
      <c r="K7">
        <f>[3]epa_ghgi_2023!K7</f>
        <v>2.1816749999999999E-2</v>
      </c>
      <c r="L7">
        <f>[3]epa_ghgi_2023!L7</f>
        <v>1.359549E-2</v>
      </c>
      <c r="M7">
        <f>[3]epa_ghgi_2023!M7</f>
        <v>1.5438541E-2</v>
      </c>
      <c r="N7">
        <f>[3]epa_ghgi_2023!N7</f>
        <v>4.5698875660000002</v>
      </c>
      <c r="O7">
        <f t="shared" si="0"/>
        <v>0.76625012755102051</v>
      </c>
      <c r="P7">
        <f t="shared" si="1"/>
        <v>1.4348617346938772</v>
      </c>
    </row>
    <row r="8" spans="1:16" x14ac:dyDescent="0.2">
      <c r="A8" t="str">
        <f>[3]epa_ghgi_2023!A8</f>
        <v>coal</v>
      </c>
      <c r="B8" t="str">
        <f>[3]epa_ghgi_2023!B8</f>
        <v>coal_mining</v>
      </c>
      <c r="C8">
        <f>[3]epa_ghgi_2023!C8</f>
        <v>53</v>
      </c>
      <c r="D8">
        <f>[3]epa_ghgi_2023!D8</f>
        <v>5.3000000000000007</v>
      </c>
      <c r="E8">
        <f>[3]epa_ghgi_2023!E8</f>
        <v>11.129999999999999</v>
      </c>
      <c r="F8">
        <f>[3]epa_ghgi_2023!F8</f>
        <v>47.4</v>
      </c>
      <c r="G8">
        <f>[3]epa_ghgi_2023!G8</f>
        <v>1.8928571430000001</v>
      </c>
      <c r="H8">
        <f>[3]epa_ghgi_2023!H8</f>
        <v>0.18928571428571431</v>
      </c>
      <c r="I8">
        <f>[3]epa_ghgi_2023!I8</f>
        <v>0.39749999999999996</v>
      </c>
      <c r="J8">
        <f>[3]epa_ghgi_2023!J8</f>
        <v>5.4816999999999995E-4</v>
      </c>
      <c r="K8">
        <f>[3]epa_ghgi_2023!K8</f>
        <v>6.1293299999999997E-4</v>
      </c>
      <c r="L8">
        <f>[3]epa_ghgi_2023!L8</f>
        <v>0</v>
      </c>
      <c r="M8">
        <f>[3]epa_ghgi_2023!M8</f>
        <v>0</v>
      </c>
      <c r="N8">
        <f>[3]epa_ghgi_2023!N8</f>
        <v>1.8922442100000001</v>
      </c>
      <c r="O8">
        <f t="shared" si="0"/>
        <v>3.5829081632653068E-2</v>
      </c>
      <c r="P8">
        <f t="shared" si="1"/>
        <v>0.15800624999999996</v>
      </c>
    </row>
    <row r="9" spans="1:16" x14ac:dyDescent="0.2">
      <c r="A9" t="str">
        <f>[3]epa_ghgi_2023!A9</f>
        <v>coal</v>
      </c>
      <c r="B9" t="str">
        <f>[3]epa_ghgi_2023!B9</f>
        <v>abandoned_coal</v>
      </c>
      <c r="C9">
        <f>[3]epa_ghgi_2023!C9</f>
        <v>6.6</v>
      </c>
      <c r="D9">
        <f>[3]epa_ghgi_2023!D9</f>
        <v>1.452</v>
      </c>
      <c r="E9">
        <f>[3]epa_ghgi_2023!E9</f>
        <v>1.3859999999999999</v>
      </c>
      <c r="F9">
        <f>[3]epa_ghgi_2023!F9</f>
        <v>5.9</v>
      </c>
      <c r="G9">
        <f>[3]epa_ghgi_2023!G9</f>
        <v>0.235714286</v>
      </c>
      <c r="H9">
        <f>[3]epa_ghgi_2023!H9</f>
        <v>5.1857142857142859E-2</v>
      </c>
      <c r="I9">
        <f>[3]epa_ghgi_2023!I9</f>
        <v>4.9499999999999995E-2</v>
      </c>
      <c r="J9">
        <f>[3]epa_ghgi_2023!J9</f>
        <v>0</v>
      </c>
      <c r="K9">
        <f>[3]epa_ghgi_2023!K9</f>
        <v>0</v>
      </c>
      <c r="L9">
        <f>[3]epa_ghgi_2023!L9</f>
        <v>0</v>
      </c>
      <c r="M9">
        <f>[3]epa_ghgi_2023!M9</f>
        <v>0</v>
      </c>
      <c r="N9">
        <f>[3]epa_ghgi_2023!N9</f>
        <v>0.235714286</v>
      </c>
      <c r="O9">
        <f t="shared" si="0"/>
        <v>2.6891632653061226E-3</v>
      </c>
      <c r="P9">
        <f t="shared" si="1"/>
        <v>2.4502499999999997E-3</v>
      </c>
    </row>
    <row r="10" spans="1:16" x14ac:dyDescent="0.2">
      <c r="A10" t="str">
        <f>[3]epa_ghgi_2023!A10</f>
        <v>wastewater</v>
      </c>
      <c r="B10" t="str">
        <f>[3]epa_ghgi_2023!B10</f>
        <v>wastewater</v>
      </c>
      <c r="C10">
        <f>[3]epa_ghgi_2023!C10</f>
        <v>21.2</v>
      </c>
      <c r="D10">
        <f>[3]epa_ghgi_2023!D10</f>
        <v>6.1479999999999997</v>
      </c>
      <c r="E10">
        <f>[3]epa_ghgi_2023!E10</f>
        <v>6.7839999999999998</v>
      </c>
      <c r="F10">
        <f>[3]epa_ghgi_2023!F10</f>
        <v>18.100000000000001</v>
      </c>
      <c r="G10">
        <f>[3]epa_ghgi_2023!G10</f>
        <v>0.75714285699999995</v>
      </c>
      <c r="H10">
        <f>[3]epa_ghgi_2023!H10</f>
        <v>0.21957142857142856</v>
      </c>
      <c r="I10">
        <f>[3]epa_ghgi_2023!I10</f>
        <v>0.24228571428571427</v>
      </c>
      <c r="J10">
        <f>[3]epa_ghgi_2023!J10</f>
        <v>1.07891E-3</v>
      </c>
      <c r="K10">
        <f>[3]epa_ghgi_2023!K10</f>
        <v>1.2636959999999999E-3</v>
      </c>
      <c r="L10">
        <f>[3]epa_ghgi_2023!L10</f>
        <v>2.0542799999999999E-3</v>
      </c>
      <c r="M10">
        <f>[3]epa_ghgi_2023!M10</f>
        <v>2.4061180000000001E-3</v>
      </c>
      <c r="N10">
        <f>[3]epa_ghgi_2023!N10</f>
        <v>0.75347304299999995</v>
      </c>
      <c r="O10">
        <f t="shared" si="0"/>
        <v>4.821161224489795E-2</v>
      </c>
      <c r="P10">
        <f t="shared" si="1"/>
        <v>5.8702367346938768E-2</v>
      </c>
    </row>
    <row r="11" spans="1:16" x14ac:dyDescent="0.2">
      <c r="A11" t="str">
        <f>[3]epa_ghgi_2023!A11</f>
        <v>other_anth</v>
      </c>
      <c r="B11" t="str">
        <f>[3]epa_ghgi_2023!B11</f>
        <v>rice</v>
      </c>
      <c r="C11">
        <f>[3]epa_ghgi_2023!C11</f>
        <v>16.899999999999999</v>
      </c>
      <c r="D11">
        <f>[3]epa_ghgi_2023!D11</f>
        <v>12.674999999999999</v>
      </c>
      <c r="E11">
        <f>[3]epa_ghgi_2023!E11</f>
        <v>12.674999999999999</v>
      </c>
      <c r="F11">
        <f>[3]epa_ghgi_2023!F11</f>
        <v>15.1</v>
      </c>
      <c r="G11">
        <f>[3]epa_ghgi_2023!G11</f>
        <v>0.60357142900000005</v>
      </c>
      <c r="H11">
        <f>[3]epa_ghgi_2023!H11</f>
        <v>0.45267857142857137</v>
      </c>
      <c r="I11">
        <f>[3]epa_ghgi_2023!I11</f>
        <v>0.45267857142857137</v>
      </c>
      <c r="J11">
        <f>[3]epa_ghgi_2023!J11</f>
        <v>0</v>
      </c>
      <c r="K11">
        <f>[3]epa_ghgi_2023!K11</f>
        <v>0</v>
      </c>
      <c r="L11">
        <f>[3]epa_ghgi_2023!L11</f>
        <v>0</v>
      </c>
      <c r="M11">
        <f>[3]epa_ghgi_2023!M11</f>
        <v>0</v>
      </c>
      <c r="N11">
        <f>[3]epa_ghgi_2023!N11</f>
        <v>0.60357142900000005</v>
      </c>
      <c r="O11">
        <f t="shared" si="0"/>
        <v>0.2049178890306122</v>
      </c>
      <c r="P11">
        <f t="shared" si="1"/>
        <v>0.2049178890306122</v>
      </c>
    </row>
    <row r="12" spans="1:16" x14ac:dyDescent="0.2">
      <c r="A12" t="str">
        <f>[3]epa_ghgi_2023!A12</f>
        <v>other_anth</v>
      </c>
      <c r="B12" t="str">
        <f>[3]epa_ghgi_2023!B12</f>
        <v>stationary_combustion</v>
      </c>
      <c r="C12">
        <f>[3]epa_ghgi_2023!C12</f>
        <v>9.8000000000000007</v>
      </c>
      <c r="D12">
        <f>[3]epa_ghgi_2023!D12</f>
        <v>3.3320000000000003</v>
      </c>
      <c r="E12">
        <f>[3]epa_ghgi_2023!E12</f>
        <v>12.446000000000002</v>
      </c>
      <c r="F12">
        <f>[3]epa_ghgi_2023!F12</f>
        <v>8.8000000000000007</v>
      </c>
      <c r="G12">
        <f>[3]epa_ghgi_2023!G12</f>
        <v>0.35</v>
      </c>
      <c r="H12">
        <f>[3]epa_ghgi_2023!H12</f>
        <v>0.11900000000000001</v>
      </c>
      <c r="I12">
        <f>[3]epa_ghgi_2023!I12</f>
        <v>0.44450000000000006</v>
      </c>
      <c r="J12">
        <f>[3]epa_ghgi_2023!J12</f>
        <v>2.57479E-3</v>
      </c>
      <c r="K12">
        <f>[3]epa_ghgi_2023!K12</f>
        <v>2.8673800000000001E-3</v>
      </c>
      <c r="L12">
        <f>[3]epa_ghgi_2023!L12</f>
        <v>1.2066999999999999E-4</v>
      </c>
      <c r="M12">
        <f>[3]epa_ghgi_2023!M12</f>
        <v>1.3438299999999999E-4</v>
      </c>
      <c r="N12">
        <f>[3]epa_ghgi_2023!N12</f>
        <v>0.34699823800000001</v>
      </c>
      <c r="O12">
        <f t="shared" si="0"/>
        <v>1.4161000000000002E-2</v>
      </c>
      <c r="P12">
        <f t="shared" si="1"/>
        <v>0.19758025000000007</v>
      </c>
    </row>
    <row r="13" spans="1:16" x14ac:dyDescent="0.2">
      <c r="A13" t="str">
        <f>[3]epa_ghgi_2023!A13</f>
        <v>other_anth</v>
      </c>
      <c r="B13" t="str">
        <f>[3]epa_ghgi_2023!B13</f>
        <v>mobile_combustion</v>
      </c>
      <c r="C13">
        <f>[3]epa_ghgi_2023!C13</f>
        <v>2.9</v>
      </c>
      <c r="D13">
        <f>[3]epa_ghgi_2023!D13</f>
        <v>0.11599999999999999</v>
      </c>
      <c r="E13">
        <f>[3]epa_ghgi_2023!E13</f>
        <v>0.84099999999999997</v>
      </c>
      <c r="F13">
        <f>[3]epa_ghgi_2023!F13</f>
        <v>2.5</v>
      </c>
      <c r="G13">
        <f>[3]epa_ghgi_2023!G13</f>
        <v>0.10357142900000001</v>
      </c>
      <c r="H13">
        <f>[3]epa_ghgi_2023!H13</f>
        <v>4.1428571428571426E-3</v>
      </c>
      <c r="I13">
        <f>[3]epa_ghgi_2023!I13</f>
        <v>3.0035714285714284E-2</v>
      </c>
      <c r="J13">
        <f>[3]epa_ghgi_2023!J13</f>
        <v>3.7681999999999999E-4</v>
      </c>
      <c r="K13">
        <f>[3]epa_ghgi_2023!K13</f>
        <v>4.3711100000000001E-4</v>
      </c>
      <c r="L13">
        <f>[3]epa_ghgi_2023!L13</f>
        <v>7.0629000000000004E-4</v>
      </c>
      <c r="M13">
        <f>[3]epa_ghgi_2023!M13</f>
        <v>8.1929599999999996E-4</v>
      </c>
      <c r="N13">
        <f>[3]epa_ghgi_2023!N13</f>
        <v>0.10231502100000001</v>
      </c>
      <c r="O13">
        <f t="shared" si="0"/>
        <v>1.7163265306122447E-5</v>
      </c>
      <c r="P13">
        <f t="shared" si="1"/>
        <v>9.0214413265306108E-4</v>
      </c>
    </row>
    <row r="14" spans="1:16" x14ac:dyDescent="0.2">
      <c r="A14" t="str">
        <f>[3]epa_ghgi_2023!A14</f>
        <v>other_anth</v>
      </c>
      <c r="B14" t="str">
        <f>[3]epa_ghgi_2023!B14</f>
        <v>field_burning</v>
      </c>
      <c r="C14">
        <f>[3]epa_ghgi_2023!C14</f>
        <v>0.5</v>
      </c>
      <c r="D14">
        <f>[3]epa_ghgi_2023!D14</f>
        <v>0.08</v>
      </c>
      <c r="E14">
        <f>[3]epa_ghgi_2023!E14</f>
        <v>0.08</v>
      </c>
      <c r="F14">
        <f>[3]epa_ghgi_2023!F14</f>
        <v>0.4</v>
      </c>
      <c r="G14">
        <f>[3]epa_ghgi_2023!G14</f>
        <v>1.7857142999999999E-2</v>
      </c>
      <c r="H14">
        <f>[3]epa_ghgi_2023!H14</f>
        <v>2.8571428571428571E-3</v>
      </c>
      <c r="I14">
        <f>[3]epa_ghgi_2023!I14</f>
        <v>2.8571428571428571E-3</v>
      </c>
      <c r="J14">
        <f>[3]epa_ghgi_2023!J14</f>
        <v>0</v>
      </c>
      <c r="K14">
        <f>[3]epa_ghgi_2023!K14</f>
        <v>0</v>
      </c>
      <c r="L14">
        <f>[3]epa_ghgi_2023!L14</f>
        <v>0</v>
      </c>
      <c r="M14">
        <f>[3]epa_ghgi_2023!M14</f>
        <v>0</v>
      </c>
      <c r="N14">
        <f>[3]epa_ghgi_2023!N14</f>
        <v>1.7857142999999999E-2</v>
      </c>
      <c r="O14">
        <f t="shared" si="0"/>
        <v>8.1632653061224483E-6</v>
      </c>
      <c r="P14">
        <f t="shared" si="1"/>
        <v>8.1632653061224483E-6</v>
      </c>
    </row>
    <row r="15" spans="1:16" x14ac:dyDescent="0.2">
      <c r="A15" t="str">
        <f>[3]epa_ghgi_2023!A15</f>
        <v>other_anth</v>
      </c>
      <c r="B15" t="str">
        <f>[3]epa_ghgi_2023!B15</f>
        <v>petrochemical_production</v>
      </c>
      <c r="C15">
        <f>[3]epa_ghgi_2023!C15</f>
        <v>0.4</v>
      </c>
      <c r="D15">
        <f>[3]epa_ghgi_2023!D15</f>
        <v>0.23199999999999998</v>
      </c>
      <c r="E15">
        <f>[3]epa_ghgi_2023!E15</f>
        <v>0.192</v>
      </c>
      <c r="F15">
        <f>[3]epa_ghgi_2023!F15</f>
        <v>0.3</v>
      </c>
      <c r="G15">
        <f>[3]epa_ghgi_2023!G15</f>
        <v>1.4285714E-2</v>
      </c>
      <c r="H15">
        <f>[3]epa_ghgi_2023!H15</f>
        <v>8.2857142857142851E-3</v>
      </c>
      <c r="I15">
        <f>[3]epa_ghgi_2023!I15</f>
        <v>6.8571428571428577E-3</v>
      </c>
      <c r="J15">
        <f>[3]epa_ghgi_2023!J15</f>
        <v>0</v>
      </c>
      <c r="K15">
        <f>[3]epa_ghgi_2023!K15</f>
        <v>0</v>
      </c>
      <c r="L15">
        <f>[3]epa_ghgi_2023!L15</f>
        <v>0</v>
      </c>
      <c r="M15">
        <f>[3]epa_ghgi_2023!M15</f>
        <v>0</v>
      </c>
      <c r="N15">
        <f>[3]epa_ghgi_2023!N15</f>
        <v>1.4285714E-2</v>
      </c>
      <c r="O15">
        <f t="shared" si="0"/>
        <v>6.8653061224489787E-5</v>
      </c>
      <c r="P15">
        <f t="shared" si="1"/>
        <v>4.7020408163265312E-5</v>
      </c>
    </row>
    <row r="16" spans="1:16" x14ac:dyDescent="0.2">
      <c r="A16" t="str">
        <f>[3]epa_ghgi_2023!A16</f>
        <v>other_anth</v>
      </c>
      <c r="B16" t="str">
        <f>[3]epa_ghgi_2023!B16</f>
        <v>anaroebic_digestion</v>
      </c>
      <c r="C16">
        <f>[3]epa_ghgi_2023!C16</f>
        <v>0.2</v>
      </c>
      <c r="D16">
        <f>[3]epa_ghgi_2023!D16</f>
        <v>0.10800000000000001</v>
      </c>
      <c r="E16">
        <f>[3]epa_ghgi_2023!E16</f>
        <v>0.10800000000000001</v>
      </c>
      <c r="F16">
        <f>[3]epa_ghgi_2023!F16</f>
        <v>0.2</v>
      </c>
      <c r="G16">
        <f>[3]epa_ghgi_2023!G16</f>
        <v>7.1428569999999999E-3</v>
      </c>
      <c r="H16">
        <f>[3]epa_ghgi_2023!H16</f>
        <v>3.8571428571428576E-3</v>
      </c>
      <c r="I16">
        <f>[3]epa_ghgi_2023!I16</f>
        <v>3.8571428571428576E-3</v>
      </c>
      <c r="J16">
        <f>[3]epa_ghgi_2023!J16</f>
        <v>0</v>
      </c>
      <c r="K16">
        <f>[3]epa_ghgi_2023!K16</f>
        <v>0</v>
      </c>
      <c r="L16">
        <f>[3]epa_ghgi_2023!L16</f>
        <v>0</v>
      </c>
      <c r="M16">
        <f>[3]epa_ghgi_2023!M16</f>
        <v>0</v>
      </c>
      <c r="N16">
        <f>[3]epa_ghgi_2023!N16</f>
        <v>7.1428569999999999E-3</v>
      </c>
      <c r="O16">
        <f t="shared" si="0"/>
        <v>1.4877551020408167E-5</v>
      </c>
      <c r="P16">
        <f t="shared" si="1"/>
        <v>1.4877551020408167E-5</v>
      </c>
    </row>
    <row r="17" spans="1:16" x14ac:dyDescent="0.2">
      <c r="A17" t="str">
        <f>[3]epa_ghgi_2023!A17</f>
        <v>other_anth</v>
      </c>
      <c r="B17" t="str">
        <f>[3]epa_ghgi_2023!B17</f>
        <v>composting</v>
      </c>
      <c r="C17">
        <f>[3]epa_ghgi_2023!C17</f>
        <v>2.5</v>
      </c>
      <c r="D17">
        <f>[3]epa_ghgi_2023!D17</f>
        <v>1.45</v>
      </c>
      <c r="E17">
        <f>[3]epa_ghgi_2023!E17</f>
        <v>1.45</v>
      </c>
      <c r="F17">
        <f>[3]epa_ghgi_2023!F17</f>
        <v>2.2999999999999998</v>
      </c>
      <c r="G17">
        <f>[3]epa_ghgi_2023!G17</f>
        <v>8.9285714000000002E-2</v>
      </c>
      <c r="H17">
        <f>[3]epa_ghgi_2023!H17</f>
        <v>5.1785714285714282E-2</v>
      </c>
      <c r="I17">
        <f>[3]epa_ghgi_2023!I17</f>
        <v>5.1785714285714282E-2</v>
      </c>
      <c r="J17">
        <f>[3]epa_ghgi_2023!J17</f>
        <v>0</v>
      </c>
      <c r="K17">
        <f>[3]epa_ghgi_2023!K17</f>
        <v>0</v>
      </c>
      <c r="L17">
        <f>[3]epa_ghgi_2023!L17</f>
        <v>0</v>
      </c>
      <c r="M17">
        <f>[3]epa_ghgi_2023!M17</f>
        <v>0</v>
      </c>
      <c r="N17">
        <f>[3]epa_ghgi_2023!N17</f>
        <v>8.9285714000000002E-2</v>
      </c>
      <c r="O17">
        <f t="shared" si="0"/>
        <v>2.6817602040816323E-3</v>
      </c>
      <c r="P17">
        <f t="shared" si="1"/>
        <v>2.6817602040816323E-3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EF74-0D20-F548-A62A-26A857DC949C}">
  <dimension ref="A1:F8"/>
  <sheetViews>
    <sheetView workbookViewId="0">
      <selection activeCell="F2" sqref="F2"/>
    </sheetView>
  </sheetViews>
  <sheetFormatPr baseColWidth="10" defaultRowHeight="16" x14ac:dyDescent="0.2"/>
  <cols>
    <col min="6" max="6" width="12.83203125" bestFit="1" customWidth="1"/>
  </cols>
  <sheetData>
    <row r="1" spans="1:6" x14ac:dyDescent="0.2">
      <c r="B1" t="s">
        <v>33</v>
      </c>
      <c r="C1" t="s">
        <v>34</v>
      </c>
      <c r="D1" t="s">
        <v>35</v>
      </c>
    </row>
    <row r="2" spans="1:6" x14ac:dyDescent="0.2">
      <c r="A2" t="s">
        <v>7</v>
      </c>
      <c r="B2">
        <f>SUMIF(raw_epa23!$A$2:$A$17,$A2, raw_epa23!N$2:N$17)</f>
        <v>9.3793176640000002</v>
      </c>
      <c r="C2">
        <f>B2-SQRT(SUMIF(raw_epa23!$A$2:$A$17,$A2, raw_epa23!O$2:O$17))</f>
        <v>8.4966078368027418</v>
      </c>
      <c r="D2">
        <f>B2+SQRT(SUMIF(raw_epa23!$A$2:$A$17,$A2, raw_epa23!P$2:P$17))</f>
        <v>10.731707742146607</v>
      </c>
      <c r="F2" s="48"/>
    </row>
    <row r="3" spans="1:6" x14ac:dyDescent="0.2">
      <c r="A3" t="s">
        <v>6</v>
      </c>
      <c r="B3">
        <f>SUMIF(raw_epa23!$A$2:$A$17,$A3, raw_epa23!N$2:N$17)</f>
        <v>9.2887503719999991</v>
      </c>
      <c r="C3">
        <f>B3-SQRT(SUMIF(raw_epa23!$A$2:$A$17,$A3, raw_epa23!O$2:O$17))</f>
        <v>8.0683411126922522</v>
      </c>
      <c r="D3">
        <f>B3+SQRT(SUMIF(raw_epa23!$A$2:$A$17,$A3, raw_epa23!P$2:P$17))</f>
        <v>10.618901875282116</v>
      </c>
      <c r="F3" s="48"/>
    </row>
    <row r="4" spans="1:6" x14ac:dyDescent="0.2">
      <c r="A4" t="s">
        <v>8</v>
      </c>
      <c r="B4">
        <f>SUMIF(raw_epa23!$A$2:$A$17,$A4, raw_epa23!N$2:N$17)</f>
        <v>2.1279584960000002</v>
      </c>
      <c r="C4">
        <f>B4-SQRT(SUMIF(raw_epa23!$A$2:$A$17,$A4, raw_epa23!O$2:O$17))</f>
        <v>1.9316978404982945</v>
      </c>
      <c r="D4">
        <f>B4+SQRT(SUMIF(raw_epa23!$A$2:$A$17,$A4, raw_epa23!P$2:P$17))</f>
        <v>2.5285287145634876</v>
      </c>
      <c r="F4" s="48"/>
    </row>
    <row r="5" spans="1:6" x14ac:dyDescent="0.2">
      <c r="A5" t="s">
        <v>9</v>
      </c>
      <c r="B5">
        <f>SUMIF(raw_epa23!$A$2:$A$17,$A5, raw_epa23!N$2:N$17)</f>
        <v>4.5698875660000002</v>
      </c>
      <c r="C5">
        <f>B5-SQRT(SUMIF(raw_epa23!$A$2:$A$17,$A5, raw_epa23!O$2:O$17))</f>
        <v>3.6945304231428571</v>
      </c>
      <c r="D5">
        <f>B5+SQRT(SUMIF(raw_epa23!$A$2:$A$17,$A5, raw_epa23!P$2:P$17))</f>
        <v>5.7677447088571432</v>
      </c>
      <c r="F5" s="48"/>
    </row>
    <row r="6" spans="1:6" x14ac:dyDescent="0.2">
      <c r="A6" t="s">
        <v>10</v>
      </c>
      <c r="B6">
        <f>SUMIF(raw_epa23!$A$2:$A$17,$A6, raw_epa23!N$2:N$17)</f>
        <v>0.75347304299999995</v>
      </c>
      <c r="C6">
        <f>B6-SQRT(SUMIF(raw_epa23!$A$2:$A$17,$A6, raw_epa23!O$2:O$17))</f>
        <v>0.53390161442857142</v>
      </c>
      <c r="D6">
        <f>B6+SQRT(SUMIF(raw_epa23!$A$2:$A$17,$A6, raw_epa23!P$2:P$17))</f>
        <v>0.99575875728571428</v>
      </c>
      <c r="F6" s="48"/>
    </row>
    <row r="7" spans="1:6" x14ac:dyDescent="0.2">
      <c r="A7" t="s">
        <v>14</v>
      </c>
      <c r="B7">
        <f>SUMIF(raw_epa23!$A$2:$A$17,$A7, raw_epa23!N$2:N$17)</f>
        <v>1.1814561160000003</v>
      </c>
      <c r="C7">
        <f>B7-SQRT(SUMIF(raw_epa23!$A$2:$A$17,$A7, raw_epa23!O$2:O$17))</f>
        <v>0.71042585542478953</v>
      </c>
      <c r="D7">
        <f>B7+SQRT(SUMIF(raw_epa23!$A$2:$A$17,$A7, raw_epa23!P$2:P$17))</f>
        <v>1.8187567550957389</v>
      </c>
      <c r="F7" s="48"/>
    </row>
    <row r="8" spans="1:6" x14ac:dyDescent="0.2">
      <c r="A8" t="s">
        <v>39</v>
      </c>
      <c r="B8">
        <f>SUM(B2:B7)</f>
        <v>27.300843257000004</v>
      </c>
      <c r="C8">
        <f>B8*(1-0.08)</f>
        <v>25.116775796440006</v>
      </c>
      <c r="D8">
        <f>B8*1.12</f>
        <v>30.576944447840006</v>
      </c>
      <c r="F8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3CA-05DC-D643-A3BC-0FB53FCF30E6}">
  <dimension ref="A1:J13"/>
  <sheetViews>
    <sheetView showGridLines="0" tabSelected="1" zoomScale="125" zoomScaleNormal="125" workbookViewId="0">
      <selection activeCell="I5" sqref="I5"/>
    </sheetView>
  </sheetViews>
  <sheetFormatPr baseColWidth="10" defaultRowHeight="16" x14ac:dyDescent="0.2"/>
  <cols>
    <col min="1" max="1" width="19.83203125" bestFit="1" customWidth="1"/>
    <col min="2" max="2" width="11" hidden="1" customWidth="1"/>
    <col min="3" max="3" width="13.6640625" hidden="1" customWidth="1"/>
    <col min="4" max="4" width="13.6640625" customWidth="1"/>
    <col min="5" max="5" width="14.83203125" customWidth="1"/>
    <col min="6" max="7" width="15.5" customWidth="1"/>
  </cols>
  <sheetData>
    <row r="1" spans="1:10" ht="31" customHeight="1" x14ac:dyDescent="0.2">
      <c r="A1" s="31"/>
      <c r="B1" s="32"/>
      <c r="C1" s="46" t="s">
        <v>40</v>
      </c>
      <c r="D1" s="47" t="s">
        <v>40</v>
      </c>
      <c r="E1" s="44" t="s">
        <v>41</v>
      </c>
      <c r="F1" s="45" t="s">
        <v>38</v>
      </c>
      <c r="G1" s="20" t="s">
        <v>18</v>
      </c>
    </row>
    <row r="2" spans="1:10" x14ac:dyDescent="0.2">
      <c r="A2" s="19" t="s">
        <v>42</v>
      </c>
      <c r="B2" s="5"/>
      <c r="C2" s="34">
        <f>26.7+7.8</f>
        <v>34.5</v>
      </c>
      <c r="D2" s="6">
        <v>35.1</v>
      </c>
      <c r="E2" s="8" t="s">
        <v>28</v>
      </c>
      <c r="F2" s="25"/>
      <c r="G2" s="9" t="s">
        <v>30</v>
      </c>
    </row>
    <row r="3" spans="1:10" x14ac:dyDescent="0.2">
      <c r="A3" s="21" t="s">
        <v>25</v>
      </c>
      <c r="B3" s="5" t="s">
        <v>39</v>
      </c>
      <c r="C3" s="34" t="str">
        <f>_xlfn.CONCAT(TEXT(ROUND(VLOOKUP(Sheet2!B3,'epa22'!A:F,2,FALSE),1),"0.0")," (",TEXT(ROUND(VLOOKUP(Sheet2!B3,'epa22'!A:F,3,FALSE),1),"0.0")," - ",TEXT(ROUND(VLOOKUP(Sheet2!B3,'epa22'!A:F,4,FALSE),1),"0.0"),")")</f>
        <v>26.7 (24.0 - 29.3)</v>
      </c>
      <c r="D3" s="6" t="str">
        <f>_xlfn.CONCAT(TEXT(ROUND(VLOOKUP(Sheet2!B3,'epa23'!A:F,2,FALSE),1),"0.0")," (",TEXT(ROUND(VLOOKUP(Sheet2!B3,'epa23'!A:F,3,FALSE),1),"0.0")," - ",TEXT(ROUND(VLOOKUP(Sheet2!B3,'epa23'!A:F,4,FALSE),1),"0.0"),")")</f>
        <v>27.3 (25.1 - 30.6)</v>
      </c>
      <c r="E3" s="8" t="s">
        <v>27</v>
      </c>
      <c r="F3" s="25"/>
      <c r="G3" s="9" t="s">
        <v>31</v>
      </c>
      <c r="H3" t="e">
        <f>VLOOKUP(_xlfn.CONCAT("post_", Sheet2!B3), raw!A:F, 2, FALSE)/VLOOKUP(Sheet2!B3,'epa22'!A:F,2,FALSE)-1</f>
        <v>#N/A</v>
      </c>
      <c r="I3">
        <f>30.9-26.7</f>
        <v>4.1999999999999993</v>
      </c>
      <c r="J3">
        <f>30.9/27.3-1</f>
        <v>0.13186813186813184</v>
      </c>
    </row>
    <row r="4" spans="1:10" x14ac:dyDescent="0.2">
      <c r="A4" s="13" t="s">
        <v>0</v>
      </c>
      <c r="B4" s="14" t="s">
        <v>7</v>
      </c>
      <c r="C4" s="35" t="str">
        <f>_xlfn.CONCAT(TEXT(ROUND(VLOOKUP(Sheet2!B4,'epa22'!A:F,2,FALSE),1),"0.0")," (",TEXT(ROUND(VLOOKUP(Sheet2!B4,'epa22'!A:F,3,FALSE),1),"0.0")," - ",TEXT(ROUND(VLOOKUP(Sheet2!B4,'epa22'!A:F,4,FALSE),1),"0.0"),")")</f>
        <v>9.4 (8.5 - 10.7)</v>
      </c>
      <c r="D4" s="15" t="str">
        <f>_xlfn.CONCAT(TEXT(ROUND(VLOOKUP(Sheet2!B4,'epa23'!A:F,2,FALSE),1),"0.0")," (",TEXT(ROUND(VLOOKUP(Sheet2!B4,'epa23'!A:F,3,FALSE),1),"0.0")," - ",TEXT(ROUND(VLOOKUP(Sheet2!B4,'epa23'!A:F,4,FALSE),1),"0.0"),")")</f>
        <v>9.4 (8.5 - 10.7)</v>
      </c>
      <c r="E4" s="16" t="str">
        <f>_xlfn.CONCAT(TEXT(ROUND(VLOOKUP(_xlfn.CONCAT("post_", Sheet2!B4), raw!A:F, 2, FALSE), 1), "0.0"), " (", TEXT(ROUND(VLOOKUP(CONCATENATE("post_", Sheet2!B4), raw!A:F, 5, FALSE), 1), "0.0"), " - ", TEXT(ROUND(VLOOKUP(CONCATENATE("post_", Sheet2!B4), raw!A:F, 6, FALSE), 1), "0.0"), ")")</f>
        <v>10.4 (10.0 - 10.7)</v>
      </c>
      <c r="F4" s="26" t="str">
        <f>_xlfn.CONCAT(TEXT(ROUND(VLOOKUP(_xlfn.CONCAT("post_", Sheet2!B4), raw!A:I, 7, FALSE), 2), "0.00"), " (", TEXT(ROUND(VLOOKUP(CONCATENATE("post_", Sheet2!B4), raw!A:I, 8, FALSE), 2), "0.00"), " - ", TEXT(ROUND(VLOOKUP(CONCATENATE("post_", Sheet2!B4), raw!A:I, 9, FALSE), 2), "0.00"), ")")</f>
        <v>0.66 (0.55 - 0.76)</v>
      </c>
      <c r="G4" s="17" t="str">
        <f>_xlfn.CONCAT(TEXT(100*VLOOKUP(_xlfn.CONCAT("prior_sub_", Sheet2!B4), raw!A:L, 10, FALSE), "0"), " (", TEXT(100*VLOOKUP(CONCATENATE("prior_sub_", Sheet2!B4), raw!A:L, 11, FALSE), "0"), " - ", TEXT(100*VLOOKUP(CONCATENATE("prior_sub_", Sheet2!B4), raw!A:L, 12, FALSE), "0"), ")")</f>
        <v>66 (54 - 76)</v>
      </c>
      <c r="H4">
        <f>VLOOKUP(_xlfn.CONCAT("post_", Sheet2!B4), raw!A:F, 2, FALSE)/VLOOKUP(Sheet2!B4,'epa22'!A:F,2,FALSE)-1</f>
        <v>0.10653080216930277</v>
      </c>
      <c r="I4">
        <f>VLOOKUP(_xlfn.CONCAT("post_", Sheet2!B4), raw!A:F, 2, FALSE)-VLOOKUP(Sheet2!B4,'epa22'!A:F,2,FALSE)</f>
        <v>0.99924984163839881</v>
      </c>
      <c r="J4">
        <f>VLOOKUP(_xlfn.CONCAT("post_", Sheet2!B4), raw!A:F, 2, FALSE)/VLOOKUP(Sheet2!B4,'epa23'!A:F,2,FALSE)-1</f>
        <v>0.1066012426976477</v>
      </c>
    </row>
    <row r="5" spans="1:10" x14ac:dyDescent="0.2">
      <c r="A5" s="7" t="s">
        <v>1</v>
      </c>
      <c r="B5" s="27" t="s">
        <v>6</v>
      </c>
      <c r="C5" s="36" t="str">
        <f>_xlfn.CONCAT(TEXT(ROUND(VLOOKUP(Sheet2!B5,'epa22'!A:F,2,FALSE),1),"0.0")," (",TEXT(ROUND(VLOOKUP(Sheet2!B5,'epa22'!A:F,3,FALSE),1),"0.0")," - ",TEXT(ROUND(VLOOKUP(Sheet2!B5,'epa22'!A:F,4,FALSE),1),"0.0"),")")</f>
        <v>8.7 (7.4 - 10.2)</v>
      </c>
      <c r="D5" s="33" t="str">
        <f>_xlfn.CONCAT(TEXT(ROUND(VLOOKUP(Sheet2!B5,'epa23'!A:F,2,FALSE),1),"0.0")," (",TEXT(ROUND(VLOOKUP(Sheet2!B5,'epa23'!A:F,3,FALSE),1),"0.0")," - ",TEXT(ROUND(VLOOKUP(Sheet2!B5,'epa23'!A:F,4,FALSE),1),"0.0"),")")</f>
        <v>9.3 (8.1 - 10.6)</v>
      </c>
      <c r="E5" s="42" t="str">
        <f>_xlfn.CONCAT(TEXT(ROUND(VLOOKUP(_xlfn.CONCAT("post_", Sheet2!B5), raw!A:F, 2, FALSE), 1), "0.0"), " (", TEXT(ROUND(VLOOKUP(CONCATENATE("post_", Sheet2!B5), raw!A:F, 5, FALSE), 1), "0.0"), " - ", TEXT(ROUND(VLOOKUP(CONCATENATE("post_", Sheet2!B5), raw!A:F, 6, FALSE), 1), "0.0"), ")")</f>
        <v>10.4 (10.1 - 10.7)</v>
      </c>
      <c r="F5" s="28" t="str">
        <f>_xlfn.CONCAT(TEXT(ROUND(VLOOKUP(_xlfn.CONCAT("post_", Sheet2!B5), raw!A:I, 7, FALSE), 2), "0.00"), " (", TEXT(ROUND(VLOOKUP(CONCATENATE("post_", Sheet2!B5), raw!A:I, 8, FALSE), 2), "0.00"), " - ", TEXT(ROUND(VLOOKUP(CONCATENATE("post_", Sheet2!B5), raw!A:I, 9, FALSE), 2), "0.00"), ")")</f>
        <v>0.91 (0.88 - 0.95)</v>
      </c>
      <c r="G5" s="3" t="str">
        <f>_xlfn.CONCAT(TEXT(100*VLOOKUP(_xlfn.CONCAT("prior_sub_", Sheet2!B5), raw!A:L, 10, FALSE), "0"), " (", TEXT(100*VLOOKUP(CONCATENATE("prior_sub_", Sheet2!B5), raw!A:L, 11, FALSE), "0"), " - ", TEXT(100*VLOOKUP(CONCATENATE("prior_sub_", Sheet2!B5), raw!A:L, 12, FALSE), "0"), ")")</f>
        <v>88 (84 - 92)</v>
      </c>
      <c r="H5">
        <f>VLOOKUP(_xlfn.CONCAT("post_", Sheet2!B5), raw!A:F, 2, FALSE)/VLOOKUP(Sheet2!B5,'epa22'!A:F,2,FALSE)-1</f>
        <v>0.19140967046885526</v>
      </c>
      <c r="I5">
        <f>VLOOKUP(_xlfn.CONCAT("post_", Sheet2!B5), raw!A:F, 2, FALSE)-VLOOKUP(Sheet2!B5,'epa22'!A:F,2,FALSE)</f>
        <v>1.6725460224750996</v>
      </c>
      <c r="J5">
        <f>VLOOKUP(_xlfn.CONCAT("post_", Sheet2!B5), raw!A:F, 2, FALSE)/VLOOKUP(Sheet2!B5,'epa23'!A:F,2,FALSE)-1</f>
        <v>0.1207739558656642</v>
      </c>
    </row>
    <row r="6" spans="1:10" x14ac:dyDescent="0.2">
      <c r="A6" s="22" t="s">
        <v>2</v>
      </c>
      <c r="B6" s="10" t="s">
        <v>8</v>
      </c>
      <c r="C6" s="37" t="str">
        <f>_xlfn.CONCAT(TEXT(ROUND(VLOOKUP(Sheet2!B6,'epa22'!A:F,2,FALSE),1),"0.0")," (",TEXT(ROUND(VLOOKUP(Sheet2!B6,'epa22'!A:F,3,FALSE),1),"0.0")," - ",TEXT(ROUND(VLOOKUP(Sheet2!B6,'epa22'!A:F,4,FALSE),1),"0.0"),")")</f>
        <v>2.1 (2.0 - 2.5)</v>
      </c>
      <c r="D6" s="11" t="str">
        <f>_xlfn.CONCAT(TEXT(ROUND(VLOOKUP(Sheet2!B6,'epa23'!A:F,2,FALSE),1),"0.0")," (",TEXT(ROUND(VLOOKUP(Sheet2!B6,'epa23'!A:F,3,FALSE),1),"0.0")," - ",TEXT(ROUND(VLOOKUP(Sheet2!B6,'epa23'!A:F,4,FALSE),1),"0.0"),")")</f>
        <v>2.1 (1.9 - 2.5)</v>
      </c>
      <c r="E6" s="12" t="str">
        <f>_xlfn.CONCAT(TEXT(ROUND(VLOOKUP(_xlfn.CONCAT("post_", Sheet2!B6), raw!A:F, 2, FALSE), 1), "0.0"), " (", TEXT(ROUND(VLOOKUP(CONCATENATE("post_", Sheet2!B6), raw!A:F, 5, FALSE), 1), "0.0"), " - ", TEXT(ROUND(VLOOKUP(CONCATENATE("post_", Sheet2!B6), raw!A:F, 6, FALSE), 1), "0.0"), ")")</f>
        <v>1.5 (1.2 - 1.9)</v>
      </c>
      <c r="F6" s="29" t="str">
        <f>_xlfn.CONCAT(TEXT(ROUND(VLOOKUP(_xlfn.CONCAT("post_", Sheet2!B6), raw!A:I, 7, FALSE), 2), "0.00"), " (", TEXT(ROUND(VLOOKUP(CONCATENATE("post_", Sheet2!B6), raw!A:I, 8, FALSE), 2), "0.00"), " - ", TEXT(ROUND(VLOOKUP(CONCATENATE("post_", Sheet2!B6), raw!A:I, 9, FALSE), 2), "0.00"), ")")</f>
        <v>0.60 (0.45 - 0.80)</v>
      </c>
      <c r="G6" s="18" t="str">
        <f>_xlfn.CONCAT(TEXT(100*VLOOKUP(_xlfn.CONCAT("prior_sub_", Sheet2!B6), raw!A:L, 10, FALSE), "0"), " (", TEXT(100*VLOOKUP(CONCATENATE("prior_sub_", Sheet2!B6), raw!A:L, 11, FALSE), "0"), " - ", TEXT(100*VLOOKUP(CONCATENATE("prior_sub_", Sheet2!B6), raw!A:L, 12, FALSE), "0"), ")")</f>
        <v>96 (95 - 98)</v>
      </c>
      <c r="H6">
        <f>VLOOKUP(_xlfn.CONCAT("post_", Sheet2!B6), raw!A:F, 2, FALSE)/VLOOKUP(Sheet2!B6,'epa22'!A:F,2,FALSE)-1</f>
        <v>-0.28339185448972593</v>
      </c>
      <c r="I6">
        <f>VLOOKUP(_xlfn.CONCAT("post_", Sheet2!B6), raw!A:F, 2, FALSE)-VLOOKUP(Sheet2!B6,'epa22'!A:F,2,FALSE)</f>
        <v>-0.60403608685922006</v>
      </c>
      <c r="J6">
        <f>VLOOKUP(_xlfn.CONCAT("post_", Sheet2!B6), raw!A:F, 2, FALSE)/VLOOKUP(Sheet2!B6,'epa23'!A:F,2,FALSE)-1</f>
        <v>-0.28221544451552127</v>
      </c>
    </row>
    <row r="7" spans="1:10" x14ac:dyDescent="0.2">
      <c r="A7" s="7" t="s">
        <v>3</v>
      </c>
      <c r="B7" s="27" t="s">
        <v>9</v>
      </c>
      <c r="C7" s="36" t="str">
        <f>_xlfn.CONCAT(TEXT(ROUND(VLOOKUP(Sheet2!B7,'epa22'!A:F,2,FALSE),1),"0.0")," (",TEXT(ROUND(VLOOKUP(Sheet2!B7,'epa22'!A:F,3,FALSE),1),"0.0")," - ",TEXT(ROUND(VLOOKUP(Sheet2!B7,'epa22'!A:F,4,FALSE),1),"0.0"),")")</f>
        <v>4.5 (3.5 - 5.5)</v>
      </c>
      <c r="D7" s="33" t="str">
        <f>_xlfn.CONCAT(TEXT(ROUND(VLOOKUP(Sheet2!B7,'epa23'!A:F,2,FALSE),1),"0.0")," (",TEXT(ROUND(VLOOKUP(Sheet2!B7,'epa23'!A:F,3,FALSE),1),"0.0")," - ",TEXT(ROUND(VLOOKUP(Sheet2!B7,'epa23'!A:F,4,FALSE),1),"0.0"),")")</f>
        <v>4.6 (3.7 - 5.8)</v>
      </c>
      <c r="E7" s="42" t="str">
        <f>_xlfn.CONCAT(TEXT(ROUND(VLOOKUP(_xlfn.CONCAT("post_", Sheet2!B7), raw!A:F, 2, FALSE), 1), "0.0"), " (", TEXT(ROUND(VLOOKUP(CONCATENATE("post_", Sheet2!B7), raw!A:F, 5, FALSE), 1), "0.0"), " - ", TEXT(ROUND(VLOOKUP(CONCATENATE("post_", Sheet2!B7), raw!A:F, 6, FALSE), 1), "0.0"), ")")</f>
        <v>6.9 (6.4 - 7.5)</v>
      </c>
      <c r="F7" s="28" t="str">
        <f>_xlfn.CONCAT(TEXT(ROUND(VLOOKUP(_xlfn.CONCAT("post_", Sheet2!B7), raw!A:I, 7, FALSE), 2), "0.00"), " (", TEXT(ROUND(VLOOKUP(CONCATENATE("post_", Sheet2!B7), raw!A:I, 8, FALSE), 2), "0.00"), " - ", TEXT(ROUND(VLOOKUP(CONCATENATE("post_", Sheet2!B7), raw!A:I, 9, FALSE), 2), "0.00"), ")")</f>
        <v>0.47 (0.34 - 0.64)</v>
      </c>
      <c r="G7" s="3" t="str">
        <f>_xlfn.CONCAT(TEXT(100*VLOOKUP(_xlfn.CONCAT("prior_sub_", Sheet2!B7), raw!A:L, 10, FALSE), "0"), " (", TEXT(100*VLOOKUP(CONCATENATE("prior_sub_", Sheet2!B7), raw!A:L, 11, FALSE), "0"), " - ", TEXT(100*VLOOKUP(CONCATENATE("prior_sub_", Sheet2!B7), raw!A:L, 12, FALSE), "0"), ")")</f>
        <v>81 (72 - 90)</v>
      </c>
      <c r="H7">
        <f>VLOOKUP(_xlfn.CONCAT("post_", Sheet2!B7), raw!A:F, 2, FALSE)/VLOOKUP(Sheet2!B7,'epa22'!A:F,2,FALSE)-1</f>
        <v>0.52795772900728366</v>
      </c>
      <c r="I7">
        <f>VLOOKUP(_xlfn.CONCAT("post_", Sheet2!B7), raw!A:F, 2, FALSE)-VLOOKUP(Sheet2!B7,'epa22'!A:F,2,FALSE)</f>
        <v>2.3817188101456805</v>
      </c>
      <c r="J7">
        <f>VLOOKUP(_xlfn.CONCAT("post_", Sheet2!B7), raw!A:F, 2, FALSE)/VLOOKUP(Sheet2!B7,'epa23'!A:F,2,FALSE)-1</f>
        <v>0.50833274355128411</v>
      </c>
    </row>
    <row r="8" spans="1:10" x14ac:dyDescent="0.2">
      <c r="A8" s="22" t="s">
        <v>4</v>
      </c>
      <c r="B8" s="10" t="s">
        <v>10</v>
      </c>
      <c r="C8" s="37" t="str">
        <f>_xlfn.CONCAT(TEXT(ROUND(VLOOKUP(Sheet2!B8,'epa22'!A:F,2,FALSE),1),"0.0")," (",TEXT(ROUND(VLOOKUP(Sheet2!B8,'epa22'!A:F,3,FALSE),1),"0.0")," - ",TEXT(ROUND(VLOOKUP(Sheet2!B8,'epa22'!A:F,4,FALSE),1),"0.0"),")")</f>
        <v>0.7 (0.5 - 0.9)</v>
      </c>
      <c r="D8" s="11" t="str">
        <f>_xlfn.CONCAT(TEXT(ROUND(VLOOKUP(Sheet2!B8,'epa23'!A:F,2,FALSE),1),"0.0")," (",TEXT(ROUND(VLOOKUP(Sheet2!B8,'epa23'!A:F,3,FALSE),1),"0.0")," - ",TEXT(ROUND(VLOOKUP(Sheet2!B8,'epa23'!A:F,4,FALSE),1),"0.0"),")")</f>
        <v>0.8 (0.5 - 1.0)</v>
      </c>
      <c r="E8" s="12" t="str">
        <f>_xlfn.CONCAT(TEXT(ROUND(VLOOKUP(_xlfn.CONCAT("post_", Sheet2!B8), raw!A:F, 2, FALSE), 1), "0.0"), " (", TEXT(ROUND(VLOOKUP(CONCATENATE("post_", Sheet2!B8), raw!A:F, 5, FALSE), 1), "0.0"), " - ", TEXT(ROUND(VLOOKUP(CONCATENATE("post_", Sheet2!B8), raw!A:F, 6, FALSE), 1), "0.0"), ")")</f>
        <v>0.6 (0.5 - 0.7)</v>
      </c>
      <c r="F8" s="29" t="str">
        <f>_xlfn.CONCAT(TEXT(ROUND(VLOOKUP(_xlfn.CONCAT("post_", Sheet2!B8), raw!A:I, 7, FALSE), 2), "0.00"), " (", TEXT(ROUND(VLOOKUP(CONCATENATE("post_", Sheet2!B8), raw!A:I, 8, FALSE), 2), "0.00"), " - ", TEXT(ROUND(VLOOKUP(CONCATENATE("post_", Sheet2!B8), raw!A:I, 9, FALSE), 2), "0.00"), ")")</f>
        <v>0.33 (0.16 - 0.60)</v>
      </c>
      <c r="G8" s="18" t="str">
        <f>_xlfn.CONCAT(TEXT(100*VLOOKUP(_xlfn.CONCAT("prior_sub_", Sheet2!B8), raw!A:L, 10, FALSE), "0"), " (", TEXT(100*VLOOKUP(CONCATENATE("prior_sub_", Sheet2!B8), raw!A:L, 11, FALSE), "0"), " - ", TEXT(100*VLOOKUP(CONCATENATE("prior_sub_", Sheet2!B8), raw!A:L, 12, FALSE), "0"), ")")</f>
        <v>82 (71 - 90)</v>
      </c>
      <c r="H8">
        <f>VLOOKUP(_xlfn.CONCAT("post_", Sheet2!B8), raw!A:F, 2, FALSE)/VLOOKUP(Sheet2!B8,'epa22'!A:F,2,FALSE)-1</f>
        <v>-0.13764834507042567</v>
      </c>
      <c r="I8">
        <f>VLOOKUP(_xlfn.CONCAT("post_", Sheet2!B8), raw!A:F, 2, FALSE)-VLOOKUP(Sheet2!B8,'epa22'!A:F,2,FALSE)</f>
        <v>-9.9226123412696987E-2</v>
      </c>
      <c r="J8">
        <f>VLOOKUP(_xlfn.CONCAT("post_", Sheet2!B8), raw!A:F, 2, FALSE)/VLOOKUP(Sheet2!B8,'epa23'!A:F,2,FALSE)-1</f>
        <v>-0.17496625478172145</v>
      </c>
    </row>
    <row r="9" spans="1:10" x14ac:dyDescent="0.2">
      <c r="A9" s="7" t="s">
        <v>22</v>
      </c>
      <c r="B9" s="27" t="s">
        <v>14</v>
      </c>
      <c r="C9" s="36" t="str">
        <f>_xlfn.CONCAT(TEXT(ROUND(VLOOKUP(Sheet2!B9,'epa22'!A:F,2,FALSE),1),"0.0")," (",TEXT(ROUND(VLOOKUP(Sheet2!B9,'epa22'!A:F,3,FALSE),1),"0.0")," - ",TEXT(ROUND(VLOOKUP(Sheet2!B9,'epa22'!A:F,4,FALSE),1),"0.0"),")")</f>
        <v>1.2 (0.7 - 1.8)</v>
      </c>
      <c r="D9" s="33" t="str">
        <f>_xlfn.CONCAT(TEXT(ROUND(VLOOKUP(Sheet2!B9,'epa23'!A:F,2,FALSE),1),"0.0")," (",TEXT(ROUND(VLOOKUP(Sheet2!B9,'epa23'!A:F,3,FALSE),1),"0.0")," - ",TEXT(ROUND(VLOOKUP(Sheet2!B9,'epa23'!A:F,4,FALSE),1),"0.0"),")")</f>
        <v>1.2 (0.7 - 1.8)</v>
      </c>
      <c r="E9" s="42" t="str">
        <f>_xlfn.CONCAT(TEXT(ROUND(VLOOKUP(_xlfn.CONCAT("post_", Sheet2!B9), raw!A:F, 2, FALSE), 1), "0.0"), " (", TEXT(ROUND(VLOOKUP(CONCATENATE("post_", Sheet2!B9), raw!A:F, 5, FALSE), 1), "0.0"), " - ", TEXT(ROUND(VLOOKUP(CONCATENATE("post_", Sheet2!B9), raw!A:F, 6, FALSE), 1), "0.0"), ")")</f>
        <v>1.1 (1.0 - 1.2)</v>
      </c>
      <c r="F9" s="28" t="str">
        <f>_xlfn.CONCAT(TEXT(ROUND(VLOOKUP(_xlfn.CONCAT("post_", Sheet2!B9), raw!A:I, 7, FALSE), 2), "0.00"), " (", TEXT(ROUND(VLOOKUP(CONCATENATE("post_", Sheet2!B9), raw!A:I, 8, FALSE), 2), "0.00"), " - ", TEXT(ROUND(VLOOKUP(CONCATENATE("post_", Sheet2!B9), raw!A:I, 9, FALSE), 2), "0.00"), ")")</f>
        <v>0.59 (0.44 - 0.76)</v>
      </c>
      <c r="G9" s="3" t="str">
        <f>_xlfn.CONCAT(TEXT(100*VLOOKUP(_xlfn.CONCAT("prior_sub_", Sheet2!B9), raw!A:L, 10, FALSE), "0"), " (", TEXT(100*VLOOKUP(CONCATENATE("prior_sub_", Sheet2!B9), raw!A:L, 11, FALSE), "0"), " - ", TEXT(100*VLOOKUP(CONCATENATE("prior_sub_", Sheet2!B9), raw!A:L, 12, FALSE), "0"), ")")</f>
        <v>80 (68 - 89)</v>
      </c>
      <c r="H9">
        <f>VLOOKUP(_xlfn.CONCAT("post_", Sheet2!B9), raw!A:F, 2, FALSE)/VLOOKUP(Sheet2!B9,'epa22'!A:F,2,FALSE)-1</f>
        <v>-6.2660414009191423E-2</v>
      </c>
      <c r="I9">
        <f>VLOOKUP(_xlfn.CONCAT("post_", Sheet2!B9), raw!A:F, 2, FALSE)-VLOOKUP(Sheet2!B9,'epa22'!A:F,2,FALSE)</f>
        <v>-7.3953163426319968E-2</v>
      </c>
      <c r="J9">
        <f>VLOOKUP(_xlfn.CONCAT("post_", Sheet2!B9), raw!A:F, 2, FALSE)/VLOOKUP(Sheet2!B9,'epa23'!A:F,2,FALSE)-1</f>
        <v>-6.3639984937299388E-2</v>
      </c>
    </row>
    <row r="10" spans="1:10" x14ac:dyDescent="0.2">
      <c r="A10" s="38" t="s">
        <v>26</v>
      </c>
      <c r="B10" s="39"/>
      <c r="C10" s="49">
        <f>SUM(C11:C12)</f>
        <v>7.7563069779343294</v>
      </c>
      <c r="D10" s="50"/>
      <c r="E10" s="43" t="s">
        <v>29</v>
      </c>
      <c r="F10" s="40"/>
      <c r="G10" s="41" t="s">
        <v>32</v>
      </c>
    </row>
    <row r="11" spans="1:10" x14ac:dyDescent="0.2">
      <c r="A11" s="13" t="s">
        <v>5</v>
      </c>
      <c r="B11" s="14" t="s">
        <v>11</v>
      </c>
      <c r="C11" s="51">
        <f>VLOOKUP(CONCATENATE("prior_", LOWER(B11)),raw!A:F, 2, FALSE)</f>
        <v>6.6284714498648896</v>
      </c>
      <c r="D11" s="52"/>
      <c r="E11" s="16" t="str">
        <f>_xlfn.CONCAT(TEXT(ROUND(VLOOKUP(_xlfn.CONCAT("post_", Sheet2!B11), raw!A:F, 2, FALSE), 1), "0.0"), " (", TEXT(ROUND(VLOOKUP(CONCATENATE("post_", Sheet2!B11), raw!A:F, 5, FALSE), 1), "0.0"), " - ", TEXT(ROUND(VLOOKUP(CONCATENATE("post_", Sheet2!B11), raw!A:F, 6, FALSE), 1), "0.0"), ")")</f>
        <v>7.2 (7.0 - 7.4)</v>
      </c>
      <c r="F11" s="26" t="str">
        <f>_xlfn.CONCAT(TEXT(ROUND(VLOOKUP(_xlfn.CONCAT("post_", Sheet2!B11), raw!A:I, 7, FALSE), 2), "0.00"), " (", TEXT(ROUND(VLOOKUP(CONCATENATE("post_", Sheet2!B11), raw!A:I, 8, FALSE), 2), "0.00"), " - ", TEXT(ROUND(VLOOKUP(CONCATENATE("post_", Sheet2!B11), raw!A:I, 9, FALSE), 2), "0.00"), ")")</f>
        <v>0.35 (0.16 - 0.55)</v>
      </c>
      <c r="G11" s="17" t="str">
        <f>_xlfn.CONCAT(TEXT(100*VLOOKUP(_xlfn.CONCAT("prior_sub_", Sheet2!B11), raw!A:L, 10, FALSE), "0"), " (", TEXT(100*VLOOKUP(CONCATENATE("prior_sub_", Sheet2!B11), raw!A:L, 11, FALSE), "0"), " - ", TEXT(100*VLOOKUP(CONCATENATE("prior_sub_", Sheet2!B11), raw!A:L, 12, FALSE), "0"), ")")</f>
        <v>56 (37 - 72)</v>
      </c>
    </row>
    <row r="12" spans="1:10" x14ac:dyDescent="0.2">
      <c r="A12" s="24" t="s">
        <v>23</v>
      </c>
      <c r="B12" s="2" t="s">
        <v>24</v>
      </c>
      <c r="C12" s="53">
        <f>VLOOKUP(CONCATENATE("prior_", LOWER(B12)),raw!A:F, 2, FALSE)</f>
        <v>1.1278355280694401</v>
      </c>
      <c r="D12" s="54"/>
      <c r="E12" s="23" t="str">
        <f>_xlfn.CONCAT(TEXT(ROUND(VLOOKUP(_xlfn.CONCAT("post_", Sheet2!B12), raw!A:F, 2, FALSE), 1), "0.0"), " (", TEXT(ROUND(VLOOKUP(CONCATENATE("post_", Sheet2!B12), raw!A:F, 5, FALSE), 1), "0.0"), " - ", TEXT(ROUND(VLOOKUP(CONCATENATE("post_", Sheet2!B12), raw!A:F, 6, FALSE), 1), "0.0"), ")")</f>
        <v>1.2 (1.2 - 1.2)</v>
      </c>
      <c r="F12" s="30" t="str">
        <f>_xlfn.CONCAT(TEXT(ROUND(VLOOKUP(_xlfn.CONCAT("post_", Sheet2!B12), raw!A:I, 7, FALSE), 2), "0.00"), " (", TEXT(ROUND(VLOOKUP(CONCATENATE("post_", Sheet2!B12), raw!A:I, 8, FALSE), 2), "0.00"), " - ", TEXT(ROUND(VLOOKUP(CONCATENATE("post_", Sheet2!B12), raw!A:I, 9, FALSE), 2), "0.00"), ")")</f>
        <v>0.25 (0.19 - 0.32)</v>
      </c>
      <c r="G12" s="4" t="str">
        <f>_xlfn.CONCAT(TEXT(100*VLOOKUP(_xlfn.CONCAT("prior_sub_", Sheet2!B12), raw!A:L, 10, FALSE), "0"), " (", TEXT(100*VLOOKUP(CONCATENATE("prior_sub_", Sheet2!B12), raw!A:L, 11, FALSE), "0"), " - ", TEXT(100*VLOOKUP(CONCATENATE("prior_sub_", Sheet2!B12), raw!A:L, 12, FALSE), "0"), ")")</f>
        <v>41 (31 - 50)</v>
      </c>
    </row>
    <row r="13" spans="1:10" x14ac:dyDescent="0.2">
      <c r="I13">
        <f>I7+I5+I4</f>
        <v>5.053514674259179</v>
      </c>
    </row>
  </sheetData>
  <mergeCells count="3">
    <mergeCell ref="C10:D10"/>
    <mergeCell ref="C11:D11"/>
    <mergeCell ref="C12:D12"/>
  </mergeCells>
  <pageMargins left="0.7" right="0.7" top="0.75" bottom="0.75" header="0.3" footer="0.3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raw_epa22</vt:lpstr>
      <vt:lpstr>epa22</vt:lpstr>
      <vt:lpstr>raw_epa23</vt:lpstr>
      <vt:lpstr>epa23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Nesser</dc:creator>
  <cp:lastModifiedBy>Hannah Nesser</cp:lastModifiedBy>
  <dcterms:created xsi:type="dcterms:W3CDTF">2022-11-30T21:45:49Z</dcterms:created>
  <dcterms:modified xsi:type="dcterms:W3CDTF">2023-04-20T14:23:41Z</dcterms:modified>
</cp:coreProperties>
</file>