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nesser/Documents/Harvard/Research/TROPOMI_Inversion/paper/tables/"/>
    </mc:Choice>
  </mc:AlternateContent>
  <xr:revisionPtr revIDLastSave="0" documentId="13_ncr:1_{5A6929F9-AB61-CA47-8574-93E8D65E8AFD}" xr6:coauthVersionLast="47" xr6:coauthVersionMax="47" xr10:uidLastSave="{00000000-0000-0000-0000-000000000000}"/>
  <bookViews>
    <workbookView xWindow="42060" yWindow="1100" windowWidth="23120" windowHeight="19240" activeTab="2" xr2:uid="{00000000-000D-0000-FFFF-FFFF00000000}"/>
  </bookViews>
  <sheets>
    <sheet name="state_summ" sheetId="1" r:id="rId1"/>
    <sheet name="epa" sheetId="3" r:id="rId2"/>
    <sheet name="table" sheetId="2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4" i="2"/>
  <c r="AE1" i="1" l="1"/>
  <c r="AF1" i="1"/>
  <c r="AG1" i="1"/>
  <c r="AH1" i="1"/>
  <c r="AI1" i="1"/>
  <c r="AJ1" i="1"/>
  <c r="AE2" i="1"/>
  <c r="AF2" i="1"/>
  <c r="AG2" i="1"/>
  <c r="AH2" i="1"/>
  <c r="AI2" i="1"/>
  <c r="AJ2" i="1"/>
  <c r="AE3" i="1"/>
  <c r="AF3" i="1"/>
  <c r="AG3" i="1"/>
  <c r="AH3" i="1"/>
  <c r="AI3" i="1"/>
  <c r="AJ3" i="1"/>
  <c r="AE4" i="1"/>
  <c r="AF4" i="1"/>
  <c r="AG4" i="1"/>
  <c r="AH4" i="1"/>
  <c r="AI4" i="1"/>
  <c r="AJ4" i="1"/>
  <c r="AE5" i="1"/>
  <c r="AF5" i="1"/>
  <c r="AG5" i="1"/>
  <c r="AH5" i="1"/>
  <c r="AI5" i="1"/>
  <c r="AJ5" i="1"/>
  <c r="AE6" i="1"/>
  <c r="AF6" i="1"/>
  <c r="AG6" i="1"/>
  <c r="AH6" i="1"/>
  <c r="AI6" i="1"/>
  <c r="AJ6" i="1"/>
  <c r="AE7" i="1"/>
  <c r="AF7" i="1"/>
  <c r="AG7" i="1"/>
  <c r="AH7" i="1"/>
  <c r="AI7" i="1"/>
  <c r="AJ7" i="1"/>
  <c r="AE8" i="1"/>
  <c r="AF8" i="1"/>
  <c r="AG8" i="1"/>
  <c r="AH8" i="1"/>
  <c r="AI8" i="1"/>
  <c r="AJ8" i="1"/>
  <c r="AE9" i="1"/>
  <c r="AF9" i="1"/>
  <c r="AG9" i="1"/>
  <c r="AH9" i="1"/>
  <c r="AI9" i="1"/>
  <c r="AJ9" i="1"/>
  <c r="AE10" i="1"/>
  <c r="AF10" i="1"/>
  <c r="AG10" i="1"/>
  <c r="AH10" i="1"/>
  <c r="AI10" i="1"/>
  <c r="AJ10" i="1"/>
  <c r="AE11" i="1"/>
  <c r="AF11" i="1"/>
  <c r="AG11" i="1"/>
  <c r="AH11" i="1"/>
  <c r="AI11" i="1"/>
  <c r="AJ11" i="1"/>
  <c r="AE12" i="1"/>
  <c r="AF12" i="1"/>
  <c r="AG12" i="1"/>
  <c r="AH12" i="1"/>
  <c r="AI12" i="1"/>
  <c r="AJ12" i="1"/>
  <c r="AE13" i="1"/>
  <c r="AF13" i="1"/>
  <c r="AG13" i="1"/>
  <c r="AH13" i="1"/>
  <c r="AI13" i="1"/>
  <c r="AJ13" i="1"/>
  <c r="AE14" i="1"/>
  <c r="AF14" i="1"/>
  <c r="AG14" i="1"/>
  <c r="AH14" i="1"/>
  <c r="AI14" i="1"/>
  <c r="AJ14" i="1"/>
  <c r="AE15" i="1"/>
  <c r="AF15" i="1"/>
  <c r="AG15" i="1"/>
  <c r="AH15" i="1"/>
  <c r="AI15" i="1"/>
  <c r="AJ15" i="1"/>
  <c r="AE16" i="1"/>
  <c r="AF16" i="1"/>
  <c r="AG16" i="1"/>
  <c r="AH16" i="1"/>
  <c r="AI16" i="1"/>
  <c r="AJ16" i="1"/>
  <c r="AE17" i="1"/>
  <c r="AF17" i="1"/>
  <c r="AG17" i="1"/>
  <c r="AH17" i="1"/>
  <c r="AI17" i="1"/>
  <c r="AJ17" i="1"/>
  <c r="AE18" i="1"/>
  <c r="AF18" i="1"/>
  <c r="AG18" i="1"/>
  <c r="AH18" i="1"/>
  <c r="AI18" i="1"/>
  <c r="AJ18" i="1"/>
  <c r="AE19" i="1"/>
  <c r="AF19" i="1"/>
  <c r="AG19" i="1"/>
  <c r="AH19" i="1"/>
  <c r="AI19" i="1"/>
  <c r="AJ19" i="1"/>
  <c r="AE20" i="1"/>
  <c r="AF20" i="1"/>
  <c r="AG20" i="1"/>
  <c r="AH20" i="1"/>
  <c r="AI20" i="1"/>
  <c r="AJ20" i="1"/>
  <c r="AE21" i="1"/>
  <c r="AF21" i="1"/>
  <c r="AG21" i="1"/>
  <c r="AH21" i="1"/>
  <c r="AI21" i="1"/>
  <c r="AJ21" i="1"/>
  <c r="AE22" i="1"/>
  <c r="AF22" i="1"/>
  <c r="AG22" i="1"/>
  <c r="AH22" i="1"/>
  <c r="AI22" i="1"/>
  <c r="AJ22" i="1"/>
  <c r="AE23" i="1"/>
  <c r="AF23" i="1"/>
  <c r="AG23" i="1"/>
  <c r="AH23" i="1"/>
  <c r="AI23" i="1"/>
  <c r="AJ23" i="1"/>
  <c r="AE24" i="1"/>
  <c r="AF24" i="1"/>
  <c r="AG24" i="1"/>
  <c r="AH24" i="1"/>
  <c r="AI24" i="1"/>
  <c r="AJ24" i="1"/>
  <c r="AE25" i="1"/>
  <c r="AF25" i="1"/>
  <c r="AG25" i="1"/>
  <c r="AH25" i="1"/>
  <c r="AI25" i="1"/>
  <c r="AJ25" i="1"/>
  <c r="AE26" i="1"/>
  <c r="AF26" i="1"/>
  <c r="AG26" i="1"/>
  <c r="AH26" i="1"/>
  <c r="AI26" i="1"/>
  <c r="AJ26" i="1"/>
  <c r="AE27" i="1"/>
  <c r="AF27" i="1"/>
  <c r="AG27" i="1"/>
  <c r="AH27" i="1"/>
  <c r="AI27" i="1"/>
  <c r="AJ27" i="1"/>
  <c r="AE28" i="1"/>
  <c r="AF28" i="1"/>
  <c r="AG28" i="1"/>
  <c r="AH28" i="1"/>
  <c r="AI28" i="1"/>
  <c r="AJ28" i="1"/>
  <c r="AE29" i="1"/>
  <c r="AF29" i="1"/>
  <c r="AG29" i="1"/>
  <c r="AH29" i="1"/>
  <c r="AI29" i="1"/>
  <c r="AJ29" i="1"/>
  <c r="AE30" i="1"/>
  <c r="AF30" i="1"/>
  <c r="AG30" i="1"/>
  <c r="AH30" i="1"/>
  <c r="AI30" i="1"/>
  <c r="AJ30" i="1"/>
  <c r="AE31" i="1"/>
  <c r="AF31" i="1"/>
  <c r="AG31" i="1"/>
  <c r="AH31" i="1"/>
  <c r="AI31" i="1"/>
  <c r="AJ31" i="1"/>
  <c r="AE32" i="1"/>
  <c r="AF32" i="1"/>
  <c r="AG32" i="1"/>
  <c r="AH32" i="1"/>
  <c r="AI32" i="1"/>
  <c r="AJ32" i="1"/>
  <c r="AE33" i="1"/>
  <c r="AF33" i="1"/>
  <c r="AG33" i="1"/>
  <c r="AH33" i="1"/>
  <c r="AI33" i="1"/>
  <c r="AJ33" i="1"/>
  <c r="AE34" i="1"/>
  <c r="AF34" i="1"/>
  <c r="AG34" i="1"/>
  <c r="AH34" i="1"/>
  <c r="AI34" i="1"/>
  <c r="AJ34" i="1"/>
  <c r="AE35" i="1"/>
  <c r="AF35" i="1"/>
  <c r="AG35" i="1"/>
  <c r="AH35" i="1"/>
  <c r="AI35" i="1"/>
  <c r="AJ35" i="1"/>
  <c r="AE36" i="1"/>
  <c r="AF36" i="1"/>
  <c r="AG36" i="1"/>
  <c r="AH36" i="1"/>
  <c r="AI36" i="1"/>
  <c r="AJ36" i="1"/>
  <c r="AE37" i="1"/>
  <c r="AF37" i="1"/>
  <c r="AG37" i="1"/>
  <c r="AH37" i="1"/>
  <c r="AI37" i="1"/>
  <c r="AJ37" i="1"/>
  <c r="AE38" i="1"/>
  <c r="AF38" i="1"/>
  <c r="AG38" i="1"/>
  <c r="AH38" i="1"/>
  <c r="AI38" i="1"/>
  <c r="AJ38" i="1"/>
  <c r="AE39" i="1"/>
  <c r="AF39" i="1"/>
  <c r="AG39" i="1"/>
  <c r="AH39" i="1"/>
  <c r="AI39" i="1"/>
  <c r="AJ39" i="1"/>
  <c r="AE40" i="1"/>
  <c r="AF40" i="1"/>
  <c r="AG40" i="1"/>
  <c r="AH40" i="1"/>
  <c r="AI40" i="1"/>
  <c r="AJ40" i="1"/>
  <c r="AE41" i="1"/>
  <c r="AF41" i="1"/>
  <c r="AG41" i="1"/>
  <c r="AH41" i="1"/>
  <c r="AI41" i="1"/>
  <c r="AJ41" i="1"/>
  <c r="AE42" i="1"/>
  <c r="AF42" i="1"/>
  <c r="AG42" i="1"/>
  <c r="AH42" i="1"/>
  <c r="AI42" i="1"/>
  <c r="AJ42" i="1"/>
  <c r="AE43" i="1"/>
  <c r="AF43" i="1"/>
  <c r="AG43" i="1"/>
  <c r="AH43" i="1"/>
  <c r="AI43" i="1"/>
  <c r="AJ43" i="1"/>
  <c r="AE44" i="1"/>
  <c r="AF44" i="1"/>
  <c r="AG44" i="1"/>
  <c r="AH44" i="1"/>
  <c r="AI44" i="1"/>
  <c r="AJ44" i="1"/>
  <c r="AE45" i="1"/>
  <c r="AF45" i="1"/>
  <c r="AG45" i="1"/>
  <c r="AH45" i="1"/>
  <c r="AI45" i="1"/>
  <c r="AJ45" i="1"/>
  <c r="AE46" i="1"/>
  <c r="AF46" i="1"/>
  <c r="AG46" i="1"/>
  <c r="AH46" i="1"/>
  <c r="AI46" i="1"/>
  <c r="AJ46" i="1"/>
  <c r="AE47" i="1"/>
  <c r="AF47" i="1"/>
  <c r="AG47" i="1"/>
  <c r="AH47" i="1"/>
  <c r="AI47" i="1"/>
  <c r="AJ47" i="1"/>
  <c r="AE48" i="1"/>
  <c r="AF48" i="1"/>
  <c r="AG48" i="1"/>
  <c r="AH48" i="1"/>
  <c r="AI48" i="1"/>
  <c r="AJ48" i="1"/>
  <c r="AE49" i="1"/>
  <c r="AF49" i="1"/>
  <c r="AG49" i="1"/>
  <c r="AH49" i="1"/>
  <c r="AI49" i="1"/>
  <c r="AJ49" i="1"/>
  <c r="I3" i="3" l="1"/>
  <c r="I2" i="3"/>
  <c r="A2" i="1"/>
  <c r="A5" i="1"/>
  <c r="BL5" i="1" s="1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A1" i="1"/>
  <c r="P12" i="1"/>
  <c r="BK5" i="1" l="1"/>
  <c r="BJ5" i="1"/>
  <c r="BI5" i="1"/>
  <c r="BH5" i="1"/>
  <c r="BG5" i="1"/>
  <c r="BM5" i="1"/>
  <c r="AD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F21" i="2" l="1"/>
  <c r="AC1" i="1"/>
  <c r="AC2" i="1"/>
  <c r="AC3" i="1"/>
  <c r="AC4" i="1"/>
  <c r="AC5" i="1"/>
  <c r="AC6" i="1"/>
  <c r="AC7" i="1"/>
  <c r="AC8" i="1"/>
  <c r="AC9" i="1"/>
  <c r="AC10" i="1"/>
  <c r="AC11" i="1"/>
  <c r="AC12" i="1"/>
  <c r="AQ12" i="1" s="1"/>
  <c r="AR12" i="1" s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A1" i="1"/>
  <c r="AB1" i="1"/>
  <c r="AA2" i="1"/>
  <c r="AB2" i="1"/>
  <c r="AA3" i="1"/>
  <c r="AB3" i="1"/>
  <c r="AA4" i="1"/>
  <c r="AB4" i="1"/>
  <c r="AA5" i="1"/>
  <c r="AB5" i="1"/>
  <c r="AA6" i="1"/>
  <c r="AB6" i="1"/>
  <c r="AA7" i="1"/>
  <c r="AB7" i="1"/>
  <c r="AA8" i="1"/>
  <c r="AB8" i="1"/>
  <c r="AA9" i="1"/>
  <c r="AB9" i="1"/>
  <c r="AA10" i="1"/>
  <c r="AB10" i="1"/>
  <c r="AA11" i="1"/>
  <c r="AB11" i="1"/>
  <c r="AA12" i="1"/>
  <c r="AB12" i="1"/>
  <c r="AA13" i="1"/>
  <c r="AB13" i="1"/>
  <c r="AA14" i="1"/>
  <c r="AB14" i="1"/>
  <c r="AA15" i="1"/>
  <c r="AB15" i="1"/>
  <c r="AA16" i="1"/>
  <c r="AB16" i="1"/>
  <c r="AA17" i="1"/>
  <c r="AB17" i="1"/>
  <c r="AA18" i="1"/>
  <c r="AB18" i="1"/>
  <c r="AA19" i="1"/>
  <c r="AB19" i="1"/>
  <c r="AA20" i="1"/>
  <c r="AB20" i="1"/>
  <c r="AA21" i="1"/>
  <c r="AB21" i="1"/>
  <c r="AA22" i="1"/>
  <c r="AB22" i="1"/>
  <c r="AA23" i="1"/>
  <c r="AB23" i="1"/>
  <c r="AA24" i="1"/>
  <c r="AB24" i="1"/>
  <c r="AA25" i="1"/>
  <c r="AB25" i="1"/>
  <c r="AA26" i="1"/>
  <c r="AB26" i="1"/>
  <c r="AA27" i="1"/>
  <c r="AB27" i="1"/>
  <c r="AA28" i="1"/>
  <c r="AB28" i="1"/>
  <c r="AA29" i="1"/>
  <c r="AB29" i="1"/>
  <c r="AA30" i="1"/>
  <c r="AB30" i="1"/>
  <c r="AA31" i="1"/>
  <c r="AB31" i="1"/>
  <c r="AA32" i="1"/>
  <c r="AB32" i="1"/>
  <c r="AA33" i="1"/>
  <c r="AB33" i="1"/>
  <c r="AA34" i="1"/>
  <c r="AB34" i="1"/>
  <c r="AA35" i="1"/>
  <c r="AB35" i="1"/>
  <c r="AA36" i="1"/>
  <c r="AB36" i="1"/>
  <c r="AA37" i="1"/>
  <c r="AB37" i="1"/>
  <c r="AA38" i="1"/>
  <c r="AB38" i="1"/>
  <c r="AA39" i="1"/>
  <c r="AB39" i="1"/>
  <c r="AA40" i="1"/>
  <c r="AB40" i="1"/>
  <c r="AA41" i="1"/>
  <c r="AB41" i="1"/>
  <c r="AA42" i="1"/>
  <c r="AB42" i="1"/>
  <c r="AA43" i="1"/>
  <c r="AB43" i="1"/>
  <c r="AA44" i="1"/>
  <c r="AB44" i="1"/>
  <c r="AA45" i="1"/>
  <c r="AB45" i="1"/>
  <c r="AA46" i="1"/>
  <c r="AB46" i="1"/>
  <c r="AA47" i="1"/>
  <c r="AB47" i="1"/>
  <c r="AA48" i="1"/>
  <c r="AB48" i="1"/>
  <c r="AA49" i="1"/>
  <c r="AB49" i="1"/>
  <c r="Y1" i="1"/>
  <c r="Z1" i="1"/>
  <c r="Y2" i="1"/>
  <c r="Z2" i="1"/>
  <c r="Y3" i="1"/>
  <c r="Z3" i="1"/>
  <c r="Y4" i="1"/>
  <c r="Z4" i="1"/>
  <c r="Y5" i="1"/>
  <c r="Z5" i="1"/>
  <c r="Y6" i="1"/>
  <c r="Z6" i="1"/>
  <c r="Y7" i="1"/>
  <c r="Z7" i="1"/>
  <c r="Y8" i="1"/>
  <c r="Z8" i="1"/>
  <c r="Y9" i="1"/>
  <c r="Z9" i="1"/>
  <c r="Y10" i="1"/>
  <c r="Z10" i="1"/>
  <c r="Y11" i="1"/>
  <c r="Z11" i="1"/>
  <c r="Y12" i="1"/>
  <c r="Z12" i="1"/>
  <c r="Y13" i="1"/>
  <c r="Z13" i="1"/>
  <c r="Y14" i="1"/>
  <c r="Z14" i="1"/>
  <c r="Y15" i="1"/>
  <c r="Z15" i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X1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AQ4" i="1" s="1"/>
  <c r="AR4" i="1" s="1"/>
  <c r="Q4" i="1"/>
  <c r="R4" i="1"/>
  <c r="S4" i="1"/>
  <c r="T4" i="1"/>
  <c r="U4" i="1"/>
  <c r="V4" i="1"/>
  <c r="W4" i="1"/>
  <c r="B5" i="1"/>
  <c r="C5" i="1"/>
  <c r="D5" i="1"/>
  <c r="E5" i="1"/>
  <c r="F5" i="1"/>
  <c r="G5" i="1"/>
  <c r="H5" i="1"/>
  <c r="I5" i="1"/>
  <c r="J5" i="1"/>
  <c r="AT5" i="1" s="1"/>
  <c r="K5" i="1"/>
  <c r="L5" i="1"/>
  <c r="M5" i="1"/>
  <c r="N5" i="1"/>
  <c r="O5" i="1"/>
  <c r="P5" i="1"/>
  <c r="AQ5" i="1" s="1"/>
  <c r="AR5" i="1" s="1"/>
  <c r="Q5" i="1"/>
  <c r="R5" i="1"/>
  <c r="S5" i="1"/>
  <c r="T5" i="1"/>
  <c r="U5" i="1"/>
  <c r="V5" i="1"/>
  <c r="W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AQ8" i="1" s="1"/>
  <c r="AR8" i="1" s="1"/>
  <c r="Q8" i="1"/>
  <c r="R8" i="1"/>
  <c r="S8" i="1"/>
  <c r="T8" i="1"/>
  <c r="U8" i="1"/>
  <c r="V8" i="1"/>
  <c r="W8" i="1"/>
  <c r="B9" i="1"/>
  <c r="C9" i="1"/>
  <c r="D9" i="1"/>
  <c r="E9" i="1"/>
  <c r="F9" i="1"/>
  <c r="G9" i="1"/>
  <c r="H9" i="1"/>
  <c r="I9" i="1"/>
  <c r="J9" i="1"/>
  <c r="AT9" i="1" s="1"/>
  <c r="K9" i="1"/>
  <c r="L9" i="1"/>
  <c r="M9" i="1"/>
  <c r="N9" i="1"/>
  <c r="O9" i="1"/>
  <c r="P9" i="1"/>
  <c r="AQ9" i="1" s="1"/>
  <c r="AR9" i="1" s="1"/>
  <c r="Q9" i="1"/>
  <c r="R9" i="1"/>
  <c r="S9" i="1"/>
  <c r="T9" i="1"/>
  <c r="U9" i="1"/>
  <c r="V9" i="1"/>
  <c r="W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AQ10" i="1" s="1"/>
  <c r="AR10" i="1" s="1"/>
  <c r="Q10" i="1"/>
  <c r="R10" i="1"/>
  <c r="S10" i="1"/>
  <c r="T10" i="1"/>
  <c r="U10" i="1"/>
  <c r="V10" i="1"/>
  <c r="W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B12" i="1"/>
  <c r="C12" i="1"/>
  <c r="D12" i="1"/>
  <c r="E12" i="1"/>
  <c r="F12" i="1"/>
  <c r="G12" i="1"/>
  <c r="H12" i="1"/>
  <c r="I12" i="1"/>
  <c r="J12" i="1"/>
  <c r="K12" i="1"/>
  <c r="AS12" i="1" s="1"/>
  <c r="L12" i="1"/>
  <c r="M12" i="1"/>
  <c r="N12" i="1"/>
  <c r="O12" i="1"/>
  <c r="Q12" i="1"/>
  <c r="R12" i="1"/>
  <c r="S12" i="1"/>
  <c r="T12" i="1"/>
  <c r="U12" i="1"/>
  <c r="V12" i="1"/>
  <c r="W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AQ16" i="1" s="1"/>
  <c r="AR16" i="1" s="1"/>
  <c r="Q16" i="1"/>
  <c r="R16" i="1"/>
  <c r="S16" i="1"/>
  <c r="T16" i="1"/>
  <c r="U16" i="1"/>
  <c r="V16" i="1"/>
  <c r="W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AQ17" i="1" s="1"/>
  <c r="AR17" i="1" s="1"/>
  <c r="Q17" i="1"/>
  <c r="R17" i="1"/>
  <c r="S17" i="1"/>
  <c r="T17" i="1"/>
  <c r="U17" i="1"/>
  <c r="V17" i="1"/>
  <c r="W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AQ18" i="1" s="1"/>
  <c r="AR18" i="1" s="1"/>
  <c r="Q18" i="1"/>
  <c r="R18" i="1"/>
  <c r="S18" i="1"/>
  <c r="T18" i="1"/>
  <c r="U18" i="1"/>
  <c r="V18" i="1"/>
  <c r="W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AQ20" i="1" s="1"/>
  <c r="AR20" i="1" s="1"/>
  <c r="Q20" i="1"/>
  <c r="R20" i="1"/>
  <c r="S20" i="1"/>
  <c r="T20" i="1"/>
  <c r="U20" i="1"/>
  <c r="V20" i="1"/>
  <c r="W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AQ24" i="1" s="1"/>
  <c r="AR24" i="1" s="1"/>
  <c r="Q24" i="1"/>
  <c r="R24" i="1"/>
  <c r="S24" i="1"/>
  <c r="T24" i="1"/>
  <c r="U24" i="1"/>
  <c r="V24" i="1"/>
  <c r="W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AQ25" i="1" s="1"/>
  <c r="AR25" i="1" s="1"/>
  <c r="Q25" i="1"/>
  <c r="R25" i="1"/>
  <c r="S25" i="1"/>
  <c r="T25" i="1"/>
  <c r="U25" i="1"/>
  <c r="V25" i="1"/>
  <c r="W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AQ26" i="1" s="1"/>
  <c r="AR26" i="1" s="1"/>
  <c r="Q26" i="1"/>
  <c r="R26" i="1"/>
  <c r="S26" i="1"/>
  <c r="T26" i="1"/>
  <c r="U26" i="1"/>
  <c r="V26" i="1"/>
  <c r="W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AQ28" i="1" s="1"/>
  <c r="AR28" i="1" s="1"/>
  <c r="Q28" i="1"/>
  <c r="R28" i="1"/>
  <c r="S28" i="1"/>
  <c r="T28" i="1"/>
  <c r="U28" i="1"/>
  <c r="V28" i="1"/>
  <c r="W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AQ32" i="1" s="1"/>
  <c r="AR32" i="1" s="1"/>
  <c r="Q32" i="1"/>
  <c r="R32" i="1"/>
  <c r="S32" i="1"/>
  <c r="T32" i="1"/>
  <c r="U32" i="1"/>
  <c r="V32" i="1"/>
  <c r="W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AQ33" i="1" s="1"/>
  <c r="AR33" i="1" s="1"/>
  <c r="Q33" i="1"/>
  <c r="R33" i="1"/>
  <c r="S33" i="1"/>
  <c r="T33" i="1"/>
  <c r="U33" i="1"/>
  <c r="V33" i="1"/>
  <c r="W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AQ34" i="1" s="1"/>
  <c r="AR34" i="1" s="1"/>
  <c r="Q34" i="1"/>
  <c r="R34" i="1"/>
  <c r="S34" i="1"/>
  <c r="T34" i="1"/>
  <c r="U34" i="1"/>
  <c r="V34" i="1"/>
  <c r="W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AQ36" i="1" s="1"/>
  <c r="AR36" i="1" s="1"/>
  <c r="Q36" i="1"/>
  <c r="R36" i="1"/>
  <c r="S36" i="1"/>
  <c r="T36" i="1"/>
  <c r="U36" i="1"/>
  <c r="V36" i="1"/>
  <c r="W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AQ40" i="1" s="1"/>
  <c r="AR40" i="1" s="1"/>
  <c r="Q40" i="1"/>
  <c r="R40" i="1"/>
  <c r="S40" i="1"/>
  <c r="T40" i="1"/>
  <c r="U40" i="1"/>
  <c r="V40" i="1"/>
  <c r="W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AQ41" i="1" s="1"/>
  <c r="AR41" i="1" s="1"/>
  <c r="Q41" i="1"/>
  <c r="R41" i="1"/>
  <c r="S41" i="1"/>
  <c r="T41" i="1"/>
  <c r="U41" i="1"/>
  <c r="V41" i="1"/>
  <c r="W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AQ42" i="1" s="1"/>
  <c r="AR42" i="1" s="1"/>
  <c r="Q42" i="1"/>
  <c r="R42" i="1"/>
  <c r="S42" i="1"/>
  <c r="T42" i="1"/>
  <c r="U42" i="1"/>
  <c r="V42" i="1"/>
  <c r="W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AQ44" i="1" s="1"/>
  <c r="AR44" i="1" s="1"/>
  <c r="Q44" i="1"/>
  <c r="R44" i="1"/>
  <c r="S44" i="1"/>
  <c r="T44" i="1"/>
  <c r="U44" i="1"/>
  <c r="V44" i="1"/>
  <c r="W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AQ48" i="1" s="1"/>
  <c r="AR48" i="1" s="1"/>
  <c r="Q48" i="1"/>
  <c r="R48" i="1"/>
  <c r="S48" i="1"/>
  <c r="T48" i="1"/>
  <c r="U48" i="1"/>
  <c r="V48" i="1"/>
  <c r="W48" i="1"/>
  <c r="B49" i="1"/>
  <c r="C49" i="1"/>
  <c r="D49" i="1"/>
  <c r="E49" i="1"/>
  <c r="F49" i="1"/>
  <c r="G49" i="1"/>
  <c r="H49" i="1"/>
  <c r="I49" i="1"/>
  <c r="J49" i="1"/>
  <c r="K49" i="1"/>
  <c r="AS49" i="1" s="1"/>
  <c r="L49" i="1"/>
  <c r="M49" i="1"/>
  <c r="N49" i="1"/>
  <c r="O49" i="1"/>
  <c r="P49" i="1"/>
  <c r="AQ49" i="1" s="1"/>
  <c r="AR49" i="1" s="1"/>
  <c r="Q49" i="1"/>
  <c r="R49" i="1"/>
  <c r="S49" i="1"/>
  <c r="T49" i="1"/>
  <c r="U49" i="1"/>
  <c r="V49" i="1"/>
  <c r="W49" i="1"/>
  <c r="A3" i="1"/>
  <c r="A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9" i="2" s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V42" i="1" l="1"/>
  <c r="AS41" i="1"/>
  <c r="AV34" i="1"/>
  <c r="AS33" i="1"/>
  <c r="AV26" i="1"/>
  <c r="AS25" i="1"/>
  <c r="AV18" i="1"/>
  <c r="AS17" i="1"/>
  <c r="AW11" i="1"/>
  <c r="AU42" i="1"/>
  <c r="AU34" i="1"/>
  <c r="AU26" i="1"/>
  <c r="AU18" i="1"/>
  <c r="AS10" i="1"/>
  <c r="AS18" i="1"/>
  <c r="AU11" i="1"/>
  <c r="AQ11" i="1"/>
  <c r="AR11" i="1" s="1"/>
  <c r="AQ43" i="1"/>
  <c r="AR43" i="1" s="1"/>
  <c r="AQ35" i="1"/>
  <c r="AR35" i="1" s="1"/>
  <c r="AQ27" i="1"/>
  <c r="AR27" i="1" s="1"/>
  <c r="AX25" i="1"/>
  <c r="AX17" i="1"/>
  <c r="AT11" i="1"/>
  <c r="AT7" i="1"/>
  <c r="AV3" i="1"/>
  <c r="AW49" i="1"/>
  <c r="AT43" i="1"/>
  <c r="AW41" i="1"/>
  <c r="AX18" i="1"/>
  <c r="AQ3" i="1"/>
  <c r="AR3" i="1" s="1"/>
  <c r="AT47" i="1"/>
  <c r="AT39" i="1"/>
  <c r="AT35" i="1"/>
  <c r="AW33" i="1"/>
  <c r="AQ19" i="1"/>
  <c r="AR19" i="1" s="1"/>
  <c r="AT37" i="1"/>
  <c r="AT29" i="1"/>
  <c r="AT46" i="1"/>
  <c r="AQ45" i="1"/>
  <c r="AR45" i="1" s="1"/>
  <c r="AT42" i="1"/>
  <c r="AT38" i="1"/>
  <c r="AQ37" i="1"/>
  <c r="AR37" i="1" s="1"/>
  <c r="AT34" i="1"/>
  <c r="AQ29" i="1"/>
  <c r="AR29" i="1" s="1"/>
  <c r="AQ21" i="1"/>
  <c r="AR21" i="1" s="1"/>
  <c r="AQ13" i="1"/>
  <c r="AR13" i="1" s="1"/>
  <c r="AX21" i="1"/>
  <c r="AQ6" i="1"/>
  <c r="AR6" i="1" s="1"/>
  <c r="AT3" i="1"/>
  <c r="BA3" i="1"/>
  <c r="AQ2" i="1"/>
  <c r="AR2" i="1" s="1"/>
  <c r="AZ2" i="1"/>
  <c r="AZ5" i="1"/>
  <c r="AZ13" i="1"/>
  <c r="AZ21" i="1"/>
  <c r="AZ29" i="1"/>
  <c r="AZ37" i="1"/>
  <c r="AZ45" i="1"/>
  <c r="AZ15" i="1"/>
  <c r="AZ31" i="1"/>
  <c r="AZ47" i="1"/>
  <c r="AZ16" i="1"/>
  <c r="AZ40" i="1"/>
  <c r="AZ41" i="1"/>
  <c r="AP2" i="1"/>
  <c r="AZ6" i="1"/>
  <c r="AZ14" i="1"/>
  <c r="AZ22" i="1"/>
  <c r="AZ30" i="1"/>
  <c r="AZ38" i="1"/>
  <c r="AZ46" i="1"/>
  <c r="AZ23" i="1"/>
  <c r="AZ39" i="1"/>
  <c r="AZ24" i="1"/>
  <c r="AZ48" i="1"/>
  <c r="AZ33" i="1"/>
  <c r="AZ10" i="1"/>
  <c r="AZ7" i="1"/>
  <c r="AZ32" i="1"/>
  <c r="AZ25" i="1"/>
  <c r="AZ18" i="1"/>
  <c r="AZ42" i="1"/>
  <c r="AZ11" i="1"/>
  <c r="AZ27" i="1"/>
  <c r="AZ12" i="1"/>
  <c r="AZ44" i="1"/>
  <c r="AZ8" i="1"/>
  <c r="AZ34" i="1"/>
  <c r="AZ19" i="1"/>
  <c r="AZ35" i="1"/>
  <c r="AZ20" i="1"/>
  <c r="AZ28" i="1"/>
  <c r="AZ9" i="1"/>
  <c r="AZ17" i="1"/>
  <c r="AZ49" i="1"/>
  <c r="AZ26" i="1"/>
  <c r="AZ3" i="1"/>
  <c r="AZ43" i="1"/>
  <c r="AZ4" i="1"/>
  <c r="AZ36" i="1"/>
  <c r="AS21" i="1"/>
  <c r="AT2" i="1"/>
  <c r="AQ38" i="1"/>
  <c r="AR38" i="1" s="1"/>
  <c r="AT31" i="1"/>
  <c r="AQ30" i="1"/>
  <c r="AR30" i="1" s="1"/>
  <c r="AW29" i="1"/>
  <c r="AT27" i="1"/>
  <c r="AW25" i="1"/>
  <c r="AQ22" i="1"/>
  <c r="AR22" i="1" s="1"/>
  <c r="AX2" i="1"/>
  <c r="AT49" i="1"/>
  <c r="AT13" i="1"/>
  <c r="AQ46" i="1"/>
  <c r="AR46" i="1" s="1"/>
  <c r="AV41" i="1"/>
  <c r="AV29" i="1"/>
  <c r="AV25" i="1"/>
  <c r="AV21" i="1"/>
  <c r="AV17" i="1"/>
  <c r="AT45" i="1"/>
  <c r="AT41" i="1"/>
  <c r="AT33" i="1"/>
  <c r="AT25" i="1"/>
  <c r="AT21" i="1"/>
  <c r="AT17" i="1"/>
  <c r="AS2" i="1"/>
  <c r="BB2" i="1"/>
  <c r="AW45" i="1"/>
  <c r="AQ47" i="1"/>
  <c r="AR47" i="1" s="1"/>
  <c r="AQ39" i="1"/>
  <c r="AR39" i="1" s="1"/>
  <c r="AW18" i="1"/>
  <c r="AT16" i="1"/>
  <c r="AX11" i="1"/>
  <c r="AX3" i="1"/>
  <c r="BF3" i="1"/>
  <c r="BD2" i="1"/>
  <c r="AV2" i="1"/>
  <c r="BC10" i="1"/>
  <c r="AU10" i="1"/>
  <c r="BC6" i="1"/>
  <c r="AU6" i="1"/>
  <c r="AX8" i="1"/>
  <c r="AX4" i="1"/>
  <c r="AX48" i="1"/>
  <c r="AX44" i="1"/>
  <c r="AS42" i="1"/>
  <c r="AX40" i="1"/>
  <c r="AX36" i="1"/>
  <c r="AS34" i="1"/>
  <c r="AX32" i="1"/>
  <c r="AX28" i="1"/>
  <c r="AS26" i="1"/>
  <c r="AX24" i="1"/>
  <c r="AX20" i="1"/>
  <c r="AX16" i="1"/>
  <c r="BE12" i="1"/>
  <c r="AW12" i="1"/>
  <c r="AT10" i="1"/>
  <c r="AW8" i="1"/>
  <c r="AT6" i="1"/>
  <c r="AW4" i="1"/>
  <c r="BF12" i="1"/>
  <c r="AX12" i="1"/>
  <c r="AW48" i="1"/>
  <c r="AW44" i="1"/>
  <c r="AW40" i="1"/>
  <c r="AW36" i="1"/>
  <c r="AW32" i="1"/>
  <c r="AT30" i="1"/>
  <c r="AW28" i="1"/>
  <c r="AT26" i="1"/>
  <c r="AW24" i="1"/>
  <c r="AT22" i="1"/>
  <c r="AW20" i="1"/>
  <c r="AT18" i="1"/>
  <c r="AW16" i="1"/>
  <c r="AT14" i="1"/>
  <c r="BD12" i="1"/>
  <c r="AV12" i="1"/>
  <c r="AX9" i="1"/>
  <c r="AV8" i="1"/>
  <c r="AX5" i="1"/>
  <c r="AV4" i="1"/>
  <c r="AX49" i="1"/>
  <c r="AV48" i="1"/>
  <c r="AV44" i="1"/>
  <c r="AX41" i="1"/>
  <c r="AV40" i="1"/>
  <c r="AV36" i="1"/>
  <c r="AX33" i="1"/>
  <c r="AV32" i="1"/>
  <c r="AV28" i="1"/>
  <c r="AV24" i="1"/>
  <c r="AV20" i="1"/>
  <c r="AV16" i="1"/>
  <c r="BC12" i="1"/>
  <c r="AU12" i="1"/>
  <c r="AW9" i="1"/>
  <c r="AU8" i="1"/>
  <c r="AW5" i="1"/>
  <c r="AU4" i="1"/>
  <c r="AU48" i="1"/>
  <c r="AU44" i="1"/>
  <c r="AU40" i="1"/>
  <c r="AU36" i="1"/>
  <c r="AU32" i="1"/>
  <c r="AU28" i="1"/>
  <c r="AU24" i="1"/>
  <c r="AT23" i="1"/>
  <c r="AU20" i="1"/>
  <c r="AT19" i="1"/>
  <c r="AW17" i="1"/>
  <c r="AU16" i="1"/>
  <c r="AT15" i="1"/>
  <c r="AQ14" i="1"/>
  <c r="AR14" i="1" s="1"/>
  <c r="AW13" i="1"/>
  <c r="AX10" i="1"/>
  <c r="AV9" i="1"/>
  <c r="AS8" i="1"/>
  <c r="AX6" i="1"/>
  <c r="AV5" i="1"/>
  <c r="AS4" i="1"/>
  <c r="AV49" i="1"/>
  <c r="AS48" i="1"/>
  <c r="AS40" i="1"/>
  <c r="AS36" i="1"/>
  <c r="AX34" i="1"/>
  <c r="AV33" i="1"/>
  <c r="AS32" i="1"/>
  <c r="AS28" i="1"/>
  <c r="AX26" i="1"/>
  <c r="AS24" i="1"/>
  <c r="AS20" i="1"/>
  <c r="AS16" i="1"/>
  <c r="AV13" i="1"/>
  <c r="AT12" i="1"/>
  <c r="AW10" i="1"/>
  <c r="AU9" i="1"/>
  <c r="AT8" i="1"/>
  <c r="AQ7" i="1"/>
  <c r="AW6" i="1"/>
  <c r="AU5" i="1"/>
  <c r="AT4" i="1"/>
  <c r="AW2" i="1"/>
  <c r="AV45" i="1"/>
  <c r="AS44" i="1"/>
  <c r="AX42" i="1"/>
  <c r="AU49" i="1"/>
  <c r="AT48" i="1"/>
  <c r="AU45" i="1"/>
  <c r="AT44" i="1"/>
  <c r="AW42" i="1"/>
  <c r="AU41" i="1"/>
  <c r="AT40" i="1"/>
  <c r="AT36" i="1"/>
  <c r="AW34" i="1"/>
  <c r="AU33" i="1"/>
  <c r="AT32" i="1"/>
  <c r="AQ31" i="1"/>
  <c r="AS31" i="1" s="1"/>
  <c r="AU29" i="1"/>
  <c r="AT28" i="1"/>
  <c r="AW26" i="1"/>
  <c r="AU25" i="1"/>
  <c r="AT24" i="1"/>
  <c r="AQ23" i="1"/>
  <c r="AU21" i="1"/>
  <c r="AT20" i="1"/>
  <c r="AU17" i="1"/>
  <c r="AQ15" i="1"/>
  <c r="AV10" i="1"/>
  <c r="AS9" i="1"/>
  <c r="AV6" i="1"/>
  <c r="AS5" i="1"/>
  <c r="AM48" i="1"/>
  <c r="AM44" i="1"/>
  <c r="AM46" i="1"/>
  <c r="AM42" i="1"/>
  <c r="AM38" i="1"/>
  <c r="AM34" i="1"/>
  <c r="AM30" i="1"/>
  <c r="AM26" i="1"/>
  <c r="AM22" i="1"/>
  <c r="AM18" i="1"/>
  <c r="AM14" i="1"/>
  <c r="AM10" i="1"/>
  <c r="AM6" i="1"/>
  <c r="AM2" i="1"/>
  <c r="BE11" i="1"/>
  <c r="BE7" i="1"/>
  <c r="BE3" i="1"/>
  <c r="BC11" i="1"/>
  <c r="BC7" i="1"/>
  <c r="BC3" i="1"/>
  <c r="AM40" i="1"/>
  <c r="AM36" i="1"/>
  <c r="X38" i="2" s="1"/>
  <c r="AM32" i="1"/>
  <c r="AM28" i="1"/>
  <c r="AM24" i="1"/>
  <c r="AM20" i="1"/>
  <c r="AM16" i="1"/>
  <c r="AM12" i="1"/>
  <c r="AM8" i="1"/>
  <c r="AM4" i="1"/>
  <c r="BA2" i="1"/>
  <c r="BF33" i="1"/>
  <c r="BF29" i="1"/>
  <c r="BF25" i="1"/>
  <c r="BF21" i="1"/>
  <c r="BF17" i="1"/>
  <c r="AM47" i="1"/>
  <c r="AM43" i="1"/>
  <c r="AM39" i="1"/>
  <c r="AM35" i="1"/>
  <c r="AM31" i="1"/>
  <c r="AM27" i="1"/>
  <c r="AM23" i="1"/>
  <c r="AM19" i="1"/>
  <c r="AM15" i="1"/>
  <c r="X17" i="2" s="1"/>
  <c r="AM11" i="1"/>
  <c r="AM7" i="1"/>
  <c r="AM3" i="1"/>
  <c r="AL49" i="1"/>
  <c r="BF47" i="1"/>
  <c r="BD46" i="1"/>
  <c r="AL45" i="1"/>
  <c r="BF43" i="1"/>
  <c r="BD42" i="1"/>
  <c r="AL41" i="1"/>
  <c r="BF39" i="1"/>
  <c r="BD38" i="1"/>
  <c r="AL37" i="1"/>
  <c r="BF35" i="1"/>
  <c r="BD34" i="1"/>
  <c r="AL33" i="1"/>
  <c r="BF31" i="1"/>
  <c r="BD30" i="1"/>
  <c r="AL29" i="1"/>
  <c r="BF27" i="1"/>
  <c r="BD26" i="1"/>
  <c r="AL25" i="1"/>
  <c r="BF23" i="1"/>
  <c r="BD22" i="1"/>
  <c r="AL21" i="1"/>
  <c r="BF19" i="1"/>
  <c r="BD18" i="1"/>
  <c r="BF15" i="1"/>
  <c r="BD14" i="1"/>
  <c r="AL2" i="1"/>
  <c r="BF48" i="1"/>
  <c r="BD47" i="1"/>
  <c r="BF44" i="1"/>
  <c r="BD43" i="1"/>
  <c r="BF40" i="1"/>
  <c r="BD39" i="1"/>
  <c r="BF36" i="1"/>
  <c r="BD35" i="1"/>
  <c r="BF32" i="1"/>
  <c r="BD31" i="1"/>
  <c r="BF28" i="1"/>
  <c r="BD27" i="1"/>
  <c r="BF24" i="1"/>
  <c r="BD23" i="1"/>
  <c r="BF20" i="1"/>
  <c r="BD19" i="1"/>
  <c r="BF16" i="1"/>
  <c r="BD15" i="1"/>
  <c r="AM49" i="1"/>
  <c r="AM45" i="1"/>
  <c r="AM41" i="1"/>
  <c r="AM37" i="1"/>
  <c r="AM33" i="1"/>
  <c r="AM29" i="1"/>
  <c r="AM25" i="1"/>
  <c r="AM21" i="1"/>
  <c r="AM17" i="1"/>
  <c r="X19" i="2" s="1"/>
  <c r="AM13" i="1"/>
  <c r="AM9" i="1"/>
  <c r="AM5" i="1"/>
  <c r="BD48" i="1"/>
  <c r="BD44" i="1"/>
  <c r="BD40" i="1"/>
  <c r="BD36" i="1"/>
  <c r="BD32" i="1"/>
  <c r="BD28" i="1"/>
  <c r="BD24" i="1"/>
  <c r="BD20" i="1"/>
  <c r="BD16" i="1"/>
  <c r="BF13" i="1"/>
  <c r="C47" i="2"/>
  <c r="I37" i="2"/>
  <c r="P27" i="2"/>
  <c r="S42" i="2"/>
  <c r="F28" i="2"/>
  <c r="M13" i="2"/>
  <c r="P45" i="2"/>
  <c r="F31" i="2"/>
  <c r="I21" i="2"/>
  <c r="M16" i="2"/>
  <c r="P6" i="2"/>
  <c r="P48" i="2"/>
  <c r="I38" i="2"/>
  <c r="P28" i="2"/>
  <c r="I47" i="2"/>
  <c r="C37" i="2"/>
  <c r="I27" i="2"/>
  <c r="P12" i="2"/>
  <c r="R7" i="2"/>
  <c r="M7" i="2"/>
  <c r="I44" i="2"/>
  <c r="M31" i="2"/>
  <c r="P4" i="2"/>
  <c r="I48" i="2"/>
  <c r="S33" i="2"/>
  <c r="F44" i="2"/>
  <c r="C18" i="2"/>
  <c r="C29" i="2"/>
  <c r="I45" i="2"/>
  <c r="M32" i="2"/>
  <c r="I19" i="2"/>
  <c r="C8" i="2"/>
  <c r="F47" i="2"/>
  <c r="F19" i="2"/>
  <c r="P38" i="2"/>
  <c r="M12" i="2"/>
  <c r="I51" i="2"/>
  <c r="P41" i="2"/>
  <c r="C27" i="2"/>
  <c r="F42" i="2"/>
  <c r="I32" i="2"/>
  <c r="P22" i="2"/>
  <c r="S17" i="2"/>
  <c r="P9" i="2"/>
  <c r="C45" i="2"/>
  <c r="I35" i="2"/>
  <c r="P25" i="2"/>
  <c r="I50" i="2"/>
  <c r="C48" i="2"/>
  <c r="P42" i="2"/>
  <c r="S32" i="2"/>
  <c r="C28" i="2"/>
  <c r="I13" i="2"/>
  <c r="P51" i="2"/>
  <c r="I41" i="2"/>
  <c r="S21" i="2"/>
  <c r="C12" i="2"/>
  <c r="E7" i="2"/>
  <c r="M48" i="2"/>
  <c r="I17" i="2"/>
  <c r="I6" i="2"/>
  <c r="M23" i="2"/>
  <c r="M17" i="2"/>
  <c r="S16" i="2"/>
  <c r="S6" i="2"/>
  <c r="P32" i="2"/>
  <c r="F8" i="2"/>
  <c r="S8" i="2"/>
  <c r="M34" i="2"/>
  <c r="O7" i="2"/>
  <c r="S47" i="2"/>
  <c r="S22" i="2"/>
  <c r="S45" i="2"/>
  <c r="C41" i="2"/>
  <c r="I31" i="2"/>
  <c r="M21" i="2"/>
  <c r="P16" i="2"/>
  <c r="I46" i="2"/>
  <c r="P36" i="2"/>
  <c r="S31" i="2"/>
  <c r="C22" i="2"/>
  <c r="F17" i="2"/>
  <c r="I7" i="2"/>
  <c r="S7" i="2"/>
  <c r="I49" i="2"/>
  <c r="P39" i="2"/>
  <c r="C25" i="2"/>
  <c r="F20" i="2"/>
  <c r="I10" i="2"/>
  <c r="M5" i="2"/>
  <c r="P46" i="2"/>
  <c r="C42" i="2"/>
  <c r="F32" i="2"/>
  <c r="M22" i="2"/>
  <c r="P17" i="2"/>
  <c r="C51" i="2"/>
  <c r="S35" i="2"/>
  <c r="C31" i="2"/>
  <c r="F21" i="2"/>
  <c r="I16" i="2"/>
  <c r="M6" i="2"/>
  <c r="M28" i="2"/>
  <c r="I36" i="2"/>
  <c r="P8" i="2"/>
  <c r="F41" i="2"/>
  <c r="I28" i="2"/>
  <c r="C15" i="2"/>
  <c r="B7" i="2"/>
  <c r="I11" i="2"/>
  <c r="P40" i="2"/>
  <c r="S27" i="2"/>
  <c r="I42" i="2"/>
  <c r="F16" i="2"/>
  <c r="P43" i="2"/>
  <c r="F24" i="2"/>
  <c r="C7" i="2"/>
  <c r="M9" i="2"/>
  <c r="I34" i="2"/>
  <c r="M10" i="2"/>
  <c r="F45" i="2"/>
  <c r="M35" i="2"/>
  <c r="S25" i="2"/>
  <c r="C16" i="2"/>
  <c r="P50" i="2"/>
  <c r="C36" i="2"/>
  <c r="I26" i="2"/>
  <c r="P11" i="2"/>
  <c r="C39" i="2"/>
  <c r="I29" i="2"/>
  <c r="P14" i="2"/>
  <c r="S46" i="2"/>
  <c r="M36" i="2"/>
  <c r="P31" i="2"/>
  <c r="S26" i="2"/>
  <c r="C17" i="2"/>
  <c r="M11" i="2"/>
  <c r="M45" i="2"/>
  <c r="F35" i="2"/>
  <c r="M25" i="2"/>
  <c r="S10" i="2"/>
  <c r="S13" i="2"/>
  <c r="P18" i="2"/>
  <c r="L7" i="2"/>
  <c r="C24" i="2"/>
  <c r="P13" i="2"/>
  <c r="M42" i="2"/>
  <c r="P29" i="2"/>
  <c r="S5" i="2"/>
  <c r="I30" i="2"/>
  <c r="C26" i="2"/>
  <c r="I14" i="2"/>
  <c r="S30" i="2"/>
  <c r="I22" i="2"/>
  <c r="M49" i="2"/>
  <c r="S39" i="2"/>
  <c r="F25" i="2"/>
  <c r="I20" i="2"/>
  <c r="C50" i="2"/>
  <c r="I40" i="2"/>
  <c r="P30" i="2"/>
  <c r="S20" i="2"/>
  <c r="C11" i="2"/>
  <c r="F6" i="2"/>
  <c r="S4" i="2"/>
  <c r="I43" i="2"/>
  <c r="M33" i="2"/>
  <c r="S23" i="2"/>
  <c r="C14" i="2"/>
  <c r="F4" i="2"/>
  <c r="F46" i="2"/>
  <c r="S40" i="2"/>
  <c r="F26" i="2"/>
  <c r="S49" i="2"/>
  <c r="M39" i="2"/>
  <c r="S29" i="2"/>
  <c r="C20" i="2"/>
  <c r="F10" i="2"/>
  <c r="I5" i="2"/>
  <c r="C46" i="2"/>
  <c r="F38" i="2"/>
  <c r="I25" i="2"/>
  <c r="M4" i="2"/>
  <c r="M46" i="2"/>
  <c r="F33" i="2"/>
  <c r="C10" i="2"/>
  <c r="C38" i="2"/>
  <c r="S24" i="2"/>
  <c r="M37" i="2"/>
  <c r="P24" i="2"/>
  <c r="S11" i="2"/>
  <c r="S38" i="2"/>
  <c r="C13" i="2"/>
  <c r="M40" i="2"/>
  <c r="S44" i="2"/>
  <c r="C32" i="2"/>
  <c r="I9" i="2"/>
  <c r="F27" i="2"/>
  <c r="C43" i="2"/>
  <c r="P35" i="2"/>
  <c r="P15" i="2"/>
  <c r="F39" i="2"/>
  <c r="M29" i="2"/>
  <c r="S14" i="2"/>
  <c r="M44" i="2"/>
  <c r="S34" i="2"/>
  <c r="C30" i="2"/>
  <c r="I15" i="2"/>
  <c r="M47" i="2"/>
  <c r="S37" i="2"/>
  <c r="F23" i="2"/>
  <c r="I18" i="2"/>
  <c r="M8" i="2"/>
  <c r="M50" i="2"/>
  <c r="F40" i="2"/>
  <c r="M30" i="2"/>
  <c r="P20" i="2"/>
  <c r="S15" i="2"/>
  <c r="F49" i="2"/>
  <c r="S43" i="2"/>
  <c r="F29" i="2"/>
  <c r="M14" i="2"/>
  <c r="M51" i="2"/>
  <c r="S36" i="2"/>
  <c r="F11" i="2"/>
  <c r="P44" i="2"/>
  <c r="F30" i="2"/>
  <c r="M15" i="2"/>
  <c r="M20" i="2"/>
  <c r="I39" i="2"/>
  <c r="M26" i="2"/>
  <c r="F13" i="2"/>
  <c r="M43" i="2"/>
  <c r="P33" i="2"/>
  <c r="F14" i="2"/>
  <c r="S48" i="2"/>
  <c r="C44" i="2"/>
  <c r="F34" i="2"/>
  <c r="M24" i="2"/>
  <c r="P19" i="2"/>
  <c r="S9" i="2"/>
  <c r="S51" i="2"/>
  <c r="F37" i="2"/>
  <c r="M27" i="2"/>
  <c r="S12" i="2"/>
  <c r="U7" i="2"/>
  <c r="C9" i="2"/>
  <c r="P34" i="2"/>
  <c r="F15" i="2"/>
  <c r="C6" i="2"/>
  <c r="F43" i="2"/>
  <c r="I33" i="2"/>
  <c r="P23" i="2"/>
  <c r="S18" i="2"/>
  <c r="C49" i="2"/>
  <c r="C35" i="2"/>
  <c r="F22" i="2"/>
  <c r="P21" i="2"/>
  <c r="F50" i="2"/>
  <c r="S41" i="2"/>
  <c r="P47" i="2"/>
  <c r="C33" i="2"/>
  <c r="I23" i="2"/>
  <c r="M18" i="2"/>
  <c r="F48" i="2"/>
  <c r="M38" i="2"/>
  <c r="S28" i="2"/>
  <c r="C19" i="2"/>
  <c r="F9" i="2"/>
  <c r="F51" i="2"/>
  <c r="M41" i="2"/>
  <c r="F12" i="2"/>
  <c r="H7" i="2"/>
  <c r="F7" i="2"/>
  <c r="G7" i="2" s="1"/>
  <c r="C34" i="2"/>
  <c r="I24" i="2"/>
  <c r="M19" i="2"/>
  <c r="P37" i="2"/>
  <c r="C23" i="2"/>
  <c r="F18" i="2"/>
  <c r="I8" i="2"/>
  <c r="P7" i="2"/>
  <c r="P26" i="2"/>
  <c r="I12" i="2"/>
  <c r="S50" i="2"/>
  <c r="F36" i="2"/>
  <c r="P10" i="2"/>
  <c r="P5" i="2"/>
  <c r="S19" i="2"/>
  <c r="F5" i="2"/>
  <c r="C21" i="2"/>
  <c r="C40" i="2"/>
  <c r="P49" i="2"/>
  <c r="BC2" i="1"/>
  <c r="BB49" i="1"/>
  <c r="BB41" i="1"/>
  <c r="BB37" i="1"/>
  <c r="BB25" i="1"/>
  <c r="BB13" i="1"/>
  <c r="BB21" i="1"/>
  <c r="BB17" i="1"/>
  <c r="AY5" i="1" a="1"/>
  <c r="AY5" i="1" s="1"/>
  <c r="BB33" i="1"/>
  <c r="BB29" i="1"/>
  <c r="BB46" i="1"/>
  <c r="BB42" i="1"/>
  <c r="BB38" i="1"/>
  <c r="BB30" i="1"/>
  <c r="BB26" i="1"/>
  <c r="BB22" i="1"/>
  <c r="BB18" i="1"/>
  <c r="BB14" i="1"/>
  <c r="BA10" i="1"/>
  <c r="BN5" i="1"/>
  <c r="BP5" i="1"/>
  <c r="AO2" i="1"/>
  <c r="BB45" i="1"/>
  <c r="BB34" i="1"/>
  <c r="BA6" i="1"/>
  <c r="BB47" i="1"/>
  <c r="BB43" i="1"/>
  <c r="BB39" i="1"/>
  <c r="BB35" i="1"/>
  <c r="BB31" i="1"/>
  <c r="BB27" i="1"/>
  <c r="BB23" i="1"/>
  <c r="BB19" i="1"/>
  <c r="BB12" i="1"/>
  <c r="BA12" i="1"/>
  <c r="BB15" i="1"/>
  <c r="BA11" i="1"/>
  <c r="BA7" i="1"/>
  <c r="BE15" i="1"/>
  <c r="BC30" i="1"/>
  <c r="BC26" i="1"/>
  <c r="BA26" i="1"/>
  <c r="BA30" i="1"/>
  <c r="BD7" i="1"/>
  <c r="A7" i="2"/>
  <c r="BE23" i="1"/>
  <c r="BE19" i="1"/>
  <c r="BD11" i="1"/>
  <c r="BC23" i="1"/>
  <c r="BB11" i="1"/>
  <c r="BC19" i="1"/>
  <c r="BC15" i="1"/>
  <c r="BE47" i="1"/>
  <c r="BC46" i="1"/>
  <c r="BE43" i="1"/>
  <c r="BC42" i="1"/>
  <c r="BE39" i="1"/>
  <c r="BC38" i="1"/>
  <c r="BE35" i="1"/>
  <c r="BC34" i="1"/>
  <c r="BE31" i="1"/>
  <c r="BE27" i="1"/>
  <c r="BC47" i="1"/>
  <c r="BA46" i="1"/>
  <c r="BC43" i="1"/>
  <c r="BA42" i="1"/>
  <c r="BC39" i="1"/>
  <c r="BA38" i="1"/>
  <c r="BC35" i="1"/>
  <c r="BA34" i="1"/>
  <c r="BC31" i="1"/>
  <c r="BC27" i="1"/>
  <c r="BB7" i="1"/>
  <c r="BB3" i="1"/>
  <c r="BA47" i="1"/>
  <c r="BA43" i="1"/>
  <c r="BA39" i="1"/>
  <c r="BA35" i="1"/>
  <c r="BA31" i="1"/>
  <c r="BA9" i="1"/>
  <c r="BA5" i="1"/>
  <c r="BA49" i="1"/>
  <c r="BA45" i="1"/>
  <c r="BA41" i="1"/>
  <c r="BF49" i="1"/>
  <c r="BF45" i="1"/>
  <c r="BF41" i="1"/>
  <c r="BF37" i="1"/>
  <c r="BA37" i="1"/>
  <c r="BD3" i="1"/>
  <c r="BA27" i="1"/>
  <c r="BA23" i="1"/>
  <c r="BA19" i="1"/>
  <c r="BF11" i="1"/>
  <c r="BF7" i="1"/>
  <c r="BE36" i="1"/>
  <c r="BE32" i="1"/>
  <c r="BE28" i="1"/>
  <c r="BE24" i="1"/>
  <c r="BE20" i="1"/>
  <c r="BE16" i="1"/>
  <c r="BE21" i="1"/>
  <c r="BC20" i="1"/>
  <c r="BE17" i="1"/>
  <c r="BC16" i="1"/>
  <c r="BA15" i="1"/>
  <c r="BE13" i="1"/>
  <c r="A31" i="2"/>
  <c r="BL29" i="1"/>
  <c r="O31" i="2" s="1"/>
  <c r="BM29" i="1"/>
  <c r="R31" i="2" s="1"/>
  <c r="BG29" i="1"/>
  <c r="BN29" i="1" s="1"/>
  <c r="BH29" i="1"/>
  <c r="B31" i="2" s="1"/>
  <c r="BI29" i="1"/>
  <c r="E31" i="2" s="1"/>
  <c r="BJ29" i="1"/>
  <c r="H31" i="2" s="1"/>
  <c r="BK29" i="1"/>
  <c r="L31" i="2" s="1"/>
  <c r="A15" i="2"/>
  <c r="BL13" i="1"/>
  <c r="O15" i="2" s="1"/>
  <c r="BM13" i="1"/>
  <c r="R15" i="2" s="1"/>
  <c r="BG13" i="1"/>
  <c r="BN13" i="1" s="1"/>
  <c r="BH13" i="1"/>
  <c r="B15" i="2" s="1"/>
  <c r="BI13" i="1"/>
  <c r="E15" i="2" s="1"/>
  <c r="BJ13" i="1"/>
  <c r="H15" i="2" s="1"/>
  <c r="BK13" i="1"/>
  <c r="L15" i="2" s="1"/>
  <c r="BJ44" i="1"/>
  <c r="H46" i="2" s="1"/>
  <c r="K46" i="2" s="1"/>
  <c r="BK44" i="1"/>
  <c r="L46" i="2" s="1"/>
  <c r="BG44" i="1"/>
  <c r="BN44" i="1" s="1"/>
  <c r="BL44" i="1"/>
  <c r="O46" i="2" s="1"/>
  <c r="BM44" i="1"/>
  <c r="R46" i="2" s="1"/>
  <c r="BH44" i="1"/>
  <c r="B46" i="2" s="1"/>
  <c r="BI44" i="1"/>
  <c r="E46" i="2" s="1"/>
  <c r="BJ36" i="1"/>
  <c r="H38" i="2" s="1"/>
  <c r="BK36" i="1"/>
  <c r="L38" i="2" s="1"/>
  <c r="BG36" i="1"/>
  <c r="BN36" i="1" s="1"/>
  <c r="BL36" i="1"/>
  <c r="O38" i="2" s="1"/>
  <c r="BM36" i="1"/>
  <c r="R38" i="2" s="1"/>
  <c r="BH36" i="1"/>
  <c r="B38" i="2" s="1"/>
  <c r="BI36" i="1"/>
  <c r="E38" i="2" s="1"/>
  <c r="A30" i="2"/>
  <c r="BJ28" i="1"/>
  <c r="H30" i="2" s="1"/>
  <c r="BK28" i="1"/>
  <c r="L30" i="2" s="1"/>
  <c r="BG28" i="1"/>
  <c r="BN28" i="1" s="1"/>
  <c r="BL28" i="1"/>
  <c r="O30" i="2" s="1"/>
  <c r="BM28" i="1"/>
  <c r="R30" i="2" s="1"/>
  <c r="BH28" i="1"/>
  <c r="B30" i="2" s="1"/>
  <c r="BI28" i="1"/>
  <c r="E30" i="2" s="1"/>
  <c r="BJ20" i="1"/>
  <c r="H22" i="2" s="1"/>
  <c r="J22" i="2" s="1"/>
  <c r="BK20" i="1"/>
  <c r="L22" i="2" s="1"/>
  <c r="BG20" i="1"/>
  <c r="BN20" i="1" s="1"/>
  <c r="BL20" i="1"/>
  <c r="O22" i="2" s="1"/>
  <c r="BM20" i="1"/>
  <c r="R22" i="2" s="1"/>
  <c r="BH20" i="1"/>
  <c r="B22" i="2" s="1"/>
  <c r="BI20" i="1"/>
  <c r="E22" i="2" s="1"/>
  <c r="BJ12" i="1"/>
  <c r="H14" i="2" s="1"/>
  <c r="BK12" i="1"/>
  <c r="L14" i="2" s="1"/>
  <c r="BG12" i="1"/>
  <c r="AY12" i="1" s="1" a="1"/>
  <c r="AY12" i="1" s="1"/>
  <c r="BL12" i="1"/>
  <c r="O14" i="2" s="1"/>
  <c r="BM12" i="1"/>
  <c r="R14" i="2" s="1"/>
  <c r="BH12" i="1"/>
  <c r="B14" i="2" s="1"/>
  <c r="BI12" i="1"/>
  <c r="E14" i="2" s="1"/>
  <c r="BJ4" i="1"/>
  <c r="H6" i="2" s="1"/>
  <c r="BK4" i="1"/>
  <c r="L6" i="2" s="1"/>
  <c r="BG4" i="1"/>
  <c r="BN4" i="1" s="1"/>
  <c r="BL4" i="1"/>
  <c r="O6" i="2" s="1"/>
  <c r="BM4" i="1"/>
  <c r="R6" i="2" s="1"/>
  <c r="BH4" i="1"/>
  <c r="B6" i="2" s="1"/>
  <c r="BI4" i="1"/>
  <c r="E6" i="2" s="1"/>
  <c r="BA33" i="1"/>
  <c r="BA29" i="1"/>
  <c r="BA25" i="1"/>
  <c r="BC22" i="1"/>
  <c r="BA21" i="1"/>
  <c r="BC18" i="1"/>
  <c r="BA17" i="1"/>
  <c r="BC14" i="1"/>
  <c r="BA13" i="1"/>
  <c r="BB10" i="1"/>
  <c r="BF8" i="1"/>
  <c r="BB6" i="1"/>
  <c r="BF4" i="1"/>
  <c r="A13" i="2"/>
  <c r="BH11" i="1"/>
  <c r="B13" i="2" s="1"/>
  <c r="BG11" i="1"/>
  <c r="BN11" i="1" s="1"/>
  <c r="BI11" i="1"/>
  <c r="E13" i="2" s="1"/>
  <c r="BJ11" i="1"/>
  <c r="H13" i="2" s="1"/>
  <c r="BK11" i="1"/>
  <c r="L13" i="2" s="1"/>
  <c r="BL11" i="1"/>
  <c r="O13" i="2" s="1"/>
  <c r="BM11" i="1"/>
  <c r="R13" i="2" s="1"/>
  <c r="A44" i="2"/>
  <c r="BH42" i="1"/>
  <c r="B44" i="2" s="1"/>
  <c r="BI42" i="1"/>
  <c r="E44" i="2" s="1"/>
  <c r="BJ42" i="1"/>
  <c r="H44" i="2" s="1"/>
  <c r="BK42" i="1"/>
  <c r="L44" i="2" s="1"/>
  <c r="BL42" i="1"/>
  <c r="O44" i="2" s="1"/>
  <c r="BM42" i="1"/>
  <c r="R44" i="2" s="1"/>
  <c r="BG42" i="1"/>
  <c r="BN42" i="1" s="1"/>
  <c r="BH34" i="1"/>
  <c r="B36" i="2" s="1"/>
  <c r="BI34" i="1"/>
  <c r="E36" i="2" s="1"/>
  <c r="BJ34" i="1"/>
  <c r="H36" i="2" s="1"/>
  <c r="BK34" i="1"/>
  <c r="L36" i="2" s="1"/>
  <c r="BL34" i="1"/>
  <c r="O36" i="2" s="1"/>
  <c r="BM34" i="1"/>
  <c r="R36" i="2" s="1"/>
  <c r="BG34" i="1"/>
  <c r="BN34" i="1" s="1"/>
  <c r="BH26" i="1"/>
  <c r="B28" i="2" s="1"/>
  <c r="BI26" i="1"/>
  <c r="E28" i="2" s="1"/>
  <c r="BJ26" i="1"/>
  <c r="H28" i="2" s="1"/>
  <c r="BK26" i="1"/>
  <c r="L28" i="2" s="1"/>
  <c r="BL26" i="1"/>
  <c r="O28" i="2" s="1"/>
  <c r="BM26" i="1"/>
  <c r="R28" i="2" s="1"/>
  <c r="BG26" i="1"/>
  <c r="BN26" i="1" s="1"/>
  <c r="BH18" i="1"/>
  <c r="B20" i="2" s="1"/>
  <c r="BI18" i="1"/>
  <c r="E20" i="2" s="1"/>
  <c r="BJ18" i="1"/>
  <c r="H20" i="2" s="1"/>
  <c r="BK18" i="1"/>
  <c r="L20" i="2" s="1"/>
  <c r="BL18" i="1"/>
  <c r="O20" i="2" s="1"/>
  <c r="BM18" i="1"/>
  <c r="R20" i="2" s="1"/>
  <c r="BG18" i="1"/>
  <c r="BN18" i="1" s="1"/>
  <c r="BH10" i="1"/>
  <c r="B12" i="2" s="1"/>
  <c r="BI10" i="1"/>
  <c r="E12" i="2" s="1"/>
  <c r="BJ10" i="1"/>
  <c r="H12" i="2" s="1"/>
  <c r="BK10" i="1"/>
  <c r="L12" i="2" s="1"/>
  <c r="BL10" i="1"/>
  <c r="O12" i="2" s="1"/>
  <c r="BM10" i="1"/>
  <c r="R12" i="2" s="1"/>
  <c r="BG10" i="1"/>
  <c r="BN10" i="1" s="1"/>
  <c r="BM2" i="1"/>
  <c r="R4" i="2" s="1"/>
  <c r="BL2" i="1"/>
  <c r="O4" i="2" s="1"/>
  <c r="BH2" i="1"/>
  <c r="B4" i="2" s="1"/>
  <c r="BK2" i="1"/>
  <c r="L4" i="2" s="1"/>
  <c r="BJ2" i="1"/>
  <c r="H4" i="2" s="1"/>
  <c r="BI2" i="1"/>
  <c r="E4" i="2" s="1"/>
  <c r="BG2" i="1"/>
  <c r="BE48" i="1"/>
  <c r="BE44" i="1"/>
  <c r="BE40" i="1"/>
  <c r="BA22" i="1"/>
  <c r="BA18" i="1"/>
  <c r="BA14" i="1"/>
  <c r="BF9" i="1"/>
  <c r="BD8" i="1"/>
  <c r="BF5" i="1"/>
  <c r="BD4" i="1"/>
  <c r="A45" i="2"/>
  <c r="BH43" i="1"/>
  <c r="B45" i="2" s="1"/>
  <c r="BG43" i="1"/>
  <c r="BN43" i="1" s="1"/>
  <c r="BI43" i="1"/>
  <c r="E45" i="2" s="1"/>
  <c r="BJ43" i="1"/>
  <c r="H45" i="2" s="1"/>
  <c r="BK43" i="1"/>
  <c r="L45" i="2" s="1"/>
  <c r="BL43" i="1"/>
  <c r="O45" i="2" s="1"/>
  <c r="BM43" i="1"/>
  <c r="R45" i="2" s="1"/>
  <c r="BE8" i="1"/>
  <c r="A27" i="2"/>
  <c r="BL25" i="1"/>
  <c r="O27" i="2" s="1"/>
  <c r="BM25" i="1"/>
  <c r="R27" i="2" s="1"/>
  <c r="T27" i="2" s="1"/>
  <c r="BH25" i="1"/>
  <c r="B27" i="2" s="1"/>
  <c r="BI25" i="1"/>
  <c r="E27" i="2" s="1"/>
  <c r="BJ25" i="1"/>
  <c r="H27" i="2" s="1"/>
  <c r="BG25" i="1"/>
  <c r="BN25" i="1" s="1"/>
  <c r="BK25" i="1"/>
  <c r="L27" i="2" s="1"/>
  <c r="BE9" i="1"/>
  <c r="A39" i="2"/>
  <c r="BL37" i="1"/>
  <c r="O39" i="2" s="1"/>
  <c r="BM37" i="1"/>
  <c r="R39" i="2" s="1"/>
  <c r="BG37" i="1"/>
  <c r="BN37" i="1" s="1"/>
  <c r="BH37" i="1"/>
  <c r="B39" i="2" s="1"/>
  <c r="BI37" i="1"/>
  <c r="E39" i="2" s="1"/>
  <c r="BJ37" i="1"/>
  <c r="H39" i="2" s="1"/>
  <c r="BK37" i="1"/>
  <c r="L39" i="2" s="1"/>
  <c r="A23" i="2"/>
  <c r="BL21" i="1"/>
  <c r="O23" i="2" s="1"/>
  <c r="BM21" i="1"/>
  <c r="R23" i="2" s="1"/>
  <c r="BG21" i="1"/>
  <c r="BN21" i="1" s="1"/>
  <c r="BH21" i="1"/>
  <c r="B23" i="2" s="1"/>
  <c r="BI21" i="1"/>
  <c r="E23" i="2" s="1"/>
  <c r="BJ21" i="1"/>
  <c r="H23" i="2" s="1"/>
  <c r="BK21" i="1"/>
  <c r="L23" i="2" s="1"/>
  <c r="A37" i="2"/>
  <c r="BH35" i="1"/>
  <c r="B37" i="2" s="1"/>
  <c r="BG35" i="1"/>
  <c r="BN35" i="1" s="1"/>
  <c r="BI35" i="1"/>
  <c r="E37" i="2" s="1"/>
  <c r="BJ35" i="1"/>
  <c r="H37" i="2" s="1"/>
  <c r="BK35" i="1"/>
  <c r="L37" i="2" s="1"/>
  <c r="BL35" i="1"/>
  <c r="O37" i="2" s="1"/>
  <c r="BM35" i="1"/>
  <c r="R37" i="2" s="1"/>
  <c r="A21" i="2"/>
  <c r="BH19" i="1"/>
  <c r="B21" i="2" s="1"/>
  <c r="BG19" i="1"/>
  <c r="BN19" i="1" s="1"/>
  <c r="BI19" i="1"/>
  <c r="E21" i="2" s="1"/>
  <c r="BJ19" i="1"/>
  <c r="H21" i="2" s="1"/>
  <c r="BK19" i="1"/>
  <c r="L21" i="2" s="1"/>
  <c r="BL19" i="1"/>
  <c r="O21" i="2" s="1"/>
  <c r="BM19" i="1"/>
  <c r="R21" i="2" s="1"/>
  <c r="BE4" i="1"/>
  <c r="BL33" i="1"/>
  <c r="O35" i="2" s="1"/>
  <c r="BM33" i="1"/>
  <c r="R35" i="2" s="1"/>
  <c r="BH33" i="1"/>
  <c r="B35" i="2" s="1"/>
  <c r="BI33" i="1"/>
  <c r="E35" i="2" s="1"/>
  <c r="BJ33" i="1"/>
  <c r="H35" i="2" s="1"/>
  <c r="BG33" i="1"/>
  <c r="BN33" i="1" s="1"/>
  <c r="BK33" i="1"/>
  <c r="L35" i="2" s="1"/>
  <c r="BC8" i="1"/>
  <c r="BE5" i="1"/>
  <c r="BC4" i="1"/>
  <c r="BJ24" i="1"/>
  <c r="H26" i="2" s="1"/>
  <c r="BK24" i="1"/>
  <c r="L26" i="2" s="1"/>
  <c r="BL24" i="1"/>
  <c r="O26" i="2" s="1"/>
  <c r="BM24" i="1"/>
  <c r="R26" i="2" s="1"/>
  <c r="BG24" i="1"/>
  <c r="BN24" i="1" s="1"/>
  <c r="BH24" i="1"/>
  <c r="B26" i="2" s="1"/>
  <c r="BI24" i="1"/>
  <c r="E26" i="2" s="1"/>
  <c r="BC24" i="1"/>
  <c r="BF10" i="1"/>
  <c r="BD9" i="1"/>
  <c r="BB8" i="1"/>
  <c r="BF6" i="1"/>
  <c r="BD5" i="1"/>
  <c r="BB4" i="1"/>
  <c r="BF2" i="1"/>
  <c r="A51" i="2"/>
  <c r="BL49" i="1"/>
  <c r="O51" i="2" s="1"/>
  <c r="BM49" i="1"/>
  <c r="R51" i="2" s="1"/>
  <c r="BH49" i="1"/>
  <c r="B51" i="2" s="1"/>
  <c r="BI49" i="1"/>
  <c r="E51" i="2" s="1"/>
  <c r="BJ49" i="1"/>
  <c r="H51" i="2" s="1"/>
  <c r="BG49" i="1"/>
  <c r="BN49" i="1" s="1"/>
  <c r="BK49" i="1"/>
  <c r="L51" i="2" s="1"/>
  <c r="BL9" i="1"/>
  <c r="O11" i="2" s="1"/>
  <c r="BM9" i="1"/>
  <c r="R11" i="2" s="1"/>
  <c r="BH9" i="1"/>
  <c r="B11" i="2" s="1"/>
  <c r="BI9" i="1"/>
  <c r="E11" i="2" s="1"/>
  <c r="BJ9" i="1"/>
  <c r="H11" i="2" s="1"/>
  <c r="BG9" i="1"/>
  <c r="BN9" i="1" s="1"/>
  <c r="BK9" i="1"/>
  <c r="L11" i="2" s="1"/>
  <c r="BJ40" i="1"/>
  <c r="H42" i="2" s="1"/>
  <c r="BK40" i="1"/>
  <c r="L42" i="2" s="1"/>
  <c r="BL40" i="1"/>
  <c r="O42" i="2" s="1"/>
  <c r="BM40" i="1"/>
  <c r="R42" i="2" s="1"/>
  <c r="BG40" i="1"/>
  <c r="BN40" i="1" s="1"/>
  <c r="BH40" i="1"/>
  <c r="B42" i="2" s="1"/>
  <c r="BI40" i="1"/>
  <c r="E42" i="2" s="1"/>
  <c r="BJ16" i="1"/>
  <c r="H18" i="2" s="1"/>
  <c r="BK16" i="1"/>
  <c r="L18" i="2" s="1"/>
  <c r="BL16" i="1"/>
  <c r="O18" i="2" s="1"/>
  <c r="BM16" i="1"/>
  <c r="R18" i="2" s="1"/>
  <c r="BG16" i="1"/>
  <c r="BN16" i="1" s="1"/>
  <c r="BH16" i="1"/>
  <c r="B18" i="2" s="1"/>
  <c r="BI16" i="1"/>
  <c r="E18" i="2" s="1"/>
  <c r="BE49" i="1"/>
  <c r="BC48" i="1"/>
  <c r="BC44" i="1"/>
  <c r="BC40" i="1"/>
  <c r="BE29" i="1"/>
  <c r="BC28" i="1"/>
  <c r="BE25" i="1"/>
  <c r="BH47" i="1"/>
  <c r="B49" i="2" s="1"/>
  <c r="BI47" i="1"/>
  <c r="E49" i="2" s="1"/>
  <c r="BJ47" i="1"/>
  <c r="H49" i="2" s="1"/>
  <c r="BK47" i="1"/>
  <c r="L49" i="2" s="1"/>
  <c r="BL47" i="1"/>
  <c r="O49" i="2" s="1"/>
  <c r="BG47" i="1"/>
  <c r="BN47" i="1" s="1"/>
  <c r="BM47" i="1"/>
  <c r="R49" i="2" s="1"/>
  <c r="BH39" i="1"/>
  <c r="B41" i="2" s="1"/>
  <c r="BI39" i="1"/>
  <c r="E41" i="2" s="1"/>
  <c r="G41" i="2" s="1"/>
  <c r="BJ39" i="1"/>
  <c r="H41" i="2" s="1"/>
  <c r="BK39" i="1"/>
  <c r="L41" i="2" s="1"/>
  <c r="BL39" i="1"/>
  <c r="O41" i="2" s="1"/>
  <c r="BG39" i="1"/>
  <c r="BN39" i="1" s="1"/>
  <c r="BM39" i="1"/>
  <c r="R41" i="2" s="1"/>
  <c r="A33" i="2"/>
  <c r="BH31" i="1"/>
  <c r="B33" i="2" s="1"/>
  <c r="BI31" i="1"/>
  <c r="E33" i="2" s="1"/>
  <c r="BJ31" i="1"/>
  <c r="H33" i="2" s="1"/>
  <c r="BK31" i="1"/>
  <c r="L33" i="2" s="1"/>
  <c r="BL31" i="1"/>
  <c r="O33" i="2" s="1"/>
  <c r="BG31" i="1"/>
  <c r="BN31" i="1" s="1"/>
  <c r="BM31" i="1"/>
  <c r="R33" i="2" s="1"/>
  <c r="BH23" i="1"/>
  <c r="B25" i="2" s="1"/>
  <c r="BI23" i="1"/>
  <c r="E25" i="2" s="1"/>
  <c r="BJ23" i="1"/>
  <c r="H25" i="2" s="1"/>
  <c r="BK23" i="1"/>
  <c r="L25" i="2" s="1"/>
  <c r="BL23" i="1"/>
  <c r="O25" i="2" s="1"/>
  <c r="BG23" i="1"/>
  <c r="BN23" i="1" s="1"/>
  <c r="BM23" i="1"/>
  <c r="R25" i="2" s="1"/>
  <c r="BH15" i="1"/>
  <c r="B17" i="2" s="1"/>
  <c r="BI15" i="1"/>
  <c r="E17" i="2" s="1"/>
  <c r="BJ15" i="1"/>
  <c r="H17" i="2" s="1"/>
  <c r="BK15" i="1"/>
  <c r="L17" i="2" s="1"/>
  <c r="BL15" i="1"/>
  <c r="O17" i="2" s="1"/>
  <c r="BG15" i="1"/>
  <c r="BN15" i="1" s="1"/>
  <c r="BM15" i="1"/>
  <c r="R17" i="2" s="1"/>
  <c r="BH7" i="1"/>
  <c r="B9" i="2" s="1"/>
  <c r="BI7" i="1"/>
  <c r="E9" i="2" s="1"/>
  <c r="BJ7" i="1"/>
  <c r="H9" i="2" s="1"/>
  <c r="BK7" i="1"/>
  <c r="L9" i="2" s="1"/>
  <c r="BL7" i="1"/>
  <c r="O9" i="2" s="1"/>
  <c r="BG7" i="1"/>
  <c r="BN7" i="1" s="1"/>
  <c r="BM7" i="1"/>
  <c r="R9" i="2" s="1"/>
  <c r="BD49" i="1"/>
  <c r="BB48" i="1"/>
  <c r="BF46" i="1"/>
  <c r="BD45" i="1"/>
  <c r="BB44" i="1"/>
  <c r="BF42" i="1"/>
  <c r="BD41" i="1"/>
  <c r="BB40" i="1"/>
  <c r="BF38" i="1"/>
  <c r="BD37" i="1"/>
  <c r="BB36" i="1"/>
  <c r="BF34" i="1"/>
  <c r="BD33" i="1"/>
  <c r="BB32" i="1"/>
  <c r="BF30" i="1"/>
  <c r="BD29" i="1"/>
  <c r="BB28" i="1"/>
  <c r="BF26" i="1"/>
  <c r="BD25" i="1"/>
  <c r="BB24" i="1"/>
  <c r="BF22" i="1"/>
  <c r="BD21" i="1"/>
  <c r="BB20" i="1"/>
  <c r="BF18" i="1"/>
  <c r="BD17" i="1"/>
  <c r="BB16" i="1"/>
  <c r="BF14" i="1"/>
  <c r="BD13" i="1"/>
  <c r="BE10" i="1"/>
  <c r="BC9" i="1"/>
  <c r="BA8" i="1"/>
  <c r="BE6" i="1"/>
  <c r="BC5" i="1"/>
  <c r="BA4" i="1"/>
  <c r="BE2" i="1"/>
  <c r="A47" i="2"/>
  <c r="BL45" i="1"/>
  <c r="O47" i="2" s="1"/>
  <c r="BM45" i="1"/>
  <c r="R47" i="2" s="1"/>
  <c r="T47" i="2" s="1"/>
  <c r="BG45" i="1"/>
  <c r="BN45" i="1" s="1"/>
  <c r="BH45" i="1"/>
  <c r="B47" i="2" s="1"/>
  <c r="BI45" i="1"/>
  <c r="E47" i="2" s="1"/>
  <c r="BJ45" i="1"/>
  <c r="H47" i="2" s="1"/>
  <c r="BK45" i="1"/>
  <c r="L47" i="2" s="1"/>
  <c r="BH27" i="1"/>
  <c r="B29" i="2" s="1"/>
  <c r="BG27" i="1"/>
  <c r="BN27" i="1" s="1"/>
  <c r="BI27" i="1"/>
  <c r="E29" i="2" s="1"/>
  <c r="BJ27" i="1"/>
  <c r="H29" i="2" s="1"/>
  <c r="BK27" i="1"/>
  <c r="L29" i="2" s="1"/>
  <c r="BL27" i="1"/>
  <c r="O29" i="2" s="1"/>
  <c r="BM27" i="1"/>
  <c r="R29" i="2" s="1"/>
  <c r="A5" i="2"/>
  <c r="BH3" i="1"/>
  <c r="B5" i="2" s="1"/>
  <c r="BG3" i="1"/>
  <c r="BN3" i="1" s="1"/>
  <c r="BI3" i="1"/>
  <c r="E5" i="2" s="1"/>
  <c r="BJ3" i="1"/>
  <c r="H5" i="2" s="1"/>
  <c r="BK3" i="1"/>
  <c r="L5" i="2" s="1"/>
  <c r="BL3" i="1"/>
  <c r="O5" i="2" s="1"/>
  <c r="BM3" i="1"/>
  <c r="R5" i="2" s="1"/>
  <c r="BL41" i="1"/>
  <c r="O43" i="2" s="1"/>
  <c r="BM41" i="1"/>
  <c r="R43" i="2" s="1"/>
  <c r="BH41" i="1"/>
  <c r="B43" i="2" s="1"/>
  <c r="BI41" i="1"/>
  <c r="E43" i="2" s="1"/>
  <c r="BJ41" i="1"/>
  <c r="H43" i="2" s="1"/>
  <c r="BG41" i="1"/>
  <c r="BN41" i="1" s="1"/>
  <c r="BK41" i="1"/>
  <c r="L43" i="2" s="1"/>
  <c r="N43" i="2" s="1"/>
  <c r="BL17" i="1"/>
  <c r="O19" i="2" s="1"/>
  <c r="BM17" i="1"/>
  <c r="R19" i="2" s="1"/>
  <c r="BH17" i="1"/>
  <c r="B19" i="2" s="1"/>
  <c r="BI17" i="1"/>
  <c r="E19" i="2" s="1"/>
  <c r="BJ17" i="1"/>
  <c r="H19" i="2" s="1"/>
  <c r="BG17" i="1"/>
  <c r="BN17" i="1" s="1"/>
  <c r="BK17" i="1"/>
  <c r="L19" i="2" s="1"/>
  <c r="BJ48" i="1"/>
  <c r="H50" i="2" s="1"/>
  <c r="BK48" i="1"/>
  <c r="L50" i="2" s="1"/>
  <c r="BL48" i="1"/>
  <c r="O50" i="2" s="1"/>
  <c r="BM48" i="1"/>
  <c r="R50" i="2" s="1"/>
  <c r="BG48" i="1"/>
  <c r="BN48" i="1" s="1"/>
  <c r="BH48" i="1"/>
  <c r="B50" i="2" s="1"/>
  <c r="BI48" i="1"/>
  <c r="E50" i="2" s="1"/>
  <c r="BJ32" i="1"/>
  <c r="H34" i="2" s="1"/>
  <c r="BK32" i="1"/>
  <c r="L34" i="2" s="1"/>
  <c r="BL32" i="1"/>
  <c r="O34" i="2" s="1"/>
  <c r="Q34" i="2" s="1"/>
  <c r="BM32" i="1"/>
  <c r="R34" i="2" s="1"/>
  <c r="BG32" i="1"/>
  <c r="BN32" i="1" s="1"/>
  <c r="BH32" i="1"/>
  <c r="B34" i="2" s="1"/>
  <c r="BI32" i="1"/>
  <c r="E34" i="2" s="1"/>
  <c r="BJ8" i="1"/>
  <c r="H10" i="2" s="1"/>
  <c r="BK8" i="1"/>
  <c r="L10" i="2" s="1"/>
  <c r="BL8" i="1"/>
  <c r="O10" i="2" s="1"/>
  <c r="BM8" i="1"/>
  <c r="R10" i="2" s="1"/>
  <c r="BG8" i="1"/>
  <c r="BN8" i="1" s="1"/>
  <c r="BH8" i="1"/>
  <c r="B10" i="2" s="1"/>
  <c r="BI8" i="1"/>
  <c r="E10" i="2" s="1"/>
  <c r="BE45" i="1"/>
  <c r="BE41" i="1"/>
  <c r="BE37" i="1"/>
  <c r="BC36" i="1"/>
  <c r="BE33" i="1"/>
  <c r="BC32" i="1"/>
  <c r="A48" i="2"/>
  <c r="BH46" i="1"/>
  <c r="B48" i="2" s="1"/>
  <c r="BI46" i="1"/>
  <c r="E48" i="2" s="1"/>
  <c r="BG46" i="1"/>
  <c r="BN46" i="1" s="1"/>
  <c r="BJ46" i="1"/>
  <c r="H48" i="2" s="1"/>
  <c r="BK46" i="1"/>
  <c r="L48" i="2" s="1"/>
  <c r="BL46" i="1"/>
  <c r="O48" i="2" s="1"/>
  <c r="BM46" i="1"/>
  <c r="R48" i="2" s="1"/>
  <c r="BH38" i="1"/>
  <c r="B40" i="2" s="1"/>
  <c r="BI38" i="1"/>
  <c r="E40" i="2" s="1"/>
  <c r="BG38" i="1"/>
  <c r="BN38" i="1" s="1"/>
  <c r="BJ38" i="1"/>
  <c r="H40" i="2" s="1"/>
  <c r="BK38" i="1"/>
  <c r="L40" i="2" s="1"/>
  <c r="BL38" i="1"/>
  <c r="O40" i="2" s="1"/>
  <c r="BM38" i="1"/>
  <c r="R40" i="2" s="1"/>
  <c r="BH30" i="1"/>
  <c r="B32" i="2" s="1"/>
  <c r="BI30" i="1"/>
  <c r="E32" i="2" s="1"/>
  <c r="BG30" i="1"/>
  <c r="BN30" i="1" s="1"/>
  <c r="BJ30" i="1"/>
  <c r="H32" i="2" s="1"/>
  <c r="K32" i="2" s="1"/>
  <c r="BK30" i="1"/>
  <c r="L32" i="2" s="1"/>
  <c r="BL30" i="1"/>
  <c r="O32" i="2" s="1"/>
  <c r="BM30" i="1"/>
  <c r="R32" i="2" s="1"/>
  <c r="BH22" i="1"/>
  <c r="B24" i="2" s="1"/>
  <c r="BI22" i="1"/>
  <c r="E24" i="2" s="1"/>
  <c r="BG22" i="1"/>
  <c r="BN22" i="1" s="1"/>
  <c r="BJ22" i="1"/>
  <c r="H24" i="2" s="1"/>
  <c r="BK22" i="1"/>
  <c r="L24" i="2" s="1"/>
  <c r="BL22" i="1"/>
  <c r="O24" i="2" s="1"/>
  <c r="BM22" i="1"/>
  <c r="R24" i="2" s="1"/>
  <c r="BH14" i="1"/>
  <c r="B16" i="2" s="1"/>
  <c r="BI14" i="1"/>
  <c r="E16" i="2" s="1"/>
  <c r="BG14" i="1"/>
  <c r="BN14" i="1" s="1"/>
  <c r="BJ14" i="1"/>
  <c r="H16" i="2" s="1"/>
  <c r="BK14" i="1"/>
  <c r="L16" i="2" s="1"/>
  <c r="BL14" i="1"/>
  <c r="O16" i="2" s="1"/>
  <c r="BM14" i="1"/>
  <c r="R16" i="2" s="1"/>
  <c r="BH6" i="1"/>
  <c r="B8" i="2" s="1"/>
  <c r="BI6" i="1"/>
  <c r="E8" i="2" s="1"/>
  <c r="BG6" i="1"/>
  <c r="BN6" i="1" s="1"/>
  <c r="BJ6" i="1"/>
  <c r="H8" i="2" s="1"/>
  <c r="J8" i="2" s="1"/>
  <c r="BK6" i="1"/>
  <c r="L8" i="2" s="1"/>
  <c r="BL6" i="1"/>
  <c r="O8" i="2" s="1"/>
  <c r="BM6" i="1"/>
  <c r="R8" i="2" s="1"/>
  <c r="BC49" i="1"/>
  <c r="BA48" i="1"/>
  <c r="BE46" i="1"/>
  <c r="BC45" i="1"/>
  <c r="BA44" i="1"/>
  <c r="BE42" i="1"/>
  <c r="BC41" i="1"/>
  <c r="BA40" i="1"/>
  <c r="BE38" i="1"/>
  <c r="BC37" i="1"/>
  <c r="BA36" i="1"/>
  <c r="BE34" i="1"/>
  <c r="BC33" i="1"/>
  <c r="BA32" i="1"/>
  <c r="BE30" i="1"/>
  <c r="BC29" i="1"/>
  <c r="BA28" i="1"/>
  <c r="BE26" i="1"/>
  <c r="BC25" i="1"/>
  <c r="BA24" i="1"/>
  <c r="BE22" i="1"/>
  <c r="BC21" i="1"/>
  <c r="BA20" i="1"/>
  <c r="BE18" i="1"/>
  <c r="BC17" i="1"/>
  <c r="BA16" i="1"/>
  <c r="BE14" i="1"/>
  <c r="BC13" i="1"/>
  <c r="BD10" i="1"/>
  <c r="BB9" i="1"/>
  <c r="BD6" i="1"/>
  <c r="BB5" i="1"/>
  <c r="A38" i="2"/>
  <c r="A36" i="2"/>
  <c r="A28" i="2"/>
  <c r="A20" i="2"/>
  <c r="A11" i="2"/>
  <c r="A19" i="2"/>
  <c r="A50" i="2"/>
  <c r="A42" i="2"/>
  <c r="A40" i="2"/>
  <c r="A32" i="2"/>
  <c r="A24" i="2"/>
  <c r="A46" i="2"/>
  <c r="A22" i="2"/>
  <c r="A14" i="2"/>
  <c r="A6" i="2"/>
  <c r="A12" i="2"/>
  <c r="A4" i="2"/>
  <c r="A43" i="2"/>
  <c r="A34" i="2"/>
  <c r="A26" i="2"/>
  <c r="A18" i="2"/>
  <c r="A10" i="2"/>
  <c r="A49" i="2"/>
  <c r="A41" i="2"/>
  <c r="A25" i="2"/>
  <c r="A17" i="2"/>
  <c r="A9" i="2"/>
  <c r="A35" i="2"/>
  <c r="A16" i="2"/>
  <c r="A8" i="2"/>
  <c r="AL17" i="1"/>
  <c r="W19" i="2" s="1"/>
  <c r="AL13" i="1"/>
  <c r="W15" i="2" s="1"/>
  <c r="AN4" i="1"/>
  <c r="X50" i="2"/>
  <c r="X46" i="2"/>
  <c r="X24" i="2"/>
  <c r="X22" i="2"/>
  <c r="AK12" i="1"/>
  <c r="V14" i="2" s="1"/>
  <c r="AK8" i="1"/>
  <c r="AK4" i="1"/>
  <c r="AK48" i="1"/>
  <c r="AK44" i="1"/>
  <c r="AK40" i="1"/>
  <c r="AK36" i="1"/>
  <c r="AK32" i="1"/>
  <c r="AK28" i="1"/>
  <c r="AK24" i="1"/>
  <c r="AK20" i="1"/>
  <c r="V22" i="2" s="1"/>
  <c r="AK16" i="1"/>
  <c r="V18" i="2" s="1"/>
  <c r="AL10" i="1"/>
  <c r="AL6" i="1"/>
  <c r="W4" i="2"/>
  <c r="AN46" i="1"/>
  <c r="AN42" i="1"/>
  <c r="AN38" i="1"/>
  <c r="AN34" i="1"/>
  <c r="AN30" i="1"/>
  <c r="AN26" i="1"/>
  <c r="AN22" i="1"/>
  <c r="AN18" i="1"/>
  <c r="AN14" i="1"/>
  <c r="AN10" i="1"/>
  <c r="AN6" i="1"/>
  <c r="AL22" i="1"/>
  <c r="W24" i="2" s="1"/>
  <c r="AK17" i="1"/>
  <c r="V19" i="2" s="1"/>
  <c r="AL7" i="1"/>
  <c r="W9" i="2" s="1"/>
  <c r="AN45" i="1"/>
  <c r="AN41" i="1"/>
  <c r="AN37" i="1"/>
  <c r="AN17" i="1"/>
  <c r="AN13" i="1"/>
  <c r="AN9" i="1"/>
  <c r="AL30" i="1"/>
  <c r="AL26" i="1"/>
  <c r="W28" i="2" s="1"/>
  <c r="AL3" i="1"/>
  <c r="W5" i="2" s="1"/>
  <c r="AN25" i="1"/>
  <c r="AL39" i="1"/>
  <c r="W41" i="2" s="1"/>
  <c r="AL23" i="1"/>
  <c r="W25" i="2" s="1"/>
  <c r="AL38" i="1"/>
  <c r="AL18" i="1"/>
  <c r="W20" i="2" s="1"/>
  <c r="AK45" i="1"/>
  <c r="AK41" i="1"/>
  <c r="AK37" i="1"/>
  <c r="V39" i="2" s="1"/>
  <c r="AK29" i="1"/>
  <c r="AN21" i="1"/>
  <c r="AL14" i="1"/>
  <c r="W16" i="2" s="1"/>
  <c r="AK9" i="1"/>
  <c r="V11" i="2" s="1"/>
  <c r="AK5" i="1"/>
  <c r="V7" i="2" s="1"/>
  <c r="AK33" i="1"/>
  <c r="AK25" i="1"/>
  <c r="AL11" i="1"/>
  <c r="AN49" i="1"/>
  <c r="AN29" i="1"/>
  <c r="AL43" i="1"/>
  <c r="W45" i="2" s="1"/>
  <c r="AL31" i="1"/>
  <c r="W33" i="2" s="1"/>
  <c r="AL27" i="1"/>
  <c r="W29" i="2" s="1"/>
  <c r="AL19" i="1"/>
  <c r="W21" i="2" s="1"/>
  <c r="AK10" i="1"/>
  <c r="AL46" i="1"/>
  <c r="AL42" i="1"/>
  <c r="AL34" i="1"/>
  <c r="AK49" i="1"/>
  <c r="V51" i="2" s="1"/>
  <c r="AK21" i="1"/>
  <c r="V23" i="2" s="1"/>
  <c r="AK13" i="1"/>
  <c r="AN33" i="1"/>
  <c r="AL47" i="1"/>
  <c r="AL35" i="1"/>
  <c r="W37" i="2" s="1"/>
  <c r="AL15" i="1"/>
  <c r="W17" i="2" s="1"/>
  <c r="AN2" i="1"/>
  <c r="AN5" i="1"/>
  <c r="X8" i="2"/>
  <c r="AK6" i="1"/>
  <c r="AK2" i="1"/>
  <c r="V4" i="2" s="1"/>
  <c r="AK46" i="1"/>
  <c r="AK42" i="1"/>
  <c r="V44" i="2" s="1"/>
  <c r="AK38" i="1"/>
  <c r="AK34" i="1"/>
  <c r="V36" i="2" s="1"/>
  <c r="AK30" i="1"/>
  <c r="AK26" i="1"/>
  <c r="V28" i="2" s="1"/>
  <c r="AK22" i="1"/>
  <c r="AK18" i="1"/>
  <c r="AK14" i="1"/>
  <c r="AL8" i="1"/>
  <c r="W10" i="2" s="1"/>
  <c r="AL4" i="1"/>
  <c r="W6" i="2" s="1"/>
  <c r="AN48" i="1"/>
  <c r="AN44" i="1"/>
  <c r="AN40" i="1"/>
  <c r="AN36" i="1"/>
  <c r="AN32" i="1"/>
  <c r="Y34" i="2" s="1"/>
  <c r="AN28" i="1"/>
  <c r="AN24" i="1"/>
  <c r="AN20" i="1"/>
  <c r="Y22" i="2" s="1"/>
  <c r="AN16" i="1"/>
  <c r="AN12" i="1"/>
  <c r="AN8" i="1"/>
  <c r="AL48" i="1"/>
  <c r="X47" i="2" s="1"/>
  <c r="AL44" i="1"/>
  <c r="AL40" i="1"/>
  <c r="W27" i="2" s="1"/>
  <c r="AL36" i="1"/>
  <c r="W38" i="2" s="1"/>
  <c r="AL32" i="1"/>
  <c r="W34" i="2" s="1"/>
  <c r="AL28" i="1"/>
  <c r="W30" i="2" s="1"/>
  <c r="AL24" i="1"/>
  <c r="W26" i="2" s="1"/>
  <c r="AL20" i="1"/>
  <c r="W22" i="2" s="1"/>
  <c r="AL16" i="1"/>
  <c r="W18" i="2" s="1"/>
  <c r="AL12" i="1"/>
  <c r="AK11" i="1"/>
  <c r="V13" i="2" s="1"/>
  <c r="AK7" i="1"/>
  <c r="V9" i="2" s="1"/>
  <c r="AK3" i="1"/>
  <c r="V5" i="2" s="1"/>
  <c r="AK47" i="1"/>
  <c r="AK43" i="1"/>
  <c r="AK39" i="1"/>
  <c r="V41" i="2" s="1"/>
  <c r="AK35" i="1"/>
  <c r="AK31" i="1"/>
  <c r="V33" i="2" s="1"/>
  <c r="AK27" i="1"/>
  <c r="AK23" i="1"/>
  <c r="V25" i="2" s="1"/>
  <c r="AK19" i="1"/>
  <c r="AK15" i="1"/>
  <c r="AL9" i="1"/>
  <c r="W11" i="2" s="1"/>
  <c r="AL5" i="1"/>
  <c r="W7" i="2" s="1"/>
  <c r="AN47" i="1"/>
  <c r="AN43" i="1"/>
  <c r="Y45" i="2" s="1"/>
  <c r="AN39" i="1"/>
  <c r="AN35" i="1"/>
  <c r="AN31" i="1"/>
  <c r="AN27" i="1"/>
  <c r="AN23" i="1"/>
  <c r="AN19" i="1"/>
  <c r="AN15" i="1"/>
  <c r="AN11" i="1"/>
  <c r="AN7" i="1"/>
  <c r="AN3" i="1"/>
  <c r="W31" i="2"/>
  <c r="X9" i="2"/>
  <c r="X5" i="2"/>
  <c r="X12" i="2"/>
  <c r="V46" i="2"/>
  <c r="AP18" i="1"/>
  <c r="X37" i="2"/>
  <c r="AP40" i="1"/>
  <c r="X20" i="2"/>
  <c r="X28" i="2"/>
  <c r="X44" i="2"/>
  <c r="X23" i="2"/>
  <c r="X31" i="2"/>
  <c r="W39" i="2"/>
  <c r="W47" i="2"/>
  <c r="X33" i="2"/>
  <c r="X41" i="2"/>
  <c r="X21" i="2"/>
  <c r="X40" i="2"/>
  <c r="V26" i="2"/>
  <c r="X29" i="2"/>
  <c r="I4" i="2"/>
  <c r="X16" i="2"/>
  <c r="X48" i="2"/>
  <c r="X51" i="2"/>
  <c r="W35" i="2"/>
  <c r="X27" i="2"/>
  <c r="AP9" i="1"/>
  <c r="AP17" i="1"/>
  <c r="AP25" i="1"/>
  <c r="AP33" i="1"/>
  <c r="AP41" i="1"/>
  <c r="AP49" i="1"/>
  <c r="AP3" i="1"/>
  <c r="AP11" i="1"/>
  <c r="AP19" i="1"/>
  <c r="AP27" i="1"/>
  <c r="AP35" i="1"/>
  <c r="AP43" i="1"/>
  <c r="AP4" i="1"/>
  <c r="AP12" i="1"/>
  <c r="AP20" i="1"/>
  <c r="AP28" i="1"/>
  <c r="AP36" i="1"/>
  <c r="AP44" i="1"/>
  <c r="AP6" i="1"/>
  <c r="AP14" i="1"/>
  <c r="AP22" i="1"/>
  <c r="AP30" i="1"/>
  <c r="AP38" i="1"/>
  <c r="AP46" i="1"/>
  <c r="AP7" i="1"/>
  <c r="AP15" i="1"/>
  <c r="AP23" i="1"/>
  <c r="AP31" i="1"/>
  <c r="AP39" i="1"/>
  <c r="AP47" i="1"/>
  <c r="AP10" i="1"/>
  <c r="AP32" i="1"/>
  <c r="AP13" i="1"/>
  <c r="AP34" i="1"/>
  <c r="AP16" i="1"/>
  <c r="AP37" i="1"/>
  <c r="AP21" i="1"/>
  <c r="AP42" i="1"/>
  <c r="AP24" i="1"/>
  <c r="AP45" i="1"/>
  <c r="AP5" i="1"/>
  <c r="AP26" i="1"/>
  <c r="AP48" i="1"/>
  <c r="AP8" i="1"/>
  <c r="AP29" i="1"/>
  <c r="W40" i="2"/>
  <c r="X4" i="2"/>
  <c r="AO23" i="1"/>
  <c r="AO9" i="1"/>
  <c r="AO17" i="1"/>
  <c r="AO26" i="1"/>
  <c r="AO34" i="1"/>
  <c r="AO42" i="1"/>
  <c r="AO3" i="1"/>
  <c r="AO11" i="1"/>
  <c r="AO19" i="1"/>
  <c r="AO28" i="1"/>
  <c r="AO36" i="1"/>
  <c r="AO44" i="1"/>
  <c r="AO4" i="1"/>
  <c r="AO12" i="1"/>
  <c r="AO20" i="1"/>
  <c r="AO29" i="1"/>
  <c r="AO37" i="1"/>
  <c r="AO45" i="1"/>
  <c r="AO6" i="1"/>
  <c r="AO14" i="1"/>
  <c r="AO22" i="1"/>
  <c r="AO31" i="1"/>
  <c r="AO39" i="1"/>
  <c r="AO47" i="1"/>
  <c r="AO7" i="1"/>
  <c r="AO15" i="1"/>
  <c r="AO24" i="1"/>
  <c r="AO32" i="1"/>
  <c r="AO40" i="1"/>
  <c r="AO48" i="1"/>
  <c r="AO5" i="1"/>
  <c r="AO27" i="1"/>
  <c r="AO49" i="1"/>
  <c r="AO8" i="1"/>
  <c r="AO30" i="1"/>
  <c r="AO10" i="1"/>
  <c r="AO33" i="1"/>
  <c r="AO16" i="1"/>
  <c r="AO38" i="1"/>
  <c r="AO18" i="1"/>
  <c r="AO41" i="1"/>
  <c r="AO21" i="1"/>
  <c r="AO43" i="1"/>
  <c r="AO25" i="1"/>
  <c r="AO46" i="1"/>
  <c r="X42" i="2"/>
  <c r="X34" i="2"/>
  <c r="X18" i="2"/>
  <c r="X14" i="2"/>
  <c r="X10" i="2"/>
  <c r="AO35" i="1"/>
  <c r="AO13" i="1"/>
  <c r="AW30" i="1" l="1"/>
  <c r="AU27" i="1"/>
  <c r="AV43" i="1"/>
  <c r="AW35" i="1"/>
  <c r="AU35" i="1"/>
  <c r="AS27" i="1"/>
  <c r="AX27" i="1"/>
  <c r="AS38" i="1"/>
  <c r="AU43" i="1"/>
  <c r="AW43" i="1"/>
  <c r="AS43" i="1"/>
  <c r="AV11" i="1"/>
  <c r="AS35" i="1"/>
  <c r="AX35" i="1"/>
  <c r="AW3" i="1"/>
  <c r="AV27" i="1"/>
  <c r="AW27" i="1"/>
  <c r="AX30" i="1"/>
  <c r="AX29" i="1"/>
  <c r="AS11" i="1"/>
  <c r="AV35" i="1"/>
  <c r="AX43" i="1"/>
  <c r="AS47" i="1"/>
  <c r="AX14" i="1"/>
  <c r="AX39" i="1"/>
  <c r="AS45" i="1"/>
  <c r="AU2" i="1"/>
  <c r="AU13" i="1"/>
  <c r="AX47" i="1"/>
  <c r="AS3" i="1"/>
  <c r="AW14" i="1"/>
  <c r="AW21" i="1"/>
  <c r="AS13" i="1"/>
  <c r="AX13" i="1"/>
  <c r="AU3" i="1"/>
  <c r="AS22" i="1"/>
  <c r="AS19" i="1"/>
  <c r="N33" i="2"/>
  <c r="AX46" i="1"/>
  <c r="AV37" i="1"/>
  <c r="AX37" i="1"/>
  <c r="AW22" i="1"/>
  <c r="AU30" i="1"/>
  <c r="AU22" i="1"/>
  <c r="AU14" i="1"/>
  <c r="AS30" i="1"/>
  <c r="AS46" i="1"/>
  <c r="AW46" i="1"/>
  <c r="AW31" i="1"/>
  <c r="AX22" i="1"/>
  <c r="AW19" i="1"/>
  <c r="AU19" i="1"/>
  <c r="AV30" i="1"/>
  <c r="AX19" i="1"/>
  <c r="AU37" i="1"/>
  <c r="AX45" i="1"/>
  <c r="AU46" i="1"/>
  <c r="AS37" i="1"/>
  <c r="AW37" i="1"/>
  <c r="AV19" i="1"/>
  <c r="AU15" i="1"/>
  <c r="AR15" i="1"/>
  <c r="AY2" i="1" a="1"/>
  <c r="AY2" i="1" s="1"/>
  <c r="BO2" i="1"/>
  <c r="AW38" i="1"/>
  <c r="AU39" i="1"/>
  <c r="AW47" i="1"/>
  <c r="BP2" i="1"/>
  <c r="AS39" i="1"/>
  <c r="AX31" i="1"/>
  <c r="AR31" i="1"/>
  <c r="AS14" i="1"/>
  <c r="AV31" i="1"/>
  <c r="AV14" i="1"/>
  <c r="AV22" i="1"/>
  <c r="AX23" i="1"/>
  <c r="AR23" i="1"/>
  <c r="AX7" i="1"/>
  <c r="AX57" i="1" s="1"/>
  <c r="AR7" i="1"/>
  <c r="AV15" i="1"/>
  <c r="AV39" i="1"/>
  <c r="AS29" i="1"/>
  <c r="AU31" i="1"/>
  <c r="AU38" i="1"/>
  <c r="AV47" i="1"/>
  <c r="AU47" i="1"/>
  <c r="AV38" i="1"/>
  <c r="AX38" i="1"/>
  <c r="AW39" i="1"/>
  <c r="AS6" i="1"/>
  <c r="AV46" i="1"/>
  <c r="Q18" i="2"/>
  <c r="T26" i="2"/>
  <c r="N13" i="2"/>
  <c r="Q7" i="2"/>
  <c r="T21" i="2"/>
  <c r="N47" i="2"/>
  <c r="T31" i="2"/>
  <c r="AS23" i="1"/>
  <c r="AS7" i="1"/>
  <c r="AW7" i="1"/>
  <c r="AW23" i="1"/>
  <c r="AU23" i="1"/>
  <c r="AU7" i="1"/>
  <c r="AS15" i="1"/>
  <c r="AV23" i="1"/>
  <c r="AV7" i="1"/>
  <c r="AX15" i="1"/>
  <c r="AW15" i="1"/>
  <c r="G21" i="2"/>
  <c r="Q38" i="2"/>
  <c r="T17" i="2"/>
  <c r="T24" i="2"/>
  <c r="Q22" i="2"/>
  <c r="Q14" i="2"/>
  <c r="G23" i="2"/>
  <c r="D38" i="2"/>
  <c r="G35" i="2"/>
  <c r="T7" i="2"/>
  <c r="N15" i="2"/>
  <c r="D21" i="2"/>
  <c r="D19" i="2"/>
  <c r="G27" i="2"/>
  <c r="D36" i="2"/>
  <c r="D45" i="2"/>
  <c r="T50" i="2"/>
  <c r="U23" i="2"/>
  <c r="J23" i="2"/>
  <c r="K23" i="2"/>
  <c r="U11" i="2"/>
  <c r="G43" i="2"/>
  <c r="N27" i="2"/>
  <c r="G14" i="2"/>
  <c r="G13" i="2"/>
  <c r="D5" i="2"/>
  <c r="N51" i="2"/>
  <c r="U38" i="2"/>
  <c r="U48" i="2"/>
  <c r="T44" i="2"/>
  <c r="Q24" i="2"/>
  <c r="D20" i="2"/>
  <c r="J43" i="2"/>
  <c r="K43" i="2"/>
  <c r="Q30" i="2"/>
  <c r="T5" i="2"/>
  <c r="D24" i="2"/>
  <c r="Q31" i="2"/>
  <c r="G45" i="2"/>
  <c r="K36" i="2"/>
  <c r="J36" i="2"/>
  <c r="D51" i="2"/>
  <c r="D22" i="2"/>
  <c r="N21" i="2"/>
  <c r="D28" i="2"/>
  <c r="U15" i="2"/>
  <c r="Q9" i="2"/>
  <c r="G42" i="2"/>
  <c r="Q41" i="2"/>
  <c r="N12" i="2"/>
  <c r="K45" i="2"/>
  <c r="J45" i="2"/>
  <c r="K47" i="2"/>
  <c r="J47" i="2"/>
  <c r="G31" i="2"/>
  <c r="U17" i="2"/>
  <c r="Q49" i="2"/>
  <c r="T19" i="2"/>
  <c r="G18" i="2"/>
  <c r="N41" i="2"/>
  <c r="T28" i="2"/>
  <c r="Q21" i="2"/>
  <c r="Q19" i="2"/>
  <c r="N26" i="2"/>
  <c r="T43" i="2"/>
  <c r="G40" i="2"/>
  <c r="J15" i="2"/>
  <c r="K15" i="2"/>
  <c r="T14" i="2"/>
  <c r="Q15" i="2"/>
  <c r="N40" i="2"/>
  <c r="N37" i="2"/>
  <c r="U24" i="2"/>
  <c r="U34" i="2"/>
  <c r="T30" i="2"/>
  <c r="N36" i="2"/>
  <c r="Q11" i="2"/>
  <c r="Q50" i="2"/>
  <c r="U14" i="2"/>
  <c r="J16" i="2"/>
  <c r="K16" i="2"/>
  <c r="Q46" i="2"/>
  <c r="Q39" i="2"/>
  <c r="G8" i="2"/>
  <c r="N17" i="2"/>
  <c r="T32" i="2"/>
  <c r="D29" i="2"/>
  <c r="K48" i="2"/>
  <c r="J48" i="2"/>
  <c r="U39" i="2"/>
  <c r="Q12" i="2"/>
  <c r="Q48" i="2"/>
  <c r="D40" i="2"/>
  <c r="D23" i="2"/>
  <c r="N19" i="2"/>
  <c r="D33" i="2"/>
  <c r="U13" i="2"/>
  <c r="D6" i="2"/>
  <c r="U49" i="2"/>
  <c r="G37" i="2"/>
  <c r="N24" i="2"/>
  <c r="J39" i="2"/>
  <c r="K39" i="2"/>
  <c r="G30" i="2"/>
  <c r="G49" i="2"/>
  <c r="U32" i="2"/>
  <c r="Q35" i="2"/>
  <c r="K25" i="2"/>
  <c r="J25" i="2"/>
  <c r="T29" i="2"/>
  <c r="G26" i="2"/>
  <c r="D14" i="2"/>
  <c r="K40" i="2"/>
  <c r="J40" i="2"/>
  <c r="T39" i="2"/>
  <c r="Q29" i="2"/>
  <c r="N45" i="2"/>
  <c r="J29" i="2"/>
  <c r="K29" i="2"/>
  <c r="D16" i="2"/>
  <c r="N10" i="2"/>
  <c r="D15" i="2"/>
  <c r="Q17" i="2"/>
  <c r="N5" i="2"/>
  <c r="J31" i="2"/>
  <c r="K31" i="2"/>
  <c r="N34" i="2"/>
  <c r="U30" i="2"/>
  <c r="U19" i="2"/>
  <c r="U9" i="2"/>
  <c r="N48" i="2"/>
  <c r="J41" i="2"/>
  <c r="K41" i="2"/>
  <c r="Q25" i="2"/>
  <c r="U12" i="2"/>
  <c r="U51" i="2"/>
  <c r="J51" i="2"/>
  <c r="K51" i="2"/>
  <c r="D18" i="2"/>
  <c r="U40" i="2"/>
  <c r="G28" i="2"/>
  <c r="Q27" i="2"/>
  <c r="J24" i="2"/>
  <c r="K24" i="2"/>
  <c r="G12" i="2"/>
  <c r="G51" i="2"/>
  <c r="N38" i="2"/>
  <c r="T18" i="2"/>
  <c r="G15" i="2"/>
  <c r="D9" i="2"/>
  <c r="U28" i="2"/>
  <c r="N20" i="2"/>
  <c r="Q44" i="2"/>
  <c r="N14" i="2"/>
  <c r="N50" i="2"/>
  <c r="T37" i="2"/>
  <c r="U6" i="2"/>
  <c r="D13" i="2"/>
  <c r="D10" i="2"/>
  <c r="G38" i="2"/>
  <c r="G6" i="2"/>
  <c r="N42" i="2"/>
  <c r="T10" i="2"/>
  <c r="T46" i="2"/>
  <c r="U20" i="2"/>
  <c r="K34" i="2"/>
  <c r="J34" i="2"/>
  <c r="Q43" i="2"/>
  <c r="Q40" i="2"/>
  <c r="J28" i="2"/>
  <c r="K28" i="2"/>
  <c r="N22" i="2"/>
  <c r="K10" i="2"/>
  <c r="J10" i="2"/>
  <c r="K49" i="2"/>
  <c r="J49" i="2"/>
  <c r="Q36" i="2"/>
  <c r="Q32" i="2"/>
  <c r="N23" i="2"/>
  <c r="Q42" i="2"/>
  <c r="G19" i="2"/>
  <c r="N7" i="2"/>
  <c r="U18" i="2"/>
  <c r="Q6" i="2"/>
  <c r="Q45" i="2"/>
  <c r="Q5" i="2"/>
  <c r="U42" i="2"/>
  <c r="Q23" i="2"/>
  <c r="U46" i="2"/>
  <c r="G34" i="2"/>
  <c r="Q33" i="2"/>
  <c r="T15" i="2"/>
  <c r="U10" i="2"/>
  <c r="D30" i="2"/>
  <c r="N29" i="2"/>
  <c r="D43" i="2"/>
  <c r="D46" i="2"/>
  <c r="N39" i="2"/>
  <c r="U35" i="2"/>
  <c r="T23" i="2"/>
  <c r="D11" i="2"/>
  <c r="D50" i="2"/>
  <c r="N49" i="2"/>
  <c r="N11" i="2"/>
  <c r="D39" i="2"/>
  <c r="J26" i="2"/>
  <c r="K26" i="2"/>
  <c r="T25" i="2"/>
  <c r="N9" i="2"/>
  <c r="K11" i="2"/>
  <c r="J11" i="2"/>
  <c r="N28" i="2"/>
  <c r="D31" i="2"/>
  <c r="D41" i="2"/>
  <c r="U22" i="2"/>
  <c r="U25" i="2"/>
  <c r="U45" i="2"/>
  <c r="D12" i="2"/>
  <c r="Q51" i="2"/>
  <c r="D48" i="2"/>
  <c r="K35" i="2"/>
  <c r="J35" i="2"/>
  <c r="G47" i="2"/>
  <c r="G44" i="2"/>
  <c r="N31" i="2"/>
  <c r="J27" i="2"/>
  <c r="K27" i="2"/>
  <c r="U37" i="2"/>
  <c r="J37" i="2"/>
  <c r="K37" i="2"/>
  <c r="U33" i="2"/>
  <c r="Q10" i="2"/>
  <c r="Q37" i="2"/>
  <c r="D34" i="2"/>
  <c r="G9" i="2"/>
  <c r="G48" i="2"/>
  <c r="Q47" i="2"/>
  <c r="G22" i="2"/>
  <c r="T12" i="2"/>
  <c r="T51" i="2"/>
  <c r="G11" i="2"/>
  <c r="Q20" i="2"/>
  <c r="N8" i="2"/>
  <c r="T34" i="2"/>
  <c r="T38" i="2"/>
  <c r="U27" i="2"/>
  <c r="U16" i="2"/>
  <c r="K5" i="2"/>
  <c r="J5" i="2"/>
  <c r="U44" i="2"/>
  <c r="T40" i="2"/>
  <c r="K22" i="2"/>
  <c r="D26" i="2"/>
  <c r="Q13" i="2"/>
  <c r="U5" i="2"/>
  <c r="D17" i="2"/>
  <c r="U4" i="2"/>
  <c r="G16" i="2"/>
  <c r="D7" i="2"/>
  <c r="U8" i="2"/>
  <c r="T35" i="2"/>
  <c r="G32" i="2"/>
  <c r="G20" i="2"/>
  <c r="J7" i="2"/>
  <c r="K7" i="2"/>
  <c r="J46" i="2"/>
  <c r="T45" i="2"/>
  <c r="U36" i="2"/>
  <c r="T6" i="2"/>
  <c r="J13" i="2"/>
  <c r="K13" i="2"/>
  <c r="J50" i="2"/>
  <c r="K50" i="2"/>
  <c r="D27" i="2"/>
  <c r="D8" i="2"/>
  <c r="T33" i="2"/>
  <c r="K44" i="2"/>
  <c r="J44" i="2"/>
  <c r="Q28" i="2"/>
  <c r="N16" i="2"/>
  <c r="T42" i="2"/>
  <c r="W48" i="2"/>
  <c r="K12" i="2"/>
  <c r="J12" i="2"/>
  <c r="U26" i="2"/>
  <c r="T41" i="2"/>
  <c r="D35" i="2"/>
  <c r="J33" i="2"/>
  <c r="K33" i="2"/>
  <c r="U29" i="2"/>
  <c r="D44" i="2"/>
  <c r="G29" i="2"/>
  <c r="G39" i="2"/>
  <c r="K9" i="2"/>
  <c r="J9" i="2"/>
  <c r="G33" i="2"/>
  <c r="G10" i="2"/>
  <c r="T49" i="2"/>
  <c r="G46" i="2"/>
  <c r="T20" i="2"/>
  <c r="K20" i="2"/>
  <c r="J20" i="2"/>
  <c r="U41" i="2"/>
  <c r="T13" i="2"/>
  <c r="N25" i="2"/>
  <c r="U21" i="2"/>
  <c r="N35" i="2"/>
  <c r="Q8" i="2"/>
  <c r="U47" i="2"/>
  <c r="D25" i="2"/>
  <c r="T8" i="2"/>
  <c r="T16" i="2"/>
  <c r="J6" i="2"/>
  <c r="K6" i="2"/>
  <c r="J32" i="2"/>
  <c r="U31" i="2"/>
  <c r="K19" i="2"/>
  <c r="J19" i="2"/>
  <c r="D37" i="2"/>
  <c r="K21" i="2"/>
  <c r="J21" i="2"/>
  <c r="D47" i="2"/>
  <c r="G5" i="2"/>
  <c r="G36" i="2"/>
  <c r="Q26" i="2"/>
  <c r="K8" i="2"/>
  <c r="U43" i="2"/>
  <c r="N18" i="2"/>
  <c r="G50" i="2"/>
  <c r="D49" i="2"/>
  <c r="T9" i="2"/>
  <c r="T48" i="2"/>
  <c r="U50" i="2"/>
  <c r="T36" i="2"/>
  <c r="N30" i="2"/>
  <c r="J18" i="2"/>
  <c r="K18" i="2"/>
  <c r="N44" i="2"/>
  <c r="D32" i="2"/>
  <c r="T11" i="2"/>
  <c r="N46" i="2"/>
  <c r="G25" i="2"/>
  <c r="J14" i="2"/>
  <c r="K14" i="2"/>
  <c r="J30" i="2"/>
  <c r="K30" i="2"/>
  <c r="G24" i="2"/>
  <c r="K42" i="2"/>
  <c r="J42" i="2"/>
  <c r="N6" i="2"/>
  <c r="D42" i="2"/>
  <c r="G17" i="2"/>
  <c r="Q16" i="2"/>
  <c r="T22" i="2"/>
  <c r="J17" i="2"/>
  <c r="K17" i="2"/>
  <c r="N32" i="2"/>
  <c r="K38" i="2"/>
  <c r="J38" i="2"/>
  <c r="V31" i="2"/>
  <c r="AY4" i="1" a="1"/>
  <c r="AY4" i="1" s="1"/>
  <c r="BP23" i="1"/>
  <c r="BP39" i="1"/>
  <c r="BP42" i="1"/>
  <c r="AY19" i="1" a="1"/>
  <c r="AY19" i="1" s="1"/>
  <c r="AY35" i="1" a="1"/>
  <c r="AY35" i="1" s="1"/>
  <c r="BP18" i="1"/>
  <c r="AY42" i="1" a="1"/>
  <c r="AY42" i="1" s="1"/>
  <c r="BP9" i="1"/>
  <c r="AY37" i="1" a="1"/>
  <c r="AY37" i="1" s="1"/>
  <c r="BP17" i="1"/>
  <c r="BP33" i="1"/>
  <c r="BP49" i="1"/>
  <c r="AY49" i="1" a="1"/>
  <c r="AY49" i="1" s="1"/>
  <c r="BP46" i="1"/>
  <c r="BP10" i="1"/>
  <c r="BP7" i="1"/>
  <c r="AY7" i="1" a="1"/>
  <c r="AY7" i="1" s="1"/>
  <c r="BP22" i="1"/>
  <c r="AY22" i="1" a="1"/>
  <c r="AY22" i="1" s="1"/>
  <c r="AY13" i="1" a="1"/>
  <c r="AY13" i="1" s="1"/>
  <c r="AY41" i="1" a="1"/>
  <c r="AY41" i="1" s="1"/>
  <c r="AY33" i="1" a="1"/>
  <c r="AY33" i="1" s="1"/>
  <c r="BP20" i="1"/>
  <c r="BP36" i="1"/>
  <c r="AY36" i="1" a="1"/>
  <c r="AY36" i="1" s="1"/>
  <c r="AY8" i="1" a="1"/>
  <c r="AY8" i="1" s="1"/>
  <c r="BP27" i="1"/>
  <c r="BP43" i="1"/>
  <c r="AY23" i="1" a="1"/>
  <c r="AY23" i="1" s="1"/>
  <c r="AY39" i="1" a="1"/>
  <c r="AY39" i="1" s="1"/>
  <c r="BP26" i="1"/>
  <c r="AY34" i="1" a="1"/>
  <c r="AY34" i="1" s="1"/>
  <c r="AY17" i="1" a="1"/>
  <c r="AY17" i="1" s="1"/>
  <c r="AY45" i="1" a="1"/>
  <c r="AY45" i="1" s="1"/>
  <c r="AY6" i="1" a="1"/>
  <c r="AY6" i="1" s="1"/>
  <c r="BP21" i="1"/>
  <c r="BP37" i="1"/>
  <c r="BP11" i="1"/>
  <c r="BP30" i="1"/>
  <c r="AY11" i="1" a="1"/>
  <c r="AY11" i="1" s="1"/>
  <c r="AY46" i="1" a="1"/>
  <c r="AY46" i="1" s="1"/>
  <c r="AY21" i="1" a="1"/>
  <c r="AY21" i="1" s="1"/>
  <c r="AY28" i="1" a="1"/>
  <c r="AY28" i="1" s="1"/>
  <c r="AY32" i="1" a="1"/>
  <c r="AY32" i="1" s="1"/>
  <c r="BP24" i="1"/>
  <c r="BP40" i="1"/>
  <c r="BP15" i="1"/>
  <c r="BP31" i="1"/>
  <c r="BP47" i="1"/>
  <c r="AY14" i="1" a="1"/>
  <c r="AY14" i="1" s="1"/>
  <c r="AY27" i="1" a="1"/>
  <c r="AY27" i="1" s="1"/>
  <c r="AY43" i="1" a="1"/>
  <c r="AY43" i="1" s="1"/>
  <c r="BP34" i="1"/>
  <c r="AY26" i="1" a="1"/>
  <c r="AY26" i="1" s="1"/>
  <c r="AY25" i="1" a="1"/>
  <c r="AY25" i="1" s="1"/>
  <c r="AY40" i="1" a="1"/>
  <c r="AY40" i="1" s="1"/>
  <c r="AY10" i="1" a="1"/>
  <c r="AY10" i="1" s="1"/>
  <c r="BP25" i="1"/>
  <c r="BP41" i="1"/>
  <c r="AY9" i="1" a="1"/>
  <c r="AY9" i="1" s="1"/>
  <c r="AY16" i="1" a="1"/>
  <c r="AY16" i="1" s="1"/>
  <c r="BN12" i="1"/>
  <c r="BP12" i="1"/>
  <c r="BP38" i="1"/>
  <c r="AY38" i="1" a="1"/>
  <c r="AY38" i="1" s="1"/>
  <c r="AY29" i="1" a="1"/>
  <c r="AY29" i="1" s="1"/>
  <c r="BP28" i="1"/>
  <c r="BP44" i="1"/>
  <c r="BP4" i="1"/>
  <c r="AY20" i="1" a="1"/>
  <c r="AY20" i="1" s="1"/>
  <c r="BP19" i="1"/>
  <c r="BP35" i="1"/>
  <c r="BP6" i="1"/>
  <c r="AY15" i="1" a="1"/>
  <c r="AY15" i="1" s="1"/>
  <c r="AY31" i="1" a="1"/>
  <c r="AY31" i="1" s="1"/>
  <c r="AY47" i="1" a="1"/>
  <c r="AY47" i="1" s="1"/>
  <c r="BP14" i="1"/>
  <c r="AY18" i="1" a="1"/>
  <c r="AY18" i="1" s="1"/>
  <c r="BP13" i="1"/>
  <c r="BP29" i="1"/>
  <c r="BP45" i="1"/>
  <c r="AY44" i="1" a="1"/>
  <c r="AY44" i="1" s="1"/>
  <c r="AY24" i="1" a="1"/>
  <c r="AY24" i="1" s="1"/>
  <c r="BP3" i="1"/>
  <c r="AY3" i="1" a="1"/>
  <c r="AY3" i="1" s="1"/>
  <c r="AY30" i="1" a="1"/>
  <c r="AY30" i="1" s="1"/>
  <c r="AY48" i="1" a="1"/>
  <c r="AY48" i="1" s="1"/>
  <c r="BP16" i="1"/>
  <c r="BP32" i="1"/>
  <c r="BP48" i="1"/>
  <c r="BP8" i="1"/>
  <c r="X6" i="2"/>
  <c r="AB4" i="2"/>
  <c r="BN2" i="1"/>
  <c r="BO6" i="1"/>
  <c r="BO14" i="1"/>
  <c r="BO22" i="1"/>
  <c r="BO30" i="1"/>
  <c r="BO38" i="1"/>
  <c r="BO46" i="1"/>
  <c r="BO19" i="1"/>
  <c r="BO4" i="1"/>
  <c r="BO28" i="1"/>
  <c r="BO44" i="1"/>
  <c r="BO5" i="1"/>
  <c r="BO29" i="1"/>
  <c r="BO45" i="1"/>
  <c r="BO7" i="1"/>
  <c r="BO15" i="1"/>
  <c r="BO23" i="1"/>
  <c r="BO31" i="1"/>
  <c r="BO39" i="1"/>
  <c r="BO47" i="1"/>
  <c r="BO17" i="1"/>
  <c r="BO49" i="1"/>
  <c r="BO10" i="1"/>
  <c r="BO34" i="1"/>
  <c r="BO27" i="1"/>
  <c r="BO43" i="1"/>
  <c r="BO12" i="1"/>
  <c r="BO8" i="1"/>
  <c r="BO16" i="1"/>
  <c r="BO24" i="1"/>
  <c r="BO32" i="1"/>
  <c r="BO40" i="1"/>
  <c r="BO48" i="1"/>
  <c r="BO9" i="1"/>
  <c r="BO33" i="1"/>
  <c r="BO41" i="1"/>
  <c r="BO18" i="1"/>
  <c r="BO42" i="1"/>
  <c r="BO11" i="1"/>
  <c r="BO35" i="1"/>
  <c r="BO20" i="1"/>
  <c r="BO36" i="1"/>
  <c r="BO13" i="1"/>
  <c r="BO21" i="1"/>
  <c r="BO37" i="1"/>
  <c r="BO25" i="1"/>
  <c r="BO26" i="1"/>
  <c r="BO3" i="1"/>
  <c r="V34" i="2"/>
  <c r="AC4" i="2"/>
  <c r="V20" i="2"/>
  <c r="W51" i="2"/>
  <c r="V15" i="2"/>
  <c r="W43" i="2"/>
  <c r="X35" i="2"/>
  <c r="V32" i="2"/>
  <c r="Y13" i="2"/>
  <c r="V45" i="2"/>
  <c r="W13" i="2"/>
  <c r="V21" i="2"/>
  <c r="V27" i="2"/>
  <c r="V10" i="2"/>
  <c r="Y9" i="2"/>
  <c r="Y38" i="2"/>
  <c r="W23" i="2"/>
  <c r="V50" i="2"/>
  <c r="Y21" i="2"/>
  <c r="Y50" i="2"/>
  <c r="Y41" i="2"/>
  <c r="Y27" i="2"/>
  <c r="Y17" i="2"/>
  <c r="Y29" i="2"/>
  <c r="V40" i="2"/>
  <c r="X45" i="2"/>
  <c r="X36" i="2"/>
  <c r="X43" i="2"/>
  <c r="Y33" i="2"/>
  <c r="V37" i="2"/>
  <c r="V43" i="2"/>
  <c r="Y5" i="2"/>
  <c r="Y37" i="2"/>
  <c r="V47" i="2"/>
  <c r="V35" i="2"/>
  <c r="X26" i="2"/>
  <c r="X30" i="2"/>
  <c r="V24" i="2"/>
  <c r="W36" i="2"/>
  <c r="X11" i="2"/>
  <c r="Y25" i="2"/>
  <c r="V16" i="2"/>
  <c r="Y4" i="2"/>
  <c r="W44" i="2"/>
  <c r="Y16" i="2"/>
  <c r="W8" i="2"/>
  <c r="X25" i="2"/>
  <c r="X39" i="2"/>
  <c r="V12" i="2"/>
  <c r="W46" i="2"/>
  <c r="V30" i="2"/>
  <c r="X15" i="2"/>
  <c r="Y18" i="2"/>
  <c r="V8" i="2"/>
  <c r="Y30" i="2"/>
  <c r="Y51" i="2"/>
  <c r="Y15" i="2"/>
  <c r="Y32" i="2"/>
  <c r="Y10" i="2"/>
  <c r="V42" i="2"/>
  <c r="Y35" i="2"/>
  <c r="W50" i="2"/>
  <c r="X49" i="2"/>
  <c r="V38" i="2"/>
  <c r="V6" i="2"/>
  <c r="Y42" i="2"/>
  <c r="Y39" i="2"/>
  <c r="Y36" i="2"/>
  <c r="Y49" i="2"/>
  <c r="V29" i="2"/>
  <c r="V49" i="2"/>
  <c r="Y14" i="2"/>
  <c r="Y46" i="2"/>
  <c r="Y7" i="2"/>
  <c r="Y23" i="2"/>
  <c r="Y43" i="2"/>
  <c r="Y8" i="2"/>
  <c r="Y40" i="2"/>
  <c r="Y47" i="2"/>
  <c r="Y12" i="2"/>
  <c r="Y44" i="2"/>
  <c r="Y48" i="2"/>
  <c r="X7" i="2"/>
  <c r="W12" i="2"/>
  <c r="W32" i="2"/>
  <c r="X32" i="2"/>
  <c r="X13" i="2"/>
  <c r="V17" i="2"/>
  <c r="Y26" i="2"/>
  <c r="Y20" i="2"/>
  <c r="W42" i="2"/>
  <c r="Y11" i="2"/>
  <c r="Y24" i="2"/>
  <c r="V48" i="2"/>
  <c r="W49" i="2"/>
  <c r="Y31" i="2"/>
  <c r="Y28" i="2"/>
  <c r="W14" i="2"/>
  <c r="Y19" i="2"/>
  <c r="Y6" i="2"/>
  <c r="AB7" i="2"/>
  <c r="AF7" i="2"/>
  <c r="AH7" i="2"/>
  <c r="AA7" i="2"/>
  <c r="AA4" i="2"/>
  <c r="AD7" i="2"/>
  <c r="AE7" i="2"/>
  <c r="AI7" i="2"/>
  <c r="AC7" i="2"/>
  <c r="AJ7" i="2"/>
  <c r="AK7" i="2"/>
  <c r="Z7" i="2"/>
  <c r="Z4" i="2"/>
  <c r="AG7" i="2"/>
  <c r="AG21" i="2"/>
  <c r="AE4" i="2"/>
  <c r="AI4" i="2"/>
  <c r="AD4" i="2"/>
  <c r="AK4" i="2"/>
  <c r="AA21" i="2"/>
  <c r="AJ4" i="2"/>
  <c r="AC21" i="2"/>
  <c r="AG4" i="2"/>
  <c r="AF4" i="2"/>
  <c r="Z21" i="2"/>
  <c r="AH4" i="2"/>
  <c r="AD21" i="2"/>
  <c r="J4" i="2"/>
  <c r="D4" i="2"/>
  <c r="G4" i="2"/>
  <c r="K4" i="2"/>
  <c r="N4" i="2"/>
  <c r="Q4" i="2"/>
  <c r="T4" i="2"/>
  <c r="AB10" i="2" l="1"/>
  <c r="BQ2" i="1"/>
  <c r="AL7" i="2"/>
  <c r="Z8" i="2" s="1"/>
  <c r="AH10" i="2"/>
  <c r="AH13" i="2"/>
  <c r="AJ10" i="2"/>
  <c r="AD13" i="2"/>
  <c r="AF13" i="2"/>
  <c r="AF10" i="2"/>
  <c r="AD10" i="2"/>
  <c r="Z10" i="2"/>
  <c r="AJ13" i="2"/>
  <c r="Z13" i="2"/>
  <c r="AM7" i="2"/>
  <c r="AM8" i="2" s="1"/>
  <c r="AB13" i="2"/>
  <c r="AL4" i="2"/>
  <c r="AL5" i="2" s="1"/>
  <c r="AM4" i="2"/>
  <c r="AA5" i="2" s="1"/>
  <c r="AE8" i="2" l="1"/>
  <c r="AG8" i="2"/>
  <c r="AF8" i="2"/>
  <c r="AB8" i="2"/>
  <c r="AH8" i="2"/>
  <c r="AJ8" i="2"/>
  <c r="AA8" i="2"/>
  <c r="AD8" i="2"/>
  <c r="AL8" i="2"/>
  <c r="AI8" i="2"/>
  <c r="AK8" i="2"/>
  <c r="AL10" i="2"/>
  <c r="AB11" i="2" s="1"/>
  <c r="AC8" i="2"/>
  <c r="AL13" i="2"/>
  <c r="AF5" i="2"/>
  <c r="AJ5" i="2"/>
  <c r="AD5" i="2"/>
  <c r="AH5" i="2"/>
  <c r="AB5" i="2"/>
  <c r="Z5" i="2"/>
  <c r="AE5" i="2"/>
  <c r="AM5" i="2"/>
  <c r="AC5" i="2"/>
  <c r="AG5" i="2"/>
  <c r="AI5" i="2"/>
  <c r="AK5" i="2"/>
  <c r="Z11" i="2" l="1"/>
  <c r="AF11" i="2"/>
  <c r="AJ11" i="2"/>
  <c r="AH11" i="2"/>
  <c r="AL14" i="2"/>
  <c r="AD14" i="2"/>
  <c r="AH14" i="2"/>
  <c r="AL11" i="2"/>
  <c r="AJ14" i="2"/>
  <c r="AF14" i="2"/>
  <c r="AB14" i="2"/>
  <c r="Z14" i="2"/>
  <c r="AD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<sst xmlns="http://schemas.openxmlformats.org/spreadsheetml/2006/main" count="141" uniqueCount="101">
  <si>
    <t>post_livestock</t>
  </si>
  <si>
    <t>post_ong</t>
  </si>
  <si>
    <t>post_coal</t>
  </si>
  <si>
    <t>post_landfills</t>
  </si>
  <si>
    <t>post_wastewater</t>
  </si>
  <si>
    <t>post_other_anth</t>
  </si>
  <si>
    <t>diff</t>
  </si>
  <si>
    <t>State</t>
  </si>
  <si>
    <t>Livestock</t>
  </si>
  <si>
    <t>Coal</t>
  </si>
  <si>
    <t>Landfills</t>
  </si>
  <si>
    <t>Wastewater</t>
  </si>
  <si>
    <t>DOFS</t>
  </si>
  <si>
    <t>x̂</t>
  </si>
  <si>
    <t>Other</t>
  </si>
  <si>
    <t>Total</t>
  </si>
  <si>
    <t>Oil &amp; natural gas</t>
  </si>
  <si>
    <t>Diff</t>
  </si>
  <si>
    <t>post_range</t>
  </si>
  <si>
    <t>xhat_range</t>
  </si>
  <si>
    <t>dofs_range</t>
  </si>
  <si>
    <t>prior_frac</t>
  </si>
  <si>
    <t>post_frac</t>
  </si>
  <si>
    <t>Other anthropogenic</t>
  </si>
  <si>
    <t>Percentage of optimized emissions</t>
  </si>
  <si>
    <t>frac_range</t>
  </si>
  <si>
    <t>frac_livestock</t>
  </si>
  <si>
    <t>frac_ong</t>
  </si>
  <si>
    <t>frac_coal</t>
  </si>
  <si>
    <t>frac_landfills</t>
  </si>
  <si>
    <t>frac_wastewater</t>
  </si>
  <si>
    <t>frac_other_anth</t>
  </si>
  <si>
    <t>sig_increase</t>
  </si>
  <si>
    <r>
      <t>Emissions (Gg a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>)</t>
    </r>
  </si>
  <si>
    <r>
      <t>x̂</t>
    </r>
    <r>
      <rPr>
        <sz val="10"/>
        <color theme="1"/>
        <rFont val="Times New Roman"/>
        <family val="1"/>
      </rPr>
      <t>/</t>
    </r>
    <r>
      <rPr>
        <b/>
        <sz val="10"/>
        <color theme="1"/>
        <rFont val="Times New Roman"/>
        <family val="1"/>
      </rPr>
      <t>x</t>
    </r>
    <r>
      <rPr>
        <vertAlign val="subscript"/>
        <sz val="10"/>
        <color theme="1"/>
        <rFont val="Times New Roman"/>
        <family val="1"/>
      </rPr>
      <t>A</t>
    </r>
  </si>
  <si>
    <t>total</t>
  </si>
  <si>
    <t>livestock</t>
  </si>
  <si>
    <t>ong</t>
  </si>
  <si>
    <t>coal</t>
  </si>
  <si>
    <t>landfills</t>
  </si>
  <si>
    <t>wastewater</t>
  </si>
  <si>
    <t>other_anth</t>
  </si>
  <si>
    <t>frac</t>
  </si>
  <si>
    <t>Texas</t>
  </si>
  <si>
    <t>Pennsylvania</t>
  </si>
  <si>
    <t>California</t>
  </si>
  <si>
    <t>Oklahoma</t>
  </si>
  <si>
    <t>West Virginia</t>
  </si>
  <si>
    <t>Kansas</t>
  </si>
  <si>
    <t>Colorado</t>
  </si>
  <si>
    <t>Ohio</t>
  </si>
  <si>
    <t>Iowa</t>
  </si>
  <si>
    <t>Louisiana</t>
  </si>
  <si>
    <t>Nebraska</t>
  </si>
  <si>
    <t>New Mexico</t>
  </si>
  <si>
    <t>Illinois</t>
  </si>
  <si>
    <t>Alabama</t>
  </si>
  <si>
    <t>Wyoming</t>
  </si>
  <si>
    <t>Wisconsin</t>
  </si>
  <si>
    <t>Michigan</t>
  </si>
  <si>
    <t>Florida</t>
  </si>
  <si>
    <t>Kentucky</t>
  </si>
  <si>
    <t>North Carolina</t>
  </si>
  <si>
    <t>New York</t>
  </si>
  <si>
    <t>Virginia</t>
  </si>
  <si>
    <t>Indiana</t>
  </si>
  <si>
    <t>Missouri</t>
  </si>
  <si>
    <t>Georgia</t>
  </si>
  <si>
    <t>Minnesota</t>
  </si>
  <si>
    <t>South Dakota</t>
  </si>
  <si>
    <t>Idaho</t>
  </si>
  <si>
    <t>Montana</t>
  </si>
  <si>
    <t>Arkansas</t>
  </si>
  <si>
    <t>Tennessee</t>
  </si>
  <si>
    <t>North Dakota</t>
  </si>
  <si>
    <t>Washington</t>
  </si>
  <si>
    <t>Utah</t>
  </si>
  <si>
    <t>Arizona</t>
  </si>
  <si>
    <t>Mississippi</t>
  </si>
  <si>
    <t>Oregon</t>
  </si>
  <si>
    <t>South Carolina</t>
  </si>
  <si>
    <t>New Jersey</t>
  </si>
  <si>
    <t>Maryland</t>
  </si>
  <si>
    <t>Nevada</t>
  </si>
  <si>
    <t>Massachusetts</t>
  </si>
  <si>
    <t>Vermont</t>
  </si>
  <si>
    <t>Maine</t>
  </si>
  <si>
    <t>Connecticut</t>
  </si>
  <si>
    <t>New Hampshire</t>
  </si>
  <si>
    <t>Delaware</t>
  </si>
  <si>
    <t>Rhode Island</t>
  </si>
  <si>
    <t>epa_total</t>
  </si>
  <si>
    <t>epa_livestock</t>
  </si>
  <si>
    <t>epa_ong</t>
  </si>
  <si>
    <t>epa_coal</t>
  </si>
  <si>
    <t>epa_landfills</t>
  </si>
  <si>
    <t>epa_wastewater</t>
  </si>
  <si>
    <t>epa_other_anth</t>
  </si>
  <si>
    <t>epa_diff</t>
  </si>
  <si>
    <t>GHGI</t>
  </si>
  <si>
    <t>diff_rel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</si>
</sst>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 tint="-0.14996795556505021"/>
      </bottom>
      <diagonal/>
    </border>
    <border>
      <left/>
      <right/>
      <top style="thin">
        <color theme="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1"/>
      </top>
      <bottom style="thin">
        <color theme="0" tint="-0.149967955565050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1"/>
      </bottom>
      <diagonal/>
    </border>
    <border>
      <left/>
      <right/>
      <top style="thin">
        <color theme="0" tint="-0.14996795556505021"/>
      </top>
      <bottom style="thin">
        <color theme="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 style="thin">
        <color theme="1"/>
      </left>
      <right/>
      <top/>
      <bottom style="thin">
        <color theme="0" tint="-0.14996795556505021"/>
      </bottom>
      <diagonal/>
    </border>
    <border>
      <left/>
      <right style="thin">
        <color theme="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1"/>
      </left>
      <right style="thin">
        <color theme="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 style="thin">
        <color theme="0" tint="-0.149998474074526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1" fontId="19" fillId="0" borderId="0" xfId="0" applyNumberFormat="1" applyFont="1" applyAlignment="1">
      <alignment vertical="center"/>
    </xf>
    <xf numFmtId="1" fontId="0" fillId="0" borderId="0" xfId="0" applyNumberFormat="1"/>
    <xf numFmtId="9" fontId="0" fillId="0" borderId="0" xfId="42" applyFont="1"/>
    <xf numFmtId="0" fontId="23" fillId="0" borderId="0" xfId="0" applyFont="1" applyAlignment="1">
      <alignment horizontal="center" vertical="center"/>
    </xf>
    <xf numFmtId="0" fontId="23" fillId="0" borderId="13" xfId="0" applyFont="1" applyBorder="1" applyAlignment="1">
      <alignment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0" fillId="0" borderId="14" xfId="0" applyBorder="1"/>
    <xf numFmtId="0" fontId="18" fillId="0" borderId="14" xfId="0" applyFont="1" applyBorder="1" applyAlignment="1">
      <alignment horizontal="right"/>
    </xf>
    <xf numFmtId="0" fontId="20" fillId="0" borderId="14" xfId="0" applyFont="1" applyBorder="1"/>
    <xf numFmtId="0" fontId="20" fillId="0" borderId="15" xfId="0" applyFont="1" applyBorder="1"/>
    <xf numFmtId="0" fontId="18" fillId="33" borderId="12" xfId="0" applyFont="1" applyFill="1" applyBorder="1" applyAlignment="1">
      <alignment vertical="center" wrapText="1"/>
    </xf>
    <xf numFmtId="0" fontId="23" fillId="0" borderId="16" xfId="0" applyFont="1" applyBorder="1" applyAlignment="1">
      <alignment vertical="center"/>
    </xf>
    <xf numFmtId="1" fontId="23" fillId="0" borderId="17" xfId="0" applyNumberFormat="1" applyFont="1" applyBorder="1" applyAlignment="1">
      <alignment vertical="center"/>
    </xf>
    <xf numFmtId="2" fontId="23" fillId="0" borderId="17" xfId="0" applyNumberFormat="1" applyFont="1" applyBorder="1" applyAlignment="1">
      <alignment vertical="center"/>
    </xf>
    <xf numFmtId="1" fontId="23" fillId="0" borderId="17" xfId="0" applyNumberFormat="1" applyFont="1" applyBorder="1" applyAlignment="1">
      <alignment horizontal="right" vertical="center"/>
    </xf>
    <xf numFmtId="2" fontId="23" fillId="0" borderId="17" xfId="0" applyNumberFormat="1" applyFont="1" applyBorder="1" applyAlignment="1">
      <alignment horizontal="right" vertical="center"/>
    </xf>
    <xf numFmtId="2" fontId="23" fillId="0" borderId="18" xfId="0" applyNumberFormat="1" applyFont="1" applyBorder="1" applyAlignment="1">
      <alignment horizontal="right" vertical="center"/>
    </xf>
    <xf numFmtId="0" fontId="23" fillId="0" borderId="19" xfId="0" applyFont="1" applyBorder="1" applyAlignment="1">
      <alignment vertical="center"/>
    </xf>
    <xf numFmtId="1" fontId="23" fillId="0" borderId="20" xfId="0" applyNumberFormat="1" applyFont="1" applyBorder="1" applyAlignment="1">
      <alignment vertical="center"/>
    </xf>
    <xf numFmtId="2" fontId="23" fillId="0" borderId="20" xfId="0" applyNumberFormat="1" applyFont="1" applyBorder="1" applyAlignment="1">
      <alignment vertical="center"/>
    </xf>
    <xf numFmtId="1" fontId="23" fillId="0" borderId="20" xfId="0" applyNumberFormat="1" applyFont="1" applyBorder="1" applyAlignment="1">
      <alignment horizontal="right" vertical="center"/>
    </xf>
    <xf numFmtId="2" fontId="23" fillId="0" borderId="20" xfId="0" applyNumberFormat="1" applyFont="1" applyBorder="1" applyAlignment="1">
      <alignment horizontal="right" vertical="center"/>
    </xf>
    <xf numFmtId="2" fontId="23" fillId="0" borderId="21" xfId="0" applyNumberFormat="1" applyFont="1" applyBorder="1" applyAlignment="1">
      <alignment horizontal="right" vertical="center"/>
    </xf>
    <xf numFmtId="0" fontId="23" fillId="0" borderId="22" xfId="0" applyFont="1" applyBorder="1" applyAlignment="1">
      <alignment vertical="center"/>
    </xf>
    <xf numFmtId="1" fontId="23" fillId="0" borderId="23" xfId="0" applyNumberFormat="1" applyFont="1" applyBorder="1" applyAlignment="1">
      <alignment vertical="center"/>
    </xf>
    <xf numFmtId="2" fontId="23" fillId="0" borderId="23" xfId="0" applyNumberFormat="1" applyFont="1" applyBorder="1" applyAlignment="1">
      <alignment vertical="center"/>
    </xf>
    <xf numFmtId="1" fontId="23" fillId="0" borderId="23" xfId="0" applyNumberFormat="1" applyFont="1" applyBorder="1" applyAlignment="1">
      <alignment horizontal="right" vertical="center"/>
    </xf>
    <xf numFmtId="2" fontId="23" fillId="0" borderId="23" xfId="0" applyNumberFormat="1" applyFont="1" applyBorder="1" applyAlignment="1">
      <alignment horizontal="right" vertical="center"/>
    </xf>
    <xf numFmtId="2" fontId="23" fillId="0" borderId="24" xfId="0" applyNumberFormat="1" applyFont="1" applyBorder="1" applyAlignment="1">
      <alignment horizontal="right" vertical="center"/>
    </xf>
    <xf numFmtId="1" fontId="23" fillId="0" borderId="16" xfId="0" applyNumberFormat="1" applyFont="1" applyBorder="1" applyAlignment="1">
      <alignment vertical="center"/>
    </xf>
    <xf numFmtId="1" fontId="23" fillId="0" borderId="18" xfId="0" applyNumberFormat="1" applyFont="1" applyBorder="1" applyAlignment="1">
      <alignment vertical="center"/>
    </xf>
    <xf numFmtId="1" fontId="23" fillId="0" borderId="19" xfId="0" applyNumberFormat="1" applyFont="1" applyBorder="1" applyAlignment="1">
      <alignment vertical="center"/>
    </xf>
    <xf numFmtId="1" fontId="23" fillId="0" borderId="21" xfId="0" applyNumberFormat="1" applyFont="1" applyBorder="1" applyAlignment="1">
      <alignment vertical="center"/>
    </xf>
    <xf numFmtId="1" fontId="23" fillId="0" borderId="22" xfId="0" applyNumberFormat="1" applyFont="1" applyBorder="1" applyAlignment="1">
      <alignment vertical="center"/>
    </xf>
    <xf numFmtId="1" fontId="23" fillId="0" borderId="24" xfId="0" applyNumberFormat="1" applyFont="1" applyBorder="1" applyAlignment="1">
      <alignment vertical="center"/>
    </xf>
    <xf numFmtId="0" fontId="23" fillId="0" borderId="25" xfId="0" applyFont="1" applyBorder="1" applyAlignment="1">
      <alignment vertical="center"/>
    </xf>
    <xf numFmtId="0" fontId="23" fillId="0" borderId="26" xfId="0" applyFont="1" applyBorder="1" applyAlignment="1">
      <alignment vertical="center"/>
    </xf>
    <xf numFmtId="1" fontId="23" fillId="0" borderId="26" xfId="0" applyNumberFormat="1" applyFont="1" applyBorder="1" applyAlignment="1">
      <alignment vertical="center"/>
    </xf>
    <xf numFmtId="1" fontId="23" fillId="0" borderId="27" xfId="0" applyNumberFormat="1" applyFont="1" applyBorder="1" applyAlignment="1">
      <alignment vertical="center"/>
    </xf>
    <xf numFmtId="2" fontId="23" fillId="0" borderId="28" xfId="0" applyNumberFormat="1" applyFont="1" applyBorder="1" applyAlignment="1">
      <alignment vertical="center"/>
    </xf>
    <xf numFmtId="1" fontId="23" fillId="0" borderId="28" xfId="0" applyNumberFormat="1" applyFont="1" applyBorder="1" applyAlignment="1">
      <alignment vertical="center"/>
    </xf>
    <xf numFmtId="1" fontId="23" fillId="0" borderId="28" xfId="0" applyNumberFormat="1" applyFont="1" applyBorder="1" applyAlignment="1">
      <alignment horizontal="right" vertical="center"/>
    </xf>
    <xf numFmtId="2" fontId="23" fillId="0" borderId="28" xfId="0" applyNumberFormat="1" applyFont="1" applyBorder="1" applyAlignment="1">
      <alignment horizontal="right" vertical="center"/>
    </xf>
    <xf numFmtId="2" fontId="23" fillId="0" borderId="27" xfId="0" applyNumberFormat="1" applyFont="1" applyBorder="1" applyAlignment="1">
      <alignment horizontal="right" vertical="center"/>
    </xf>
    <xf numFmtId="0" fontId="21" fillId="0" borderId="13" xfId="0" applyFont="1" applyBorder="1" applyAlignment="1">
      <alignment vertical="center"/>
    </xf>
    <xf numFmtId="0" fontId="21" fillId="0" borderId="13" xfId="0" applyFont="1" applyBorder="1" applyAlignment="1">
      <alignment horizontal="right" vertical="center"/>
    </xf>
    <xf numFmtId="0" fontId="21" fillId="0" borderId="14" xfId="0" applyFont="1" applyBorder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3" fillId="0" borderId="29" xfId="0" applyFont="1" applyBorder="1" applyAlignment="1">
      <alignment vertical="center"/>
    </xf>
    <xf numFmtId="1" fontId="23" fillId="0" borderId="30" xfId="0" applyNumberFormat="1" applyFont="1" applyBorder="1" applyAlignment="1">
      <alignment vertical="center"/>
    </xf>
    <xf numFmtId="1" fontId="23" fillId="0" borderId="31" xfId="0" applyNumberFormat="1" applyFont="1" applyBorder="1" applyAlignment="1">
      <alignment vertical="center"/>
    </xf>
    <xf numFmtId="2" fontId="23" fillId="0" borderId="32" xfId="0" applyNumberFormat="1" applyFont="1" applyBorder="1" applyAlignment="1">
      <alignment vertical="center"/>
    </xf>
    <xf numFmtId="1" fontId="23" fillId="0" borderId="32" xfId="0" applyNumberFormat="1" applyFont="1" applyBorder="1" applyAlignment="1">
      <alignment vertical="center"/>
    </xf>
    <xf numFmtId="1" fontId="23" fillId="0" borderId="32" xfId="0" applyNumberFormat="1" applyFont="1" applyBorder="1" applyAlignment="1">
      <alignment horizontal="right" vertical="center"/>
    </xf>
    <xf numFmtId="2" fontId="23" fillId="0" borderId="32" xfId="0" applyNumberFormat="1" applyFont="1" applyBorder="1" applyAlignment="1">
      <alignment horizontal="right" vertical="center"/>
    </xf>
    <xf numFmtId="2" fontId="23" fillId="0" borderId="31" xfId="0" applyNumberFormat="1" applyFont="1" applyBorder="1" applyAlignment="1">
      <alignment horizontal="right" vertical="center"/>
    </xf>
    <xf numFmtId="0" fontId="21" fillId="0" borderId="10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0" fillId="0" borderId="0" xfId="0" applyAlignment="1">
      <alignment horizontal="center"/>
    </xf>
    <xf numFmtId="0" fontId="21" fillId="0" borderId="10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E9B39"/>
      <color rgb="FF803A08"/>
      <color rgb="FF9085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nnahnesser/Documents/Harvard/Research/TROPOMI_Inversion/inversion_data/states/summ_states.csv" TargetMode="External"/><Relationship Id="rId1" Type="http://schemas.openxmlformats.org/officeDocument/2006/relationships/externalLinkPath" Target="/Users/hannahnesser/Documents/Harvard/Research/TROPOMI_Inversion/inversion_data/states/summ_stat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_states"/>
    </sheetNames>
    <sheetDataSet>
      <sheetData sheetId="0">
        <row r="1">
          <cell r="B1" t="str">
            <v>area</v>
          </cell>
          <cell r="C1" t="str">
            <v>prior_other_anth</v>
          </cell>
          <cell r="D1" t="str">
            <v>prior_wastewater</v>
          </cell>
          <cell r="E1" t="str">
            <v>prior_coal</v>
          </cell>
          <cell r="F1" t="str">
            <v>prior_landfills</v>
          </cell>
          <cell r="G1" t="str">
            <v>prior_livestock</v>
          </cell>
          <cell r="H1" t="str">
            <v>prior_ong</v>
          </cell>
          <cell r="I1" t="str">
            <v>prior_total</v>
          </cell>
          <cell r="J1" t="str">
            <v>post_other_anth</v>
          </cell>
          <cell r="K1" t="str">
            <v>post_wastewater</v>
          </cell>
          <cell r="L1" t="str">
            <v>post_coal</v>
          </cell>
          <cell r="M1" t="str">
            <v>post_landfills</v>
          </cell>
          <cell r="N1" t="str">
            <v>post_livestock</v>
          </cell>
          <cell r="O1" t="str">
            <v>post_ong</v>
          </cell>
          <cell r="P1" t="str">
            <v>post_mean</v>
          </cell>
          <cell r="Q1" t="str">
            <v>post_min</v>
          </cell>
          <cell r="R1" t="str">
            <v>post_max</v>
          </cell>
          <cell r="S1" t="str">
            <v>xhat_mean</v>
          </cell>
          <cell r="T1" t="str">
            <v>xhat_min</v>
          </cell>
          <cell r="U1" t="str">
            <v>xhat_max</v>
          </cell>
          <cell r="V1" t="str">
            <v>diff_mean</v>
          </cell>
          <cell r="W1" t="str">
            <v>diff_min</v>
          </cell>
          <cell r="X1" t="str">
            <v>diff_max</v>
          </cell>
          <cell r="Y1" t="str">
            <v>dofs_mean</v>
          </cell>
          <cell r="Z1" t="str">
            <v>dofs_min</v>
          </cell>
          <cell r="AA1" t="str">
            <v>dofs_max</v>
          </cell>
          <cell r="AB1" t="str">
            <v>pop</v>
          </cell>
          <cell r="AC1" t="str">
            <v>epa_total</v>
          </cell>
          <cell r="AD1" t="str">
            <v>epa_livestock</v>
          </cell>
          <cell r="AE1" t="str">
            <v>epa_ong</v>
          </cell>
          <cell r="AF1" t="str">
            <v>epa_coal</v>
          </cell>
          <cell r="AG1" t="str">
            <v>epa_landfills</v>
          </cell>
          <cell r="AH1" t="str">
            <v>epa_wastewater</v>
          </cell>
          <cell r="AI1" t="str">
            <v>epa_other_anth</v>
          </cell>
          <cell r="AJ1" t="str">
            <v>post_mean_pc</v>
          </cell>
        </row>
        <row r="2">
          <cell r="A2" t="str">
            <v>Texas</v>
          </cell>
          <cell r="B2">
            <v>696300.84190922999</v>
          </cell>
          <cell r="C2">
            <v>85.298883741407394</v>
          </cell>
          <cell r="D2">
            <v>44.3228589424576</v>
          </cell>
          <cell r="E2">
            <v>17.010353253623801</v>
          </cell>
          <cell r="F2">
            <v>480.23390941672398</v>
          </cell>
          <cell r="G2">
            <v>977.24055697914503</v>
          </cell>
          <cell r="H2">
            <v>3545.5613015578301</v>
          </cell>
          <cell r="I2">
            <v>5149.6678638911899</v>
          </cell>
          <cell r="J2">
            <v>109.96787975408699</v>
          </cell>
          <cell r="K2">
            <v>48.256176764904502</v>
          </cell>
          <cell r="L2">
            <v>24.3805214735089</v>
          </cell>
          <cell r="M2">
            <v>627.04528280033105</v>
          </cell>
          <cell r="N2">
            <v>1165.08297331273</v>
          </cell>
          <cell r="O2">
            <v>4298.9073263264499</v>
          </cell>
          <cell r="P2">
            <v>6273.6401604320199</v>
          </cell>
          <cell r="Q2">
            <v>6100.9296170314001</v>
          </cell>
          <cell r="R2">
            <v>6453.5478674095702</v>
          </cell>
          <cell r="S2">
            <v>1.21826112406626</v>
          </cell>
          <cell r="T2">
            <v>1.18472293326144</v>
          </cell>
          <cell r="U2">
            <v>1.2531969124962401</v>
          </cell>
          <cell r="V2">
            <v>1123.97229654082</v>
          </cell>
          <cell r="W2">
            <v>951.26175314020202</v>
          </cell>
          <cell r="X2">
            <v>1303.8800035183699</v>
          </cell>
          <cell r="Y2">
            <v>0.935611551301883</v>
          </cell>
          <cell r="Z2">
            <v>0.90606151816721403</v>
          </cell>
          <cell r="AA2">
            <v>0.96781102344813197</v>
          </cell>
          <cell r="AB2">
            <v>28995881</v>
          </cell>
          <cell r="AC2">
            <v>3969.8564464285701</v>
          </cell>
          <cell r="AD2">
            <v>1023.13831607142</v>
          </cell>
          <cell r="AE2">
            <v>2270.19130178571</v>
          </cell>
          <cell r="AF2">
            <v>9.0114173928571404</v>
          </cell>
          <cell r="AG2">
            <v>512.64482892857097</v>
          </cell>
          <cell r="AH2">
            <v>60.8746054285714</v>
          </cell>
          <cell r="AI2">
            <v>93.995977535714204</v>
          </cell>
          <cell r="AJ2">
            <v>2.1636315035338999E-4</v>
          </cell>
        </row>
        <row r="3">
          <cell r="A3" t="str">
            <v>California</v>
          </cell>
          <cell r="B3">
            <v>419528.14195896598</v>
          </cell>
          <cell r="C3">
            <v>137.85350493356799</v>
          </cell>
          <cell r="D3">
            <v>50.9227318602248</v>
          </cell>
          <cell r="E3">
            <v>0</v>
          </cell>
          <cell r="F3">
            <v>507.90839475567901</v>
          </cell>
          <cell r="G3">
            <v>877.08980386952896</v>
          </cell>
          <cell r="H3">
            <v>190.679394617025</v>
          </cell>
          <cell r="I3">
            <v>1764.45383003602</v>
          </cell>
          <cell r="J3">
            <v>148.362517370879</v>
          </cell>
          <cell r="K3">
            <v>57.877325319065903</v>
          </cell>
          <cell r="L3">
            <v>0</v>
          </cell>
          <cell r="M3">
            <v>514.26394497370904</v>
          </cell>
          <cell r="N3">
            <v>1103.64210464251</v>
          </cell>
          <cell r="O3">
            <v>230.79056996985901</v>
          </cell>
          <cell r="P3">
            <v>2054.9364622760299</v>
          </cell>
          <cell r="Q3">
            <v>1969.7354771475</v>
          </cell>
          <cell r="R3">
            <v>2122.2114655775199</v>
          </cell>
          <cell r="S3">
            <v>1.16463033902908</v>
          </cell>
          <cell r="T3">
            <v>1.11634288390945</v>
          </cell>
          <cell r="U3">
            <v>1.2027582867012001</v>
          </cell>
          <cell r="V3">
            <v>290.48263224000601</v>
          </cell>
          <cell r="W3">
            <v>205.28164711148099</v>
          </cell>
          <cell r="X3">
            <v>357.75763554149199</v>
          </cell>
          <cell r="Y3">
            <v>0.84794387402196503</v>
          </cell>
          <cell r="Z3">
            <v>0.76378075206001195</v>
          </cell>
          <cell r="AA3">
            <v>0.92799994713238398</v>
          </cell>
          <cell r="AB3">
            <v>39512223</v>
          </cell>
          <cell r="AC3">
            <v>1623.32374107142</v>
          </cell>
          <cell r="AD3">
            <v>759.60579142857102</v>
          </cell>
          <cell r="AE3">
            <v>231.03068728571401</v>
          </cell>
          <cell r="AF3">
            <v>0</v>
          </cell>
          <cell r="AG3">
            <v>356.218249678571</v>
          </cell>
          <cell r="AH3">
            <v>58.944358357142796</v>
          </cell>
          <cell r="AI3">
            <v>217.52465432142799</v>
          </cell>
          <cell r="AJ3">
            <v>5.20076145114901E-5</v>
          </cell>
        </row>
        <row r="4">
          <cell r="A4" t="str">
            <v>Oklahoma</v>
          </cell>
          <cell r="B4">
            <v>181251.38394315101</v>
          </cell>
          <cell r="C4">
            <v>5.6667192569985803</v>
          </cell>
          <cell r="D4">
            <v>3.0047687391042301</v>
          </cell>
          <cell r="E4">
            <v>13.1518210652271</v>
          </cell>
          <cell r="F4">
            <v>107.841009695396</v>
          </cell>
          <cell r="G4">
            <v>333.32242556618701</v>
          </cell>
          <cell r="H4">
            <v>635.52164419730298</v>
          </cell>
          <cell r="I4">
            <v>1098.50838852021</v>
          </cell>
          <cell r="J4">
            <v>6.3687895302400603</v>
          </cell>
          <cell r="K4">
            <v>3.1455126765998398</v>
          </cell>
          <cell r="L4">
            <v>20.414922931297198</v>
          </cell>
          <cell r="M4">
            <v>120.789567595479</v>
          </cell>
          <cell r="N4">
            <v>399.17224980996002</v>
          </cell>
          <cell r="O4">
            <v>894.15006633068504</v>
          </cell>
          <cell r="P4">
            <v>1444.0411088742601</v>
          </cell>
          <cell r="Q4">
            <v>1384.18397735912</v>
          </cell>
          <cell r="R4">
            <v>1510.8432981881399</v>
          </cell>
          <cell r="S4">
            <v>1.3145471841316601</v>
          </cell>
          <cell r="T4">
            <v>1.2600577217473301</v>
          </cell>
          <cell r="U4">
            <v>1.37535890847713</v>
          </cell>
          <cell r="V4">
            <v>345.532720354042</v>
          </cell>
          <cell r="W4">
            <v>285.675588838907</v>
          </cell>
          <cell r="X4">
            <v>412.334909667928</v>
          </cell>
          <cell r="Y4">
            <v>0.85557095843181197</v>
          </cell>
          <cell r="Z4">
            <v>0.79027420931349401</v>
          </cell>
          <cell r="AA4">
            <v>0.92317102879359902</v>
          </cell>
          <cell r="AB4">
            <v>3956971</v>
          </cell>
          <cell r="AC4">
            <v>1247.5756325</v>
          </cell>
          <cell r="AD4">
            <v>379.69665142857099</v>
          </cell>
          <cell r="AE4">
            <v>762.65617964285696</v>
          </cell>
          <cell r="AF4">
            <v>3.3555354999999998</v>
          </cell>
          <cell r="AG4">
            <v>86.371345678571402</v>
          </cell>
          <cell r="AH4">
            <v>8.8097633214285693</v>
          </cell>
          <cell r="AI4">
            <v>6.6861569285714202</v>
          </cell>
          <cell r="AJ4">
            <v>3.6493598484150098E-4</v>
          </cell>
        </row>
        <row r="5">
          <cell r="A5" t="str">
            <v>Pennsylvania</v>
          </cell>
          <cell r="B5">
            <v>119030.738739425</v>
          </cell>
          <cell r="C5">
            <v>16.4767680734465</v>
          </cell>
          <cell r="D5">
            <v>16.175389046505501</v>
          </cell>
          <cell r="E5">
            <v>460.75425524034398</v>
          </cell>
          <cell r="F5">
            <v>130.55926670236201</v>
          </cell>
          <cell r="G5">
            <v>164.83512645372301</v>
          </cell>
          <cell r="H5">
            <v>408.641334495781</v>
          </cell>
          <cell r="I5">
            <v>1197.4421400121601</v>
          </cell>
          <cell r="J5">
            <v>20.259300327989301</v>
          </cell>
          <cell r="K5">
            <v>19.738841741146299</v>
          </cell>
          <cell r="L5">
            <v>524.41799690167204</v>
          </cell>
          <cell r="M5">
            <v>196.344279733804</v>
          </cell>
          <cell r="N5">
            <v>195.53427327707701</v>
          </cell>
          <cell r="O5">
            <v>237.734773745572</v>
          </cell>
          <cell r="P5">
            <v>1194.02946572726</v>
          </cell>
          <cell r="Q5">
            <v>1060.9207141762199</v>
          </cell>
          <cell r="R5">
            <v>1383.5827553592001</v>
          </cell>
          <cell r="S5">
            <v>0.99715002990886303</v>
          </cell>
          <cell r="T5">
            <v>0.88598912525781803</v>
          </cell>
          <cell r="U5">
            <v>1.1554485257593701</v>
          </cell>
          <cell r="V5">
            <v>-3.4126742849015499</v>
          </cell>
          <cell r="W5">
            <v>-136.52142583593701</v>
          </cell>
          <cell r="X5">
            <v>186.140615347037</v>
          </cell>
          <cell r="Y5">
            <v>0.54912836120384001</v>
          </cell>
          <cell r="Z5">
            <v>0.38028006664323499</v>
          </cell>
          <cell r="AA5">
            <v>0.77406735836261997</v>
          </cell>
          <cell r="AB5">
            <v>12801989</v>
          </cell>
          <cell r="AC5">
            <v>1629.36586607142</v>
          </cell>
          <cell r="AD5">
            <v>198.78206607142801</v>
          </cell>
          <cell r="AE5">
            <v>776.86058214285697</v>
          </cell>
          <cell r="AF5">
            <v>497.84749499999998</v>
          </cell>
          <cell r="AG5">
            <v>110.305145107142</v>
          </cell>
          <cell r="AH5">
            <v>23.721975892857099</v>
          </cell>
          <cell r="AI5">
            <v>21.8486018571428</v>
          </cell>
          <cell r="AJ5">
            <v>9.3269058872590997E-5</v>
          </cell>
        </row>
        <row r="6">
          <cell r="A6" t="str">
            <v>New Mexico</v>
          </cell>
          <cell r="B6">
            <v>315381.73739672097</v>
          </cell>
          <cell r="C6">
            <v>3.7374411722330199</v>
          </cell>
          <cell r="D6">
            <v>2.0513615977798301</v>
          </cell>
          <cell r="E6">
            <v>39.016268753411197</v>
          </cell>
          <cell r="F6">
            <v>63.635278382430698</v>
          </cell>
          <cell r="G6">
            <v>213.21449304341999</v>
          </cell>
          <cell r="H6">
            <v>945.55737677040997</v>
          </cell>
          <cell r="I6">
            <v>1267.21221971968</v>
          </cell>
          <cell r="J6">
            <v>3.3228366148271</v>
          </cell>
          <cell r="K6">
            <v>1.5910243644114499</v>
          </cell>
          <cell r="L6">
            <v>32.050109741330402</v>
          </cell>
          <cell r="M6">
            <v>-34.084211834014397</v>
          </cell>
          <cell r="N6">
            <v>211.02449903763301</v>
          </cell>
          <cell r="O6">
            <v>924.85679707509701</v>
          </cell>
          <cell r="P6">
            <v>1138.7610549992801</v>
          </cell>
          <cell r="Q6">
            <v>1099.8338935694601</v>
          </cell>
          <cell r="R6">
            <v>1180.17813832459</v>
          </cell>
          <cell r="S6">
            <v>0.89863484369743896</v>
          </cell>
          <cell r="T6">
            <v>0.86791610470166403</v>
          </cell>
          <cell r="U6">
            <v>0.93131846423139797</v>
          </cell>
          <cell r="V6">
            <v>-128.45116472039999</v>
          </cell>
          <cell r="W6">
            <v>-167.37832615022501</v>
          </cell>
          <cell r="X6">
            <v>-87.034081395086702</v>
          </cell>
          <cell r="Y6">
            <v>0.95479810086868599</v>
          </cell>
          <cell r="Z6">
            <v>0.93291329825151503</v>
          </cell>
          <cell r="AA6">
            <v>0.97758183785247899</v>
          </cell>
          <cell r="AB6">
            <v>2096829</v>
          </cell>
          <cell r="AC6">
            <v>729.36398857142797</v>
          </cell>
          <cell r="AD6">
            <v>169.67807424999901</v>
          </cell>
          <cell r="AE6">
            <v>486.63874928571403</v>
          </cell>
          <cell r="AF6">
            <v>28.419270571428498</v>
          </cell>
          <cell r="AG6">
            <v>34.388731785714199</v>
          </cell>
          <cell r="AH6">
            <v>3.8180699285714201</v>
          </cell>
          <cell r="AI6">
            <v>6.4210925000000003</v>
          </cell>
          <cell r="AJ6">
            <v>5.4308723076573501E-4</v>
          </cell>
        </row>
        <row r="7">
          <cell r="A7" t="str">
            <v>Louisiana</v>
          </cell>
          <cell r="B7">
            <v>134788.45474039001</v>
          </cell>
          <cell r="C7">
            <v>114.251207429706</v>
          </cell>
          <cell r="D7">
            <v>7.1406622355128597</v>
          </cell>
          <cell r="E7">
            <v>1.5288317638311499</v>
          </cell>
          <cell r="F7">
            <v>103.696107801899</v>
          </cell>
          <cell r="G7">
            <v>63.015002948614601</v>
          </cell>
          <cell r="H7">
            <v>430.89271946213501</v>
          </cell>
          <cell r="I7">
            <v>720.52453164170095</v>
          </cell>
          <cell r="J7">
            <v>173.958726631785</v>
          </cell>
          <cell r="K7">
            <v>9.0357610268040798</v>
          </cell>
          <cell r="L7">
            <v>1.7327400652975899</v>
          </cell>
          <cell r="M7">
            <v>126.338655404463</v>
          </cell>
          <cell r="N7">
            <v>79.024701518411803</v>
          </cell>
          <cell r="O7">
            <v>730.73108347281197</v>
          </cell>
          <cell r="P7">
            <v>1120.8216681195699</v>
          </cell>
          <cell r="Q7">
            <v>1010.1670667301501</v>
          </cell>
          <cell r="R7">
            <v>1257.66009361019</v>
          </cell>
          <cell r="S7">
            <v>1.55556350810957</v>
          </cell>
          <cell r="T7">
            <v>1.4019884436529899</v>
          </cell>
          <cell r="U7">
            <v>1.7454785206891399</v>
          </cell>
          <cell r="V7">
            <v>400.29713647787298</v>
          </cell>
          <cell r="W7">
            <v>289.64253508845098</v>
          </cell>
          <cell r="X7">
            <v>537.13556196849402</v>
          </cell>
          <cell r="Y7">
            <v>0.54695442619153201</v>
          </cell>
          <cell r="Z7">
            <v>0.36914801512184398</v>
          </cell>
          <cell r="AA7">
            <v>0.75991995843606297</v>
          </cell>
          <cell r="AB7">
            <v>4648794</v>
          </cell>
          <cell r="AC7">
            <v>951.33084499999995</v>
          </cell>
          <cell r="AD7">
            <v>61.670610500000002</v>
          </cell>
          <cell r="AE7">
            <v>627.605404999999</v>
          </cell>
          <cell r="AF7">
            <v>0.69013896428571397</v>
          </cell>
          <cell r="AG7">
            <v>132.51324535714201</v>
          </cell>
          <cell r="AH7">
            <v>10.1029026071428</v>
          </cell>
          <cell r="AI7">
            <v>118.748542321428</v>
          </cell>
          <cell r="AJ7">
            <v>2.41099448183673E-4</v>
          </cell>
        </row>
        <row r="8">
          <cell r="A8" t="str">
            <v>Iowa</v>
          </cell>
          <cell r="B8">
            <v>145701.021602564</v>
          </cell>
          <cell r="C8">
            <v>5.2090864988488903</v>
          </cell>
          <cell r="D8">
            <v>7.5820973878108697</v>
          </cell>
          <cell r="E8">
            <v>0</v>
          </cell>
          <cell r="F8">
            <v>71.7346302898152</v>
          </cell>
          <cell r="G8">
            <v>621.23617024685802</v>
          </cell>
          <cell r="H8">
            <v>37.006190694960303</v>
          </cell>
          <cell r="I8">
            <v>742.76817511829404</v>
          </cell>
          <cell r="J8">
            <v>7.4151287878479701</v>
          </cell>
          <cell r="K8">
            <v>12.966711119269499</v>
          </cell>
          <cell r="L8">
            <v>0</v>
          </cell>
          <cell r="M8">
            <v>116.43266462864</v>
          </cell>
          <cell r="N8">
            <v>792.88102031679102</v>
          </cell>
          <cell r="O8">
            <v>59.063531487134497</v>
          </cell>
          <cell r="P8">
            <v>988.75905633968296</v>
          </cell>
          <cell r="Q8">
            <v>951.96772873309305</v>
          </cell>
          <cell r="R8">
            <v>1010.477035013</v>
          </cell>
          <cell r="S8">
            <v>1.33118123455169</v>
          </cell>
          <cell r="T8">
            <v>1.2816485151393</v>
          </cell>
          <cell r="U8">
            <v>1.36042047688981</v>
          </cell>
          <cell r="V8">
            <v>245.990881221389</v>
          </cell>
          <cell r="W8">
            <v>209.19955361479899</v>
          </cell>
          <cell r="X8">
            <v>267.708859894711</v>
          </cell>
          <cell r="Y8">
            <v>0.73502285378013898</v>
          </cell>
          <cell r="Z8">
            <v>0.58953234777450703</v>
          </cell>
          <cell r="AA8">
            <v>0.87568456517920801</v>
          </cell>
          <cell r="AB8">
            <v>3155070</v>
          </cell>
          <cell r="AC8">
            <v>706.58047464285698</v>
          </cell>
          <cell r="AD8">
            <v>555.41527964285694</v>
          </cell>
          <cell r="AE8">
            <v>56.866154642857097</v>
          </cell>
          <cell r="AF8">
            <v>0</v>
          </cell>
          <cell r="AG8">
            <v>64.696299571428497</v>
          </cell>
          <cell r="AH8">
            <v>23.716033249999999</v>
          </cell>
          <cell r="AI8">
            <v>5.8867073214285703</v>
          </cell>
          <cell r="AJ8">
            <v>3.1338735950063899E-4</v>
          </cell>
        </row>
        <row r="9">
          <cell r="A9" t="str">
            <v>Illinois</v>
          </cell>
          <cell r="B9">
            <v>147590.184681788</v>
          </cell>
          <cell r="C9">
            <v>16.6592548028324</v>
          </cell>
          <cell r="D9">
            <v>28.061355581294599</v>
          </cell>
          <cell r="E9">
            <v>209.468895737536</v>
          </cell>
          <cell r="F9">
            <v>236.75835117426601</v>
          </cell>
          <cell r="G9">
            <v>153.22519964937399</v>
          </cell>
          <cell r="H9">
            <v>86.814315742796097</v>
          </cell>
          <cell r="I9">
            <v>730.98737268809998</v>
          </cell>
          <cell r="J9">
            <v>20.7104589583777</v>
          </cell>
          <cell r="K9">
            <v>36.608588960589302</v>
          </cell>
          <cell r="L9">
            <v>169.83891794362199</v>
          </cell>
          <cell r="M9">
            <v>367.52087746767501</v>
          </cell>
          <cell r="N9">
            <v>191.21044333387499</v>
          </cell>
          <cell r="O9">
            <v>121.05212151056701</v>
          </cell>
          <cell r="P9">
            <v>906.94140817470804</v>
          </cell>
          <cell r="Q9">
            <v>861.91531630096995</v>
          </cell>
          <cell r="R9">
            <v>944.00608279314099</v>
          </cell>
          <cell r="S9">
            <v>1.24070735290482</v>
          </cell>
          <cell r="T9">
            <v>1.17911108796777</v>
          </cell>
          <cell r="U9">
            <v>1.2914122980287499</v>
          </cell>
          <cell r="V9">
            <v>175.95403548660701</v>
          </cell>
          <cell r="W9">
            <v>130.927943612869</v>
          </cell>
          <cell r="X9">
            <v>213.01871010503999</v>
          </cell>
          <cell r="Y9">
            <v>0.53130702136649799</v>
          </cell>
          <cell r="Z9">
            <v>0.327951019512501</v>
          </cell>
          <cell r="AA9">
            <v>0.78560476752019004</v>
          </cell>
          <cell r="AB9">
            <v>12671821</v>
          </cell>
          <cell r="AC9">
            <v>630.16988857142803</v>
          </cell>
          <cell r="AD9">
            <v>159.63096899999999</v>
          </cell>
          <cell r="AE9">
            <v>139.99692996428499</v>
          </cell>
          <cell r="AF9">
            <v>125.625976964285</v>
          </cell>
          <cell r="AG9">
            <v>162.35950321428501</v>
          </cell>
          <cell r="AH9">
            <v>25.0702181071428</v>
          </cell>
          <cell r="AI9">
            <v>17.486291392857101</v>
          </cell>
          <cell r="AJ9">
            <v>7.1571513531852102E-5</v>
          </cell>
        </row>
        <row r="10">
          <cell r="A10" t="str">
            <v>Florida</v>
          </cell>
          <cell r="B10">
            <v>163019.467194417</v>
          </cell>
          <cell r="C10">
            <v>30.449915257277201</v>
          </cell>
          <cell r="D10">
            <v>10.704083725518201</v>
          </cell>
          <cell r="E10">
            <v>0</v>
          </cell>
          <cell r="F10">
            <v>297.36495849352298</v>
          </cell>
          <cell r="G10">
            <v>163.67430766970901</v>
          </cell>
          <cell r="H10">
            <v>18.4668195127751</v>
          </cell>
          <cell r="I10">
            <v>520.66008465880395</v>
          </cell>
          <cell r="J10">
            <v>46.552020854268697</v>
          </cell>
          <cell r="K10">
            <v>15.3248477246329</v>
          </cell>
          <cell r="L10">
            <v>0</v>
          </cell>
          <cell r="M10">
            <v>540.41623187236996</v>
          </cell>
          <cell r="N10">
            <v>249.97944252352099</v>
          </cell>
          <cell r="O10">
            <v>25.699834458563</v>
          </cell>
          <cell r="P10">
            <v>877.97237743335597</v>
          </cell>
          <cell r="Q10">
            <v>699.32139128060805</v>
          </cell>
          <cell r="R10">
            <v>1106.0056972170501</v>
          </cell>
          <cell r="S10">
            <v>1.6862678805284299</v>
          </cell>
          <cell r="T10">
            <v>1.3431438512112599</v>
          </cell>
          <cell r="U10">
            <v>2.1242375396259399</v>
          </cell>
          <cell r="V10">
            <v>357.312292774551</v>
          </cell>
          <cell r="W10">
            <v>178.66130662180399</v>
          </cell>
          <cell r="X10">
            <v>585.34561255824701</v>
          </cell>
          <cell r="Y10">
            <v>0.33701899785643602</v>
          </cell>
          <cell r="Z10">
            <v>0.142425605385539</v>
          </cell>
          <cell r="AA10">
            <v>0.57780082612957095</v>
          </cell>
          <cell r="AB10">
            <v>21477737</v>
          </cell>
          <cell r="AC10">
            <v>584.04707035714205</v>
          </cell>
          <cell r="AD10">
            <v>154.646340964285</v>
          </cell>
          <cell r="AE10">
            <v>56.384702535714197</v>
          </cell>
          <cell r="AF10">
            <v>0</v>
          </cell>
          <cell r="AG10">
            <v>312.985471535714</v>
          </cell>
          <cell r="AH10">
            <v>37.761824285714198</v>
          </cell>
          <cell r="AI10">
            <v>22.268730964285702</v>
          </cell>
          <cell r="AJ10">
            <v>4.0878253487942202E-5</v>
          </cell>
        </row>
        <row r="11">
          <cell r="A11" t="str">
            <v>Kansas</v>
          </cell>
          <cell r="B11">
            <v>213215.02687935799</v>
          </cell>
          <cell r="C11">
            <v>4.2801926256782501</v>
          </cell>
          <cell r="D11">
            <v>10.8250722476111</v>
          </cell>
          <cell r="E11">
            <v>0.29075626543293898</v>
          </cell>
          <cell r="F11">
            <v>84.480846022798303</v>
          </cell>
          <cell r="G11">
            <v>440.14563008965001</v>
          </cell>
          <cell r="H11">
            <v>338.21086605122599</v>
          </cell>
          <cell r="I11">
            <v>878.23336330239795</v>
          </cell>
          <cell r="J11">
            <v>3.1584693908271801</v>
          </cell>
          <cell r="K11">
            <v>9.0149748946213304</v>
          </cell>
          <cell r="L11">
            <v>8.2937014608189197E-2</v>
          </cell>
          <cell r="M11">
            <v>40.576366326111398</v>
          </cell>
          <cell r="N11">
            <v>448.44573660248801</v>
          </cell>
          <cell r="O11">
            <v>358.27488257082803</v>
          </cell>
          <cell r="P11">
            <v>859.55336679948402</v>
          </cell>
          <cell r="Q11">
            <v>838.78251536368202</v>
          </cell>
          <cell r="R11">
            <v>887.60198328128104</v>
          </cell>
          <cell r="S11">
            <v>0.97873003089671795</v>
          </cell>
          <cell r="T11">
            <v>0.95507931082193298</v>
          </cell>
          <cell r="U11">
            <v>1.0106675746679099</v>
          </cell>
          <cell r="V11">
            <v>-18.679996502913198</v>
          </cell>
          <cell r="W11">
            <v>-39.450847938715398</v>
          </cell>
          <cell r="X11">
            <v>9.3686199788836504</v>
          </cell>
          <cell r="Y11">
            <v>0.78510646613700297</v>
          </cell>
          <cell r="Z11">
            <v>0.68966438911017203</v>
          </cell>
          <cell r="AA11">
            <v>0.88834916693808896</v>
          </cell>
          <cell r="AB11">
            <v>2913314</v>
          </cell>
          <cell r="AC11">
            <v>998.57296678571402</v>
          </cell>
          <cell r="AD11">
            <v>490.42694999999998</v>
          </cell>
          <cell r="AE11">
            <v>428.82826499999999</v>
          </cell>
          <cell r="AF11">
            <v>0</v>
          </cell>
          <cell r="AG11">
            <v>54.902161428571397</v>
          </cell>
          <cell r="AH11">
            <v>19.3832440714285</v>
          </cell>
          <cell r="AI11">
            <v>5.0323465357142796</v>
          </cell>
          <cell r="AJ11">
            <v>2.9504315937090302E-4</v>
          </cell>
        </row>
        <row r="12">
          <cell r="A12" t="str">
            <v>Colorado</v>
          </cell>
          <cell r="B12">
            <v>269719.01070513699</v>
          </cell>
          <cell r="C12">
            <v>6.0904969644109004</v>
          </cell>
          <cell r="D12">
            <v>4.2100817387213896</v>
          </cell>
          <cell r="E12">
            <v>175.980593491663</v>
          </cell>
          <cell r="F12">
            <v>112.830881228807</v>
          </cell>
          <cell r="G12">
            <v>254.91433889243399</v>
          </cell>
          <cell r="H12">
            <v>375.87881693800699</v>
          </cell>
          <cell r="I12">
            <v>929.90520925404599</v>
          </cell>
          <cell r="J12">
            <v>5.24086823578312</v>
          </cell>
          <cell r="K12">
            <v>3.7403009758207002</v>
          </cell>
          <cell r="L12">
            <v>102.02377153818</v>
          </cell>
          <cell r="M12">
            <v>110.029624091946</v>
          </cell>
          <cell r="N12">
            <v>232.115122421027</v>
          </cell>
          <cell r="O12">
            <v>350.62172321008302</v>
          </cell>
          <cell r="P12">
            <v>803.77141047284101</v>
          </cell>
          <cell r="Q12">
            <v>740.20538598199698</v>
          </cell>
          <cell r="R12">
            <v>861.27701557050204</v>
          </cell>
          <cell r="S12">
            <v>0.86435843403610202</v>
          </cell>
          <cell r="T12">
            <v>0.79600090268961599</v>
          </cell>
          <cell r="U12">
            <v>0.92619872111632096</v>
          </cell>
          <cell r="V12">
            <v>-126.13379878120401</v>
          </cell>
          <cell r="W12">
            <v>-189.69982327204801</v>
          </cell>
          <cell r="X12">
            <v>-68.628193683543401</v>
          </cell>
          <cell r="Y12">
            <v>0.56566929690701895</v>
          </cell>
          <cell r="Z12">
            <v>0.44686297821492799</v>
          </cell>
          <cell r="AA12">
            <v>0.71081764755244403</v>
          </cell>
          <cell r="AB12">
            <v>5758736</v>
          </cell>
          <cell r="AC12">
            <v>890.80264892857099</v>
          </cell>
          <cell r="AD12">
            <v>262.84391592857099</v>
          </cell>
          <cell r="AE12">
            <v>464.80676107142801</v>
          </cell>
          <cell r="AF12">
            <v>65.0166053214285</v>
          </cell>
          <cell r="AG12">
            <v>73.763657892857097</v>
          </cell>
          <cell r="AH12">
            <v>14.0982402857142</v>
          </cell>
          <cell r="AI12">
            <v>10.273468178571401</v>
          </cell>
          <cell r="AJ12">
            <v>1.3957427645108899E-4</v>
          </cell>
        </row>
        <row r="13">
          <cell r="A13" t="str">
            <v>Michigan</v>
          </cell>
          <cell r="B13">
            <v>175539.17242573501</v>
          </cell>
          <cell r="C13">
            <v>16.289762090516799</v>
          </cell>
          <cell r="D13">
            <v>11.493590534508799</v>
          </cell>
          <cell r="E13">
            <v>0</v>
          </cell>
          <cell r="F13">
            <v>267.62042933854798</v>
          </cell>
          <cell r="G13">
            <v>160.22136712568701</v>
          </cell>
          <cell r="H13">
            <v>112.68999696754</v>
          </cell>
          <cell r="I13">
            <v>568.31514605680195</v>
          </cell>
          <cell r="J13">
            <v>22.282923043139998</v>
          </cell>
          <cell r="K13">
            <v>18.915477791434402</v>
          </cell>
          <cell r="L13">
            <v>0</v>
          </cell>
          <cell r="M13">
            <v>392.41226207367203</v>
          </cell>
          <cell r="N13">
            <v>187.07800011193899</v>
          </cell>
          <cell r="O13">
            <v>121.402673526371</v>
          </cell>
          <cell r="P13">
            <v>742.09133654655705</v>
          </cell>
          <cell r="Q13">
            <v>674.32428343203696</v>
          </cell>
          <cell r="R13">
            <v>813.23769037892498</v>
          </cell>
          <cell r="S13">
            <v>1.30577434315359</v>
          </cell>
          <cell r="T13">
            <v>1.1865323106568</v>
          </cell>
          <cell r="U13">
            <v>1.4309625496020899</v>
          </cell>
          <cell r="V13">
            <v>173.77619048975501</v>
          </cell>
          <cell r="W13">
            <v>106.009137375234</v>
          </cell>
          <cell r="X13">
            <v>244.922544322123</v>
          </cell>
          <cell r="Y13">
            <v>0.48012677900895701</v>
          </cell>
          <cell r="Z13">
            <v>0.25202208409296301</v>
          </cell>
          <cell r="AA13">
            <v>0.742280983059868</v>
          </cell>
          <cell r="AB13">
            <v>9986857</v>
          </cell>
          <cell r="AC13">
            <v>557.00945464285701</v>
          </cell>
          <cell r="AD13">
            <v>181.54699739285701</v>
          </cell>
          <cell r="AE13">
            <v>127.131542392857</v>
          </cell>
          <cell r="AF13">
            <v>0</v>
          </cell>
          <cell r="AG13">
            <v>197.42778167857099</v>
          </cell>
          <cell r="AH13">
            <v>23.386571892857098</v>
          </cell>
          <cell r="AI13">
            <v>27.5165614285714</v>
          </cell>
          <cell r="AJ13">
            <v>7.4306795075423403E-5</v>
          </cell>
        </row>
        <row r="14">
          <cell r="A14" t="str">
            <v>Alabama</v>
          </cell>
          <cell r="B14">
            <v>136013.08515321201</v>
          </cell>
          <cell r="C14">
            <v>10.1556653893711</v>
          </cell>
          <cell r="D14">
            <v>21.088609387893001</v>
          </cell>
          <cell r="E14">
            <v>164.766462016605</v>
          </cell>
          <cell r="F14">
            <v>237.83238480149001</v>
          </cell>
          <cell r="G14">
            <v>101.69161854857499</v>
          </cell>
          <cell r="H14">
            <v>113.04343022368499</v>
          </cell>
          <cell r="I14">
            <v>648.57817036762106</v>
          </cell>
          <cell r="J14">
            <v>10.500529015994401</v>
          </cell>
          <cell r="K14">
            <v>25.0727296915104</v>
          </cell>
          <cell r="L14">
            <v>153.69349758064899</v>
          </cell>
          <cell r="M14">
            <v>259.00218521543002</v>
          </cell>
          <cell r="N14">
            <v>108.66510476916</v>
          </cell>
          <cell r="O14">
            <v>119.58952875525</v>
          </cell>
          <cell r="P14">
            <v>676.52357502799498</v>
          </cell>
          <cell r="Q14">
            <v>628.99570745753397</v>
          </cell>
          <cell r="R14">
            <v>716.69585900869095</v>
          </cell>
          <cell r="S14">
            <v>1.04308718044662</v>
          </cell>
          <cell r="T14">
            <v>0.96980708909924096</v>
          </cell>
          <cell r="U14">
            <v>1.1050261815047799</v>
          </cell>
          <cell r="V14">
            <v>27.945404660374301</v>
          </cell>
          <cell r="W14">
            <v>-19.582462910086601</v>
          </cell>
          <cell r="X14">
            <v>68.117688641069506</v>
          </cell>
          <cell r="Y14">
            <v>0.73051392665447001</v>
          </cell>
          <cell r="Z14">
            <v>0.58611803650890604</v>
          </cell>
          <cell r="AA14">
            <v>0.89317906931361601</v>
          </cell>
          <cell r="AB14">
            <v>4903185</v>
          </cell>
          <cell r="AC14">
            <v>591.56722535714198</v>
          </cell>
          <cell r="AD14">
            <v>101.743488571428</v>
          </cell>
          <cell r="AE14">
            <v>108.07697771428499</v>
          </cell>
          <cell r="AF14">
            <v>183.46791682142799</v>
          </cell>
          <cell r="AG14">
            <v>168.797808857142</v>
          </cell>
          <cell r="AH14">
            <v>19.426814178571401</v>
          </cell>
          <cell r="AI14">
            <v>10.054219178571399</v>
          </cell>
          <cell r="AJ14">
            <v>1.3797635109178899E-4</v>
          </cell>
        </row>
        <row r="15">
          <cell r="A15" t="str">
            <v>North Carolina</v>
          </cell>
          <cell r="B15">
            <v>133657.47415158001</v>
          </cell>
          <cell r="C15">
            <v>11.486436279702099</v>
          </cell>
          <cell r="D15">
            <v>123.189047632401</v>
          </cell>
          <cell r="E15">
            <v>0</v>
          </cell>
          <cell r="F15">
            <v>182.51756258251399</v>
          </cell>
          <cell r="G15">
            <v>252.401626882296</v>
          </cell>
          <cell r="H15">
            <v>23.9026108561294</v>
          </cell>
          <cell r="I15">
            <v>593.49728423304396</v>
          </cell>
          <cell r="J15">
            <v>13.1685180184519</v>
          </cell>
          <cell r="K15">
            <v>16.8922705257147</v>
          </cell>
          <cell r="L15">
            <v>0</v>
          </cell>
          <cell r="M15">
            <v>225.34061041374</v>
          </cell>
          <cell r="N15">
            <v>375.10513372086501</v>
          </cell>
          <cell r="O15">
            <v>23.498596926615999</v>
          </cell>
          <cell r="P15">
            <v>654.00512960538799</v>
          </cell>
          <cell r="Q15">
            <v>547.42335017856203</v>
          </cell>
          <cell r="R15">
            <v>744.49347267540895</v>
          </cell>
          <cell r="S15">
            <v>1.1019513432998</v>
          </cell>
          <cell r="T15">
            <v>0.92236875335660296</v>
          </cell>
          <cell r="U15">
            <v>1.254417656919</v>
          </cell>
          <cell r="V15">
            <v>60.507845372344299</v>
          </cell>
          <cell r="W15">
            <v>-46.073934054481697</v>
          </cell>
          <cell r="X15">
            <v>150.996188442364</v>
          </cell>
          <cell r="Y15">
            <v>0.45441054273582798</v>
          </cell>
          <cell r="Z15">
            <v>0.27942693399750201</v>
          </cell>
          <cell r="AA15">
            <v>0.70464294955158202</v>
          </cell>
          <cell r="AB15">
            <v>10488084</v>
          </cell>
          <cell r="AC15">
            <v>537.87459214285695</v>
          </cell>
          <cell r="AD15">
            <v>265.61441789285698</v>
          </cell>
          <cell r="AE15">
            <v>41.212603714285699</v>
          </cell>
          <cell r="AF15">
            <v>0</v>
          </cell>
          <cell r="AG15">
            <v>186.57082564285699</v>
          </cell>
          <cell r="AH15">
            <v>32.479269821428502</v>
          </cell>
          <cell r="AI15">
            <v>11.997475178571399</v>
          </cell>
          <cell r="AJ15">
            <v>6.2356969071318305E-5</v>
          </cell>
        </row>
        <row r="16">
          <cell r="A16" t="str">
            <v>Ohio</v>
          </cell>
          <cell r="B16">
            <v>111336.73494681501</v>
          </cell>
          <cell r="C16">
            <v>16.282971635671998</v>
          </cell>
          <cell r="D16">
            <v>22.029246853066098</v>
          </cell>
          <cell r="E16">
            <v>94.248988782336994</v>
          </cell>
          <cell r="F16">
            <v>251.789739401091</v>
          </cell>
          <cell r="G16">
            <v>143.43577084844901</v>
          </cell>
          <cell r="H16">
            <v>195.498364333685</v>
          </cell>
          <cell r="I16">
            <v>723.28508185430098</v>
          </cell>
          <cell r="J16">
            <v>16.062962001620701</v>
          </cell>
          <cell r="K16">
            <v>24.347114414100599</v>
          </cell>
          <cell r="L16">
            <v>32.3884762460793</v>
          </cell>
          <cell r="M16">
            <v>243.50773197136101</v>
          </cell>
          <cell r="N16">
            <v>146.009385494235</v>
          </cell>
          <cell r="O16">
            <v>159.63068973916299</v>
          </cell>
          <cell r="P16">
            <v>621.94635986655999</v>
          </cell>
          <cell r="Q16">
            <v>577.97544974286996</v>
          </cell>
          <cell r="R16">
            <v>673.42942011849004</v>
          </cell>
          <cell r="S16">
            <v>0.85989103808426803</v>
          </cell>
          <cell r="T16">
            <v>0.79909770606785102</v>
          </cell>
          <cell r="U16">
            <v>0.93107052393781498</v>
          </cell>
          <cell r="V16">
            <v>-101.33872198774</v>
          </cell>
          <cell r="W16">
            <v>-145.309632111431</v>
          </cell>
          <cell r="X16">
            <v>-49.855661735811502</v>
          </cell>
          <cell r="Y16">
            <v>0.61063957944831204</v>
          </cell>
          <cell r="Z16">
            <v>0.42815440710292602</v>
          </cell>
          <cell r="AA16">
            <v>0.82474526344259902</v>
          </cell>
          <cell r="AB16">
            <v>11689100</v>
          </cell>
          <cell r="AC16">
            <v>747.42284035714295</v>
          </cell>
          <cell r="AD16">
            <v>165.424232678571</v>
          </cell>
          <cell r="AE16">
            <v>326.89101089285703</v>
          </cell>
          <cell r="AF16">
            <v>29.5735038571428</v>
          </cell>
          <cell r="AG16">
            <v>189.001439464285</v>
          </cell>
          <cell r="AH16">
            <v>18.829527142857099</v>
          </cell>
          <cell r="AI16">
            <v>17.703126285714202</v>
          </cell>
          <cell r="AJ16">
            <v>5.3207377802102801E-5</v>
          </cell>
        </row>
        <row r="17">
          <cell r="A17" t="str">
            <v>Indiana</v>
          </cell>
          <cell r="B17">
            <v>94346.700995873107</v>
          </cell>
          <cell r="C17">
            <v>11.161207851220199</v>
          </cell>
          <cell r="D17">
            <v>9.9544743434852805</v>
          </cell>
          <cell r="E17">
            <v>81.999673082823406</v>
          </cell>
          <cell r="F17">
            <v>163.19223126781699</v>
          </cell>
          <cell r="G17">
            <v>126.733073532109</v>
          </cell>
          <cell r="H17">
            <v>44.920803117924898</v>
          </cell>
          <cell r="I17">
            <v>437.96146319538099</v>
          </cell>
          <cell r="J17">
            <v>15.8234694236119</v>
          </cell>
          <cell r="K17">
            <v>16.663720778224299</v>
          </cell>
          <cell r="L17">
            <v>79.470732986249303</v>
          </cell>
          <cell r="M17">
            <v>274.45361496454802</v>
          </cell>
          <cell r="N17">
            <v>169.82441903396</v>
          </cell>
          <cell r="O17">
            <v>60.250019947301297</v>
          </cell>
          <cell r="P17">
            <v>616.48597713389597</v>
          </cell>
          <cell r="Q17">
            <v>561.39742328797797</v>
          </cell>
          <cell r="R17">
            <v>676.084722096203</v>
          </cell>
          <cell r="S17">
            <v>1.4076260788700301</v>
          </cell>
          <cell r="T17">
            <v>1.28184205795643</v>
          </cell>
          <cell r="U17">
            <v>1.54370824584306</v>
          </cell>
          <cell r="V17">
            <v>178.52451393851399</v>
          </cell>
          <cell r="W17">
            <v>123.435960092597</v>
          </cell>
          <cell r="X17">
            <v>238.12325890082201</v>
          </cell>
          <cell r="Y17">
            <v>0.51606402592788503</v>
          </cell>
          <cell r="Z17">
            <v>0.33716118708001402</v>
          </cell>
          <cell r="AA17">
            <v>0.72649044493850901</v>
          </cell>
          <cell r="AB17">
            <v>6732219</v>
          </cell>
          <cell r="AC17">
            <v>499.946398928571</v>
          </cell>
          <cell r="AD17">
            <v>140.45805717857101</v>
          </cell>
          <cell r="AE17">
            <v>83.215895607142798</v>
          </cell>
          <cell r="AF17">
            <v>131.89794874999899</v>
          </cell>
          <cell r="AG17">
            <v>116.593924428571</v>
          </cell>
          <cell r="AH17">
            <v>15.1139256071428</v>
          </cell>
          <cell r="AI17">
            <v>12.6666474285714</v>
          </cell>
          <cell r="AJ17">
            <v>9.1572478128518396E-5</v>
          </cell>
        </row>
        <row r="18">
          <cell r="A18" t="str">
            <v>Nebraska</v>
          </cell>
          <cell r="B18">
            <v>200297.47578692599</v>
          </cell>
          <cell r="C18">
            <v>3.28534991472951</v>
          </cell>
          <cell r="D18">
            <v>5.4452710513316003</v>
          </cell>
          <cell r="E18">
            <v>0</v>
          </cell>
          <cell r="F18">
            <v>40.638541321756598</v>
          </cell>
          <cell r="G18">
            <v>479.63331500082899</v>
          </cell>
          <cell r="H18">
            <v>21.959664885380601</v>
          </cell>
          <cell r="I18">
            <v>550.96214217402701</v>
          </cell>
          <cell r="J18">
            <v>3.4578189296845099</v>
          </cell>
          <cell r="K18">
            <v>4.8260246580856796</v>
          </cell>
          <cell r="L18">
            <v>0</v>
          </cell>
          <cell r="M18">
            <v>45.726200406173099</v>
          </cell>
          <cell r="N18">
            <v>532.76406647314695</v>
          </cell>
          <cell r="O18">
            <v>24.355524587215299</v>
          </cell>
          <cell r="P18">
            <v>611.12963505430503</v>
          </cell>
          <cell r="Q18">
            <v>603.771622416279</v>
          </cell>
          <cell r="R18">
            <v>619.48685394575898</v>
          </cell>
          <cell r="S18">
            <v>1.1092044049394401</v>
          </cell>
          <cell r="T18">
            <v>1.09584956242886</v>
          </cell>
          <cell r="U18">
            <v>1.12437281353187</v>
          </cell>
          <cell r="V18">
            <v>60.167492880277699</v>
          </cell>
          <cell r="W18">
            <v>52.809480242251702</v>
          </cell>
          <cell r="X18">
            <v>68.524711771731901</v>
          </cell>
          <cell r="Y18">
            <v>0.63232721697514205</v>
          </cell>
          <cell r="Z18">
            <v>0.53706467005443204</v>
          </cell>
          <cell r="AA18">
            <v>0.71880557625767305</v>
          </cell>
          <cell r="AB18">
            <v>1934408</v>
          </cell>
          <cell r="AC18">
            <v>650.28647928571399</v>
          </cell>
          <cell r="AD18">
            <v>531.43694857142805</v>
          </cell>
          <cell r="AE18">
            <v>45.399059142857098</v>
          </cell>
          <cell r="AF18">
            <v>0</v>
          </cell>
          <cell r="AG18">
            <v>47.461276821428498</v>
          </cell>
          <cell r="AH18">
            <v>21.732771785714199</v>
          </cell>
          <cell r="AI18">
            <v>4.2564230357142803</v>
          </cell>
          <cell r="AJ18">
            <v>3.1592592413508703E-4</v>
          </cell>
        </row>
        <row r="19">
          <cell r="A19" t="str">
            <v>West Virginia</v>
          </cell>
          <cell r="B19">
            <v>62787.377554144601</v>
          </cell>
          <cell r="C19">
            <v>6.2585775841540299</v>
          </cell>
          <cell r="D19">
            <v>2.1223172564877699</v>
          </cell>
          <cell r="E19">
            <v>815.64709753028501</v>
          </cell>
          <cell r="F19">
            <v>48.7559608689307</v>
          </cell>
          <cell r="G19">
            <v>30.507918065290198</v>
          </cell>
          <cell r="H19">
            <v>239.95192842651699</v>
          </cell>
          <cell r="I19">
            <v>1143.2437997316599</v>
          </cell>
          <cell r="J19">
            <v>4.46406296750932</v>
          </cell>
          <cell r="K19">
            <v>1.73829304004588</v>
          </cell>
          <cell r="L19">
            <v>360.497459274861</v>
          </cell>
          <cell r="M19">
            <v>32.282305982542603</v>
          </cell>
          <cell r="N19">
            <v>25.943982337197198</v>
          </cell>
          <cell r="O19">
            <v>182.06416687342301</v>
          </cell>
          <cell r="P19">
            <v>606.99027047558002</v>
          </cell>
          <cell r="Q19">
            <v>484.71360297032697</v>
          </cell>
          <cell r="R19">
            <v>730.16807448788802</v>
          </cell>
          <cell r="S19">
            <v>0.53093685757845199</v>
          </cell>
          <cell r="T19">
            <v>0.423980959340514</v>
          </cell>
          <cell r="U19">
            <v>0.638680983583089</v>
          </cell>
          <cell r="V19">
            <v>-536.25352925608399</v>
          </cell>
          <cell r="W19">
            <v>-658.53019676133795</v>
          </cell>
          <cell r="X19">
            <v>-413.07572524377599</v>
          </cell>
          <cell r="Y19">
            <v>0.64210909939425898</v>
          </cell>
          <cell r="Z19">
            <v>0.49287797973015901</v>
          </cell>
          <cell r="AA19">
            <v>0.83484925845195401</v>
          </cell>
          <cell r="AB19">
            <v>1792147</v>
          </cell>
          <cell r="AC19">
            <v>943.70942785714203</v>
          </cell>
          <cell r="AD19">
            <v>28.053739071428499</v>
          </cell>
          <cell r="AE19">
            <v>297.985305571428</v>
          </cell>
          <cell r="AF19">
            <v>578.57567571428501</v>
          </cell>
          <cell r="AG19">
            <v>30.167295214285701</v>
          </cell>
          <cell r="AH19">
            <v>4.1977968571428503</v>
          </cell>
          <cell r="AI19">
            <v>4.7296153214285699</v>
          </cell>
          <cell r="AJ19">
            <v>3.3869446561893599E-4</v>
          </cell>
        </row>
        <row r="20">
          <cell r="A20" t="str">
            <v>Arkansas</v>
          </cell>
          <cell r="B20">
            <v>137917.37424069399</v>
          </cell>
          <cell r="C20">
            <v>188.800676549397</v>
          </cell>
          <cell r="D20">
            <v>8.2325242149700006</v>
          </cell>
          <cell r="E20">
            <v>8.8009520656543891</v>
          </cell>
          <cell r="F20">
            <v>92.665560121925907</v>
          </cell>
          <cell r="G20">
            <v>123.500025702432</v>
          </cell>
          <cell r="H20">
            <v>105.230823122987</v>
          </cell>
          <cell r="I20">
            <v>527.23056177736703</v>
          </cell>
          <cell r="J20">
            <v>218.00233773086001</v>
          </cell>
          <cell r="K20">
            <v>10.4809054425419</v>
          </cell>
          <cell r="L20">
            <v>13.421572968788301</v>
          </cell>
          <cell r="M20">
            <v>106.306937931397</v>
          </cell>
          <cell r="N20">
            <v>121.824039583661</v>
          </cell>
          <cell r="O20">
            <v>134.48820188846901</v>
          </cell>
          <cell r="P20">
            <v>604.52399554572003</v>
          </cell>
          <cell r="Q20">
            <v>568.54786130669902</v>
          </cell>
          <cell r="R20">
            <v>636.40995756666803</v>
          </cell>
          <cell r="S20">
            <v>1.14660271875702</v>
          </cell>
          <cell r="T20">
            <v>1.0783666625660799</v>
          </cell>
          <cell r="U20">
            <v>1.2070809313884201</v>
          </cell>
          <cell r="V20">
            <v>77.293433768353495</v>
          </cell>
          <cell r="W20">
            <v>41.317299529332203</v>
          </cell>
          <cell r="X20">
            <v>109.179395789301</v>
          </cell>
          <cell r="Y20">
            <v>0.746402578959936</v>
          </cell>
          <cell r="Z20">
            <v>0.62947737901515599</v>
          </cell>
          <cell r="AA20">
            <v>0.86137904500435702</v>
          </cell>
          <cell r="AB20">
            <v>3017804</v>
          </cell>
          <cell r="AC20">
            <v>607.48834571428495</v>
          </cell>
          <cell r="AD20">
            <v>123.703162964285</v>
          </cell>
          <cell r="AE20">
            <v>168.59133917857099</v>
          </cell>
          <cell r="AF20">
            <v>0</v>
          </cell>
          <cell r="AG20">
            <v>66.041003357142799</v>
          </cell>
          <cell r="AH20">
            <v>16.312539857142799</v>
          </cell>
          <cell r="AI20">
            <v>232.84030028571399</v>
          </cell>
          <cell r="AJ20">
            <v>2.00319171008362E-4</v>
          </cell>
        </row>
        <row r="21">
          <cell r="A21" t="str">
            <v>Georgia</v>
          </cell>
          <cell r="B21">
            <v>153690.073894114</v>
          </cell>
          <cell r="C21">
            <v>11.6706375734434</v>
          </cell>
          <cell r="D21">
            <v>5.3296791766028901</v>
          </cell>
          <cell r="E21">
            <v>2.0974944576993299E-2</v>
          </cell>
          <cell r="F21">
            <v>218.09084219491501</v>
          </cell>
          <cell r="G21">
            <v>108.663543991509</v>
          </cell>
          <cell r="H21">
            <v>32.313097655622798</v>
          </cell>
          <cell r="I21">
            <v>376.08877553667099</v>
          </cell>
          <cell r="J21">
            <v>17.880619201416199</v>
          </cell>
          <cell r="K21">
            <v>8.7006012076952803</v>
          </cell>
          <cell r="L21">
            <v>1.06780534132991E-2</v>
          </cell>
          <cell r="M21">
            <v>373.83444564884098</v>
          </cell>
          <cell r="N21">
            <v>126.77083365312799</v>
          </cell>
          <cell r="O21">
            <v>47.459514047907497</v>
          </cell>
          <cell r="P21">
            <v>574.65669181240196</v>
          </cell>
          <cell r="Q21">
            <v>508.84556811210399</v>
          </cell>
          <cell r="R21">
            <v>655.04565509094095</v>
          </cell>
          <cell r="S21">
            <v>1.5279815011558799</v>
          </cell>
          <cell r="T21">
            <v>1.35299323247813</v>
          </cell>
          <cell r="U21">
            <v>1.74173146793919</v>
          </cell>
          <cell r="V21">
            <v>198.56791627573</v>
          </cell>
          <cell r="W21">
            <v>132.756792575432</v>
          </cell>
          <cell r="X21">
            <v>278.95687955426899</v>
          </cell>
          <cell r="Y21">
            <v>0.57079149598163403</v>
          </cell>
          <cell r="Z21">
            <v>0.43029102957256399</v>
          </cell>
          <cell r="AA21">
            <v>0.729856923338838</v>
          </cell>
          <cell r="AB21">
            <v>10617423</v>
          </cell>
          <cell r="AC21">
            <v>466.18677714285701</v>
          </cell>
          <cell r="AD21">
            <v>113.628775964285</v>
          </cell>
          <cell r="AE21">
            <v>50.921894321428503</v>
          </cell>
          <cell r="AF21">
            <v>0</v>
          </cell>
          <cell r="AG21">
            <v>257.95540371428501</v>
          </cell>
          <cell r="AH21">
            <v>29.6836664642857</v>
          </cell>
          <cell r="AI21">
            <v>13.997036749999999</v>
          </cell>
          <cell r="AJ21">
            <v>5.4123933068542301E-5</v>
          </cell>
        </row>
        <row r="22">
          <cell r="A22" t="str">
            <v>Wisconsin</v>
          </cell>
          <cell r="B22">
            <v>153966.43334027001</v>
          </cell>
          <cell r="C22">
            <v>12.700572763358201</v>
          </cell>
          <cell r="D22">
            <v>8.5132322450109896</v>
          </cell>
          <cell r="E22">
            <v>0</v>
          </cell>
          <cell r="F22">
            <v>102.504235791177</v>
          </cell>
          <cell r="G22">
            <v>380.320958715811</v>
          </cell>
          <cell r="H22">
            <v>15.4524300754838</v>
          </cell>
          <cell r="I22">
            <v>519.49142959084099</v>
          </cell>
          <cell r="J22">
            <v>13.8275422230766</v>
          </cell>
          <cell r="K22">
            <v>8.0159243451277806</v>
          </cell>
          <cell r="L22">
            <v>0</v>
          </cell>
          <cell r="M22">
            <v>113.551232967454</v>
          </cell>
          <cell r="N22">
            <v>407.36047884614402</v>
          </cell>
          <cell r="O22">
            <v>15.9537067882397</v>
          </cell>
          <cell r="P22">
            <v>558.708885170043</v>
          </cell>
          <cell r="Q22">
            <v>517.65406228439304</v>
          </cell>
          <cell r="R22">
            <v>595.16225786992004</v>
          </cell>
          <cell r="S22">
            <v>1.0754920165094699</v>
          </cell>
          <cell r="T22">
            <v>0.99646314221604004</v>
          </cell>
          <cell r="U22">
            <v>1.14566328522239</v>
          </cell>
          <cell r="V22">
            <v>39.217455579201598</v>
          </cell>
          <cell r="W22">
            <v>-1.83736730644841</v>
          </cell>
          <cell r="X22">
            <v>75.670828279078194</v>
          </cell>
          <cell r="Y22">
            <v>0.45493030291862901</v>
          </cell>
          <cell r="Z22">
            <v>0.19665124226628899</v>
          </cell>
          <cell r="AA22">
            <v>0.69365208056567196</v>
          </cell>
          <cell r="AB22">
            <v>5822434</v>
          </cell>
          <cell r="AC22">
            <v>589.29113857142795</v>
          </cell>
          <cell r="AD22">
            <v>423.84099928571402</v>
          </cell>
          <cell r="AE22">
            <v>46.592572178571402</v>
          </cell>
          <cell r="AF22">
            <v>0</v>
          </cell>
          <cell r="AG22">
            <v>85.415491821428503</v>
          </cell>
          <cell r="AH22">
            <v>16.606659000000001</v>
          </cell>
          <cell r="AI22">
            <v>16.8354161785714</v>
          </cell>
          <cell r="AJ22">
            <v>9.5957959363737394E-5</v>
          </cell>
        </row>
        <row r="23">
          <cell r="A23" t="str">
            <v>Idaho</v>
          </cell>
          <cell r="B23">
            <v>216265.85819606201</v>
          </cell>
          <cell r="C23">
            <v>3.1701814914727802</v>
          </cell>
          <cell r="D23">
            <v>1.4595510200286801</v>
          </cell>
          <cell r="E23">
            <v>0</v>
          </cell>
          <cell r="F23">
            <v>164.98244175949301</v>
          </cell>
          <cell r="G23">
            <v>319.42011738368501</v>
          </cell>
          <cell r="H23">
            <v>9.5624936213038492</v>
          </cell>
          <cell r="I23">
            <v>498.59478527598401</v>
          </cell>
          <cell r="J23">
            <v>3.2783057834821698</v>
          </cell>
          <cell r="K23">
            <v>1.5200832223785501</v>
          </cell>
          <cell r="L23">
            <v>0</v>
          </cell>
          <cell r="M23">
            <v>219.46118726306901</v>
          </cell>
          <cell r="N23">
            <v>316.72103019814</v>
          </cell>
          <cell r="O23">
            <v>10.505427936316099</v>
          </cell>
          <cell r="P23">
            <v>551.48603440338604</v>
          </cell>
          <cell r="Q23">
            <v>497.696195750973</v>
          </cell>
          <cell r="R23">
            <v>595.96279864048199</v>
          </cell>
          <cell r="S23">
            <v>1.1060806303822901</v>
          </cell>
          <cell r="T23">
            <v>0.99819775587000203</v>
          </cell>
          <cell r="U23">
            <v>1.19528486105325</v>
          </cell>
          <cell r="V23">
            <v>52.891249127402297</v>
          </cell>
          <cell r="W23">
            <v>-0.89858952501089095</v>
          </cell>
          <cell r="X23">
            <v>97.3680133644976</v>
          </cell>
          <cell r="Y23">
            <v>0.60721526316580898</v>
          </cell>
          <cell r="Z23">
            <v>0.49574402470316398</v>
          </cell>
          <cell r="AA23">
            <v>0.74859878330097596</v>
          </cell>
          <cell r="AB23">
            <v>1787065</v>
          </cell>
          <cell r="AC23">
            <v>362.57268964285697</v>
          </cell>
          <cell r="AD23">
            <v>316.18109185714201</v>
          </cell>
          <cell r="AE23">
            <v>12.9116869642857</v>
          </cell>
          <cell r="AF23">
            <v>0</v>
          </cell>
          <cell r="AG23">
            <v>20.121642392857101</v>
          </cell>
          <cell r="AH23">
            <v>5.0555373928571399</v>
          </cell>
          <cell r="AI23">
            <v>8.3027309999999996</v>
          </cell>
          <cell r="AJ23">
            <v>3.0859875516748702E-4</v>
          </cell>
        </row>
        <row r="24">
          <cell r="A24" t="str">
            <v>Minnesota</v>
          </cell>
          <cell r="B24">
            <v>220512.37964920799</v>
          </cell>
          <cell r="C24">
            <v>8.9023387567249195</v>
          </cell>
          <cell r="D24">
            <v>3.7756736391294301</v>
          </cell>
          <cell r="E24">
            <v>0</v>
          </cell>
          <cell r="F24">
            <v>76.293913261732001</v>
          </cell>
          <cell r="G24">
            <v>291.19111950168099</v>
          </cell>
          <cell r="H24">
            <v>29.8315812615288</v>
          </cell>
          <cell r="I24">
            <v>409.99462642079601</v>
          </cell>
          <cell r="J24">
            <v>9.6514283703846306</v>
          </cell>
          <cell r="K24">
            <v>3.7531212192062702</v>
          </cell>
          <cell r="L24">
            <v>0</v>
          </cell>
          <cell r="M24">
            <v>82.786789272579099</v>
          </cell>
          <cell r="N24">
            <v>381.42598859808999</v>
          </cell>
          <cell r="O24">
            <v>26.254948593724599</v>
          </cell>
          <cell r="P24">
            <v>503.87227605398499</v>
          </cell>
          <cell r="Q24">
            <v>475.29856018885198</v>
          </cell>
          <cell r="R24">
            <v>533.79257798076503</v>
          </cell>
          <cell r="S24">
            <v>1.22897287813923</v>
          </cell>
          <cell r="T24">
            <v>1.1592799748088101</v>
          </cell>
          <cell r="U24">
            <v>1.3019501807638501</v>
          </cell>
          <cell r="V24">
            <v>93.877649633188796</v>
          </cell>
          <cell r="W24">
            <v>65.303933768055899</v>
          </cell>
          <cell r="X24">
            <v>123.797951559968</v>
          </cell>
          <cell r="Y24">
            <v>0.53495762460159402</v>
          </cell>
          <cell r="Z24">
            <v>0.33184374032977698</v>
          </cell>
          <cell r="AA24">
            <v>0.69421461921379601</v>
          </cell>
          <cell r="AB24">
            <v>5639632</v>
          </cell>
          <cell r="AC24">
            <v>430.40139214285699</v>
          </cell>
          <cell r="AD24">
            <v>294.83397085714199</v>
          </cell>
          <cell r="AE24">
            <v>47.952358607142799</v>
          </cell>
          <cell r="AF24">
            <v>0</v>
          </cell>
          <cell r="AG24">
            <v>54.168701892857101</v>
          </cell>
          <cell r="AH24">
            <v>17.897773428571401</v>
          </cell>
          <cell r="AI24">
            <v>15.548587392857099</v>
          </cell>
          <cell r="AJ24">
            <v>8.9344885633315304E-5</v>
          </cell>
        </row>
        <row r="25">
          <cell r="A25" t="str">
            <v>Mississippi</v>
          </cell>
          <cell r="B25">
            <v>125688.65599978001</v>
          </cell>
          <cell r="C25">
            <v>17.279187995984898</v>
          </cell>
          <cell r="D25">
            <v>15.825021209706</v>
          </cell>
          <cell r="E25">
            <v>3.1726975747447699</v>
          </cell>
          <cell r="F25">
            <v>86.744358730320599</v>
          </cell>
          <cell r="G25">
            <v>86.299819337991593</v>
          </cell>
          <cell r="H25">
            <v>97.221431994964405</v>
          </cell>
          <cell r="I25">
            <v>306.54251684371201</v>
          </cell>
          <cell r="J25">
            <v>23.446745418297301</v>
          </cell>
          <cell r="K25">
            <v>24.0761791158431</v>
          </cell>
          <cell r="L25">
            <v>5.8468177271598201</v>
          </cell>
          <cell r="M25">
            <v>133.72168438992401</v>
          </cell>
          <cell r="N25">
            <v>104.239416753565</v>
          </cell>
          <cell r="O25">
            <v>131.604149431769</v>
          </cell>
          <cell r="P25">
            <v>422.93499283655899</v>
          </cell>
          <cell r="Q25">
            <v>379.75735199839801</v>
          </cell>
          <cell r="R25">
            <v>477.90940794081001</v>
          </cell>
          <cell r="S25">
            <v>1.3796943966901301</v>
          </cell>
          <cell r="T25">
            <v>1.23884071909024</v>
          </cell>
          <cell r="U25">
            <v>1.5590313959106299</v>
          </cell>
          <cell r="V25">
            <v>116.392475992847</v>
          </cell>
          <cell r="W25">
            <v>73.214835154685701</v>
          </cell>
          <cell r="X25">
            <v>171.36689109709801</v>
          </cell>
          <cell r="Y25">
            <v>0.55818885056461698</v>
          </cell>
          <cell r="Z25">
            <v>0.35100863797711501</v>
          </cell>
          <cell r="AA25">
            <v>0.75443581954778205</v>
          </cell>
          <cell r="AB25">
            <v>2976149</v>
          </cell>
          <cell r="AC25">
            <v>297.62287946428501</v>
          </cell>
          <cell r="AD25">
            <v>76.593951571428505</v>
          </cell>
          <cell r="AE25">
            <v>90.9444611071428</v>
          </cell>
          <cell r="AF25">
            <v>2.9106664642857099</v>
          </cell>
          <cell r="AG25">
            <v>74.153472357142803</v>
          </cell>
          <cell r="AH25">
            <v>12.863056357142799</v>
          </cell>
          <cell r="AI25">
            <v>40.157271642857097</v>
          </cell>
          <cell r="AJ25">
            <v>1.42108138012095E-4</v>
          </cell>
        </row>
        <row r="26">
          <cell r="A26" t="str">
            <v>New York</v>
          </cell>
          <cell r="B26">
            <v>136705.27298633501</v>
          </cell>
          <cell r="C26">
            <v>19.104207773860701</v>
          </cell>
          <cell r="D26">
            <v>35.239558693693503</v>
          </cell>
          <cell r="E26">
            <v>0</v>
          </cell>
          <cell r="F26">
            <v>139.53376634859001</v>
          </cell>
          <cell r="G26">
            <v>169.63474080921401</v>
          </cell>
          <cell r="H26">
            <v>84.100819648826302</v>
          </cell>
          <cell r="I26">
            <v>447.61309327418502</v>
          </cell>
          <cell r="J26">
            <v>22.944049262694101</v>
          </cell>
          <cell r="K26">
            <v>43.0610814970128</v>
          </cell>
          <cell r="L26">
            <v>0</v>
          </cell>
          <cell r="M26">
            <v>153.50042449249699</v>
          </cell>
          <cell r="N26">
            <v>139.193530441717</v>
          </cell>
          <cell r="O26">
            <v>46.755472423310401</v>
          </cell>
          <cell r="P26">
            <v>405.45455811723298</v>
          </cell>
          <cell r="Q26">
            <v>351.96195738390298</v>
          </cell>
          <cell r="R26">
            <v>444.847604425317</v>
          </cell>
          <cell r="S26">
            <v>0.90581478560295703</v>
          </cell>
          <cell r="T26">
            <v>0.78630844957948698</v>
          </cell>
          <cell r="U26">
            <v>0.99382169804587295</v>
          </cell>
          <cell r="V26">
            <v>-42.158535156952503</v>
          </cell>
          <cell r="W26">
            <v>-95.651135890282305</v>
          </cell>
          <cell r="X26">
            <v>-2.7654888488685199</v>
          </cell>
          <cell r="Y26">
            <v>0.29915100094493202</v>
          </cell>
          <cell r="Z26">
            <v>0.13857213282540601</v>
          </cell>
          <cell r="AA26">
            <v>0.50049790474203604</v>
          </cell>
          <cell r="AB26">
            <v>19453561</v>
          </cell>
          <cell r="AC26">
            <v>533.93187821428501</v>
          </cell>
          <cell r="AD26">
            <v>230.1066165</v>
          </cell>
          <cell r="AE26">
            <v>138.917468428571</v>
          </cell>
          <cell r="AF26">
            <v>0</v>
          </cell>
          <cell r="AG26">
            <v>108.519220035714</v>
          </cell>
          <cell r="AH26">
            <v>29.743526535714199</v>
          </cell>
          <cell r="AI26">
            <v>26.645046821428501</v>
          </cell>
          <cell r="AJ26">
            <v>2.0842176818795901E-5</v>
          </cell>
        </row>
        <row r="27">
          <cell r="A27" t="str">
            <v>Kentucky</v>
          </cell>
          <cell r="B27">
            <v>104663.22921866299</v>
          </cell>
          <cell r="C27">
            <v>7.3938928996895203</v>
          </cell>
          <cell r="D27">
            <v>4.2867569312094496</v>
          </cell>
          <cell r="E27">
            <v>201.77990482347499</v>
          </cell>
          <cell r="F27">
            <v>107.702595182824</v>
          </cell>
          <cell r="G27">
            <v>152.41847321410901</v>
          </cell>
          <cell r="H27">
            <v>92.351065806359301</v>
          </cell>
          <cell r="I27">
            <v>565.93268885766804</v>
          </cell>
          <cell r="J27">
            <v>6.9076772560942503</v>
          </cell>
          <cell r="K27">
            <v>3.8880615063264701</v>
          </cell>
          <cell r="L27">
            <v>69.150986924073294</v>
          </cell>
          <cell r="M27">
            <v>104.734326964473</v>
          </cell>
          <cell r="N27">
            <v>142.95563290750201</v>
          </cell>
          <cell r="O27">
            <v>67.8564487558899</v>
          </cell>
          <cell r="P27">
            <v>395.49313431436002</v>
          </cell>
          <cell r="Q27">
            <v>347.14857067636899</v>
          </cell>
          <cell r="R27">
            <v>448.73261181303798</v>
          </cell>
          <cell r="S27">
            <v>0.69883422905409498</v>
          </cell>
          <cell r="T27">
            <v>0.61340964660847896</v>
          </cell>
          <cell r="U27">
            <v>0.79290809781424998</v>
          </cell>
          <cell r="V27">
            <v>-170.43955454330799</v>
          </cell>
          <cell r="W27">
            <v>-218.78411818129899</v>
          </cell>
          <cell r="X27">
            <v>-117.20007704463001</v>
          </cell>
          <cell r="Y27">
            <v>0.61742992734379498</v>
          </cell>
          <cell r="Z27">
            <v>0.44560788609809399</v>
          </cell>
          <cell r="AA27">
            <v>0.81619638858446297</v>
          </cell>
          <cell r="AB27">
            <v>4467673</v>
          </cell>
          <cell r="AC27">
            <v>511.77812178571401</v>
          </cell>
          <cell r="AD27">
            <v>154.445323357142</v>
          </cell>
          <cell r="AE27">
            <v>114.522882178571</v>
          </cell>
          <cell r="AF27">
            <v>60.955722285714202</v>
          </cell>
          <cell r="AG27">
            <v>159.768547928571</v>
          </cell>
          <cell r="AH27">
            <v>12.6124751428571</v>
          </cell>
          <cell r="AI27">
            <v>9.4731709285714292</v>
          </cell>
          <cell r="AJ27">
            <v>8.8523294859395505E-5</v>
          </cell>
        </row>
        <row r="28">
          <cell r="A28" t="str">
            <v>South Dakota</v>
          </cell>
          <cell r="B28">
            <v>199563.29622530701</v>
          </cell>
          <cell r="C28">
            <v>1.9624438042029799</v>
          </cell>
          <cell r="D28">
            <v>5.4037021832498402</v>
          </cell>
          <cell r="E28">
            <v>0</v>
          </cell>
          <cell r="F28">
            <v>13.4788066562251</v>
          </cell>
          <cell r="G28">
            <v>292.48715249360703</v>
          </cell>
          <cell r="H28">
            <v>8.5745901071961299</v>
          </cell>
          <cell r="I28">
            <v>321.906695244481</v>
          </cell>
          <cell r="J28">
            <v>2.49421862033401</v>
          </cell>
          <cell r="K28">
            <v>11.808672767263801</v>
          </cell>
          <cell r="L28">
            <v>0</v>
          </cell>
          <cell r="M28">
            <v>18.4457936340896</v>
          </cell>
          <cell r="N28">
            <v>347.40684484902698</v>
          </cell>
          <cell r="O28">
            <v>11.560673041964501</v>
          </cell>
          <cell r="P28">
            <v>391.71620291267999</v>
          </cell>
          <cell r="Q28">
            <v>376.35637221932097</v>
          </cell>
          <cell r="R28">
            <v>401.258243555332</v>
          </cell>
          <cell r="S28">
            <v>1.2168625527194401</v>
          </cell>
          <cell r="T28">
            <v>1.16914738891493</v>
          </cell>
          <cell r="U28">
            <v>1.24650480863899</v>
          </cell>
          <cell r="V28">
            <v>69.809507668198705</v>
          </cell>
          <cell r="W28">
            <v>54.449676974839797</v>
          </cell>
          <cell r="X28">
            <v>79.351548310850703</v>
          </cell>
          <cell r="Y28">
            <v>0.40076500720189701</v>
          </cell>
          <cell r="Z28">
            <v>0.27071520937228899</v>
          </cell>
          <cell r="AA28">
            <v>0.52533673052362995</v>
          </cell>
          <cell r="AB28">
            <v>884659</v>
          </cell>
          <cell r="AC28">
            <v>362.13448892857099</v>
          </cell>
          <cell r="AD28">
            <v>332.070043607142</v>
          </cell>
          <cell r="AE28">
            <v>12.2320835714285</v>
          </cell>
          <cell r="AF28">
            <v>0</v>
          </cell>
          <cell r="AG28">
            <v>11.172137107142801</v>
          </cell>
          <cell r="AH28">
            <v>4.7304706428571404</v>
          </cell>
          <cell r="AI28">
            <v>1.92975396428571</v>
          </cell>
          <cell r="AJ28">
            <v>4.4278778932072102E-4</v>
          </cell>
        </row>
        <row r="29">
          <cell r="A29" t="str">
            <v>Missouri</v>
          </cell>
          <cell r="B29">
            <v>180714.91526503899</v>
          </cell>
          <cell r="C29">
            <v>38.5931103716607</v>
          </cell>
          <cell r="D29">
            <v>10.388743200238901</v>
          </cell>
          <cell r="E29">
            <v>0.31061001563861801</v>
          </cell>
          <cell r="F29">
            <v>81.964799786707999</v>
          </cell>
          <cell r="G29">
            <v>291.549561469124</v>
          </cell>
          <cell r="H29">
            <v>16.245706975907101</v>
          </cell>
          <cell r="I29">
            <v>439.05253181927702</v>
          </cell>
          <cell r="J29">
            <v>24.4517056424191</v>
          </cell>
          <cell r="K29">
            <v>8.6944831558914704</v>
          </cell>
          <cell r="L29">
            <v>0.26602535668817701</v>
          </cell>
          <cell r="M29">
            <v>53.546425394484899</v>
          </cell>
          <cell r="N29">
            <v>266.20679272912798</v>
          </cell>
          <cell r="O29">
            <v>13.5483194393251</v>
          </cell>
          <cell r="P29">
            <v>366.71375171793699</v>
          </cell>
          <cell r="Q29">
            <v>339.31553655232602</v>
          </cell>
          <cell r="R29">
            <v>394.482610863969</v>
          </cell>
          <cell r="S29">
            <v>0.83523889544243402</v>
          </cell>
          <cell r="T29">
            <v>0.77283584983856701</v>
          </cell>
          <cell r="U29">
            <v>0.89848613155554202</v>
          </cell>
          <cell r="V29">
            <v>-72.338780101340006</v>
          </cell>
          <cell r="W29">
            <v>-99.736995266951396</v>
          </cell>
          <cell r="X29">
            <v>-44.569920955308199</v>
          </cell>
          <cell r="Y29">
            <v>0.548316513376925</v>
          </cell>
          <cell r="Z29">
            <v>0.43149689011783599</v>
          </cell>
          <cell r="AA29">
            <v>0.69352950572423899</v>
          </cell>
          <cell r="AB29">
            <v>6137428</v>
          </cell>
          <cell r="AC29">
            <v>497.87020428571401</v>
          </cell>
          <cell r="AD29">
            <v>331.16923392857097</v>
          </cell>
          <cell r="AE29">
            <v>41.188154428571401</v>
          </cell>
          <cell r="AF29">
            <v>0.22819314285714201</v>
          </cell>
          <cell r="AG29">
            <v>65.401209249999994</v>
          </cell>
          <cell r="AH29">
            <v>15.93274225</v>
          </cell>
          <cell r="AI29">
            <v>43.950671321428501</v>
          </cell>
          <cell r="AJ29">
            <v>5.9750395722432499E-5</v>
          </cell>
        </row>
        <row r="30">
          <cell r="A30" t="str">
            <v>Virginia</v>
          </cell>
          <cell r="B30">
            <v>110591.492190473</v>
          </cell>
          <cell r="C30">
            <v>11.6977089804572</v>
          </cell>
          <cell r="D30">
            <v>22.631464265653499</v>
          </cell>
          <cell r="E30">
            <v>172.444942108421</v>
          </cell>
          <cell r="F30">
            <v>170.85074763115401</v>
          </cell>
          <cell r="G30">
            <v>111.757451540933</v>
          </cell>
          <cell r="H30">
            <v>60.891241462106699</v>
          </cell>
          <cell r="I30">
            <v>550.273555988726</v>
          </cell>
          <cell r="J30">
            <v>10.5796346914659</v>
          </cell>
          <cell r="K30">
            <v>22.242581248474</v>
          </cell>
          <cell r="L30">
            <v>19.986254453186799</v>
          </cell>
          <cell r="M30">
            <v>169.10405034676501</v>
          </cell>
          <cell r="N30">
            <v>108.84119991460599</v>
          </cell>
          <cell r="O30">
            <v>31.192838906830801</v>
          </cell>
          <cell r="P30">
            <v>361.94655956132902</v>
          </cell>
          <cell r="Q30">
            <v>298.87629100248398</v>
          </cell>
          <cell r="R30">
            <v>428.03373907548701</v>
          </cell>
          <cell r="S30">
            <v>0.65775750192281601</v>
          </cell>
          <cell r="T30">
            <v>0.54314129354347396</v>
          </cell>
          <cell r="U30">
            <v>0.77785627605964103</v>
          </cell>
          <cell r="V30">
            <v>-188.32699642739601</v>
          </cell>
          <cell r="W30">
            <v>-251.39726498624199</v>
          </cell>
          <cell r="X30">
            <v>-122.239816913239</v>
          </cell>
          <cell r="Y30">
            <v>0.54580128119881499</v>
          </cell>
          <cell r="Z30">
            <v>0.38922808093802103</v>
          </cell>
          <cell r="AA30">
            <v>0.75047103750172595</v>
          </cell>
          <cell r="AB30">
            <v>8535519</v>
          </cell>
          <cell r="AC30">
            <v>516.97492749999901</v>
          </cell>
          <cell r="AD30">
            <v>112.21727210714199</v>
          </cell>
          <cell r="AE30">
            <v>78.936625642857095</v>
          </cell>
          <cell r="AF30">
            <v>152.53962678571401</v>
          </cell>
          <cell r="AG30">
            <v>138.19447146428499</v>
          </cell>
          <cell r="AH30">
            <v>20.6980430357142</v>
          </cell>
          <cell r="AI30">
            <v>14.3888885357142</v>
          </cell>
          <cell r="AJ30">
            <v>4.2404751200404997E-5</v>
          </cell>
        </row>
        <row r="31">
          <cell r="A31" t="str">
            <v>Tennessee</v>
          </cell>
          <cell r="B31">
            <v>109280.640841987</v>
          </cell>
          <cell r="C31">
            <v>8.4218013531550895</v>
          </cell>
          <cell r="D31">
            <v>22.561621809731399</v>
          </cell>
          <cell r="E31">
            <v>2.9548167818032001</v>
          </cell>
          <cell r="F31">
            <v>155.77497983639199</v>
          </cell>
          <cell r="G31">
            <v>135.68968579009999</v>
          </cell>
          <cell r="H31">
            <v>38.3612740690157</v>
          </cell>
          <cell r="I31">
            <v>363.76417964019799</v>
          </cell>
          <cell r="J31">
            <v>7.3614088391559003</v>
          </cell>
          <cell r="K31">
            <v>19.508974893422199</v>
          </cell>
          <cell r="L31">
            <v>2.3687132206890098</v>
          </cell>
          <cell r="M31">
            <v>131.92825328117399</v>
          </cell>
          <cell r="N31">
            <v>121.64490813402</v>
          </cell>
          <cell r="O31">
            <v>39.650684687168798</v>
          </cell>
          <cell r="P31">
            <v>322.46294305562998</v>
          </cell>
          <cell r="Q31">
            <v>301.49152908868501</v>
          </cell>
          <cell r="R31">
            <v>349.12690970324701</v>
          </cell>
          <cell r="S31">
            <v>0.88646150749251895</v>
          </cell>
          <cell r="T31">
            <v>0.82881038310834398</v>
          </cell>
          <cell r="U31">
            <v>0.95976165121197798</v>
          </cell>
          <cell r="V31">
            <v>-41.3012365845685</v>
          </cell>
          <cell r="W31">
            <v>-62.272650551512903</v>
          </cell>
          <cell r="X31">
            <v>-14.637269936950901</v>
          </cell>
          <cell r="Y31">
            <v>0.58939974499949899</v>
          </cell>
          <cell r="Z31">
            <v>0.42255128705728301</v>
          </cell>
          <cell r="AA31">
            <v>0.77436443849140402</v>
          </cell>
          <cell r="AB31">
            <v>6829174</v>
          </cell>
          <cell r="AC31">
            <v>327.318800964285</v>
          </cell>
          <cell r="AD31">
            <v>131.665867535714</v>
          </cell>
          <cell r="AE31">
            <v>53.336626392857099</v>
          </cell>
          <cell r="AF31">
            <v>1.74313007142857</v>
          </cell>
          <cell r="AG31">
            <v>115.51817357142799</v>
          </cell>
          <cell r="AH31">
            <v>15.496528</v>
          </cell>
          <cell r="AI31">
            <v>9.55847535714285</v>
          </cell>
          <cell r="AJ31">
            <v>4.7218440042035797E-5</v>
          </cell>
        </row>
        <row r="32">
          <cell r="A32" t="str">
            <v>Montana</v>
          </cell>
          <cell r="B32">
            <v>380284.42003316601</v>
          </cell>
          <cell r="C32">
            <v>2.7477255780448102</v>
          </cell>
          <cell r="D32">
            <v>0.67631429110840702</v>
          </cell>
          <cell r="E32">
            <v>19.9421599641929</v>
          </cell>
          <cell r="F32">
            <v>18.708288329804699</v>
          </cell>
          <cell r="G32">
            <v>211.697778507473</v>
          </cell>
          <cell r="H32">
            <v>69.6111359522518</v>
          </cell>
          <cell r="I32">
            <v>323.38340262287602</v>
          </cell>
          <cell r="J32">
            <v>2.7180194732562502</v>
          </cell>
          <cell r="K32">
            <v>0.67566328687543697</v>
          </cell>
          <cell r="L32">
            <v>10.4158957033205</v>
          </cell>
          <cell r="M32">
            <v>18.712377189039799</v>
          </cell>
          <cell r="N32">
            <v>211.085433224837</v>
          </cell>
          <cell r="O32">
            <v>62.754932823133302</v>
          </cell>
          <cell r="P32">
            <v>306.36232170046299</v>
          </cell>
          <cell r="Q32">
            <v>291.89210677394101</v>
          </cell>
          <cell r="R32">
            <v>322.09122182785302</v>
          </cell>
          <cell r="S32">
            <v>0.94736563229788595</v>
          </cell>
          <cell r="T32">
            <v>0.90261931937904805</v>
          </cell>
          <cell r="U32">
            <v>0.99600418331756602</v>
          </cell>
          <cell r="V32">
            <v>-17.021080922412999</v>
          </cell>
          <cell r="W32">
            <v>-31.491295848934801</v>
          </cell>
          <cell r="X32">
            <v>-1.29218079502271</v>
          </cell>
          <cell r="Y32">
            <v>0.29787734052946702</v>
          </cell>
          <cell r="Z32">
            <v>0.22639959005053001</v>
          </cell>
          <cell r="AA32">
            <v>0.382094322046446</v>
          </cell>
          <cell r="AB32">
            <v>1068778</v>
          </cell>
          <cell r="AC32">
            <v>333.41797550000001</v>
          </cell>
          <cell r="AD32">
            <v>214.65000189285701</v>
          </cell>
          <cell r="AE32">
            <v>75.947826821428507</v>
          </cell>
          <cell r="AF32">
            <v>19.9901775714285</v>
          </cell>
          <cell r="AG32">
            <v>13.311863071428499</v>
          </cell>
          <cell r="AH32">
            <v>1.64130503571428</v>
          </cell>
          <cell r="AI32">
            <v>7.8768010357142799</v>
          </cell>
          <cell r="AJ32">
            <v>2.8664729410641198E-4</v>
          </cell>
        </row>
        <row r="33">
          <cell r="A33" t="str">
            <v>North Dakota</v>
          </cell>
          <cell r="B33">
            <v>182822.71916501701</v>
          </cell>
          <cell r="C33">
            <v>2.3636492117863401</v>
          </cell>
          <cell r="D33">
            <v>1.5245160782212599</v>
          </cell>
          <cell r="E33">
            <v>5.57440118321162</v>
          </cell>
          <cell r="F33">
            <v>24.682432009097401</v>
          </cell>
          <cell r="G33">
            <v>123.00922562189299</v>
          </cell>
          <cell r="H33">
            <v>136.81515190106799</v>
          </cell>
          <cell r="I33">
            <v>293.96937600527798</v>
          </cell>
          <cell r="J33">
            <v>2.3821403221937598</v>
          </cell>
          <cell r="K33">
            <v>1.5286333045759599</v>
          </cell>
          <cell r="L33">
            <v>5.8675962703318802</v>
          </cell>
          <cell r="M33">
            <v>25.542081228456201</v>
          </cell>
          <cell r="N33">
            <v>123.766137552307</v>
          </cell>
          <cell r="O33">
            <v>140.689406802013</v>
          </cell>
          <cell r="P33">
            <v>299.77599547987802</v>
          </cell>
          <cell r="Q33">
            <v>286.23333602059</v>
          </cell>
          <cell r="R33">
            <v>317.498068162945</v>
          </cell>
          <cell r="S33">
            <v>1.0197524638569599</v>
          </cell>
          <cell r="T33">
            <v>0.97368419768816605</v>
          </cell>
          <cell r="U33">
            <v>1.08003790216993</v>
          </cell>
          <cell r="V33">
            <v>5.80661947459968</v>
          </cell>
          <cell r="W33">
            <v>-7.7360399846880901</v>
          </cell>
          <cell r="X33">
            <v>23.528692157666601</v>
          </cell>
          <cell r="Y33">
            <v>0.579814223680163</v>
          </cell>
          <cell r="Z33">
            <v>0.46718707346367699</v>
          </cell>
          <cell r="AA33">
            <v>0.70026770237661695</v>
          </cell>
          <cell r="AB33">
            <v>762062</v>
          </cell>
          <cell r="AC33">
            <v>307.07611903571399</v>
          </cell>
          <cell r="AD33">
            <v>135.584248607142</v>
          </cell>
          <cell r="AE33">
            <v>143.48071957142801</v>
          </cell>
          <cell r="AF33">
            <v>5.3139944999999997</v>
          </cell>
          <cell r="AG33">
            <v>18.278781964285699</v>
          </cell>
          <cell r="AH33">
            <v>1.53474982142857</v>
          </cell>
          <cell r="AI33">
            <v>2.8836245357142798</v>
          </cell>
          <cell r="AJ33">
            <v>3.9337481134064998E-4</v>
          </cell>
        </row>
        <row r="34">
          <cell r="A34" t="str">
            <v>Washington</v>
          </cell>
          <cell r="B34">
            <v>183739.45101275199</v>
          </cell>
          <cell r="C34">
            <v>13.1823846045236</v>
          </cell>
          <cell r="D34">
            <v>13.288864229403099</v>
          </cell>
          <cell r="E34">
            <v>0</v>
          </cell>
          <cell r="F34">
            <v>83.960624385249005</v>
          </cell>
          <cell r="G34">
            <v>142.85004699999101</v>
          </cell>
          <cell r="H34">
            <v>19.690198795648602</v>
          </cell>
          <cell r="I34">
            <v>272.97211901481597</v>
          </cell>
          <cell r="J34">
            <v>13.0105083133055</v>
          </cell>
          <cell r="K34">
            <v>13.628673497665099</v>
          </cell>
          <cell r="L34">
            <v>0</v>
          </cell>
          <cell r="M34">
            <v>97.515335426735007</v>
          </cell>
          <cell r="N34">
            <v>148.90163226505399</v>
          </cell>
          <cell r="O34">
            <v>20.1580252515136</v>
          </cell>
          <cell r="P34">
            <v>293.21417475427302</v>
          </cell>
          <cell r="Q34">
            <v>269.11315605529302</v>
          </cell>
          <cell r="R34">
            <v>336.717091941528</v>
          </cell>
          <cell r="S34">
            <v>1.07415429756164</v>
          </cell>
          <cell r="T34">
            <v>0.98586316077462299</v>
          </cell>
          <cell r="U34">
            <v>1.2335219184903301</v>
          </cell>
          <cell r="V34">
            <v>20.2420557394573</v>
          </cell>
          <cell r="W34">
            <v>-3.85896295952289</v>
          </cell>
          <cell r="X34">
            <v>63.744972926711696</v>
          </cell>
          <cell r="Y34">
            <v>8.8970295695464399E-2</v>
          </cell>
          <cell r="Z34">
            <v>4.8245965907064002E-2</v>
          </cell>
          <cell r="AA34">
            <v>0.13992342124896501</v>
          </cell>
          <cell r="AB34">
            <v>7614893</v>
          </cell>
          <cell r="AC34">
            <v>283.61251692857098</v>
          </cell>
          <cell r="AD34">
            <v>147.28777485714201</v>
          </cell>
          <cell r="AE34">
            <v>25.5845877142857</v>
          </cell>
          <cell r="AF34">
            <v>0</v>
          </cell>
          <cell r="AG34">
            <v>71.019829499999901</v>
          </cell>
          <cell r="AH34">
            <v>18.224232749999999</v>
          </cell>
          <cell r="AI34">
            <v>21.4960921071428</v>
          </cell>
          <cell r="AJ34">
            <v>3.8505357167103102E-5</v>
          </cell>
        </row>
        <row r="35">
          <cell r="A35" t="str">
            <v>Utah</v>
          </cell>
          <cell r="B35">
            <v>219962.34016571101</v>
          </cell>
          <cell r="C35">
            <v>2.6200244965522801</v>
          </cell>
          <cell r="D35">
            <v>0.25629743297142099</v>
          </cell>
          <cell r="E35">
            <v>118.806618454689</v>
          </cell>
          <cell r="F35">
            <v>50.532958469674398</v>
          </cell>
          <cell r="G35">
            <v>102.03247842090801</v>
          </cell>
          <cell r="H35">
            <v>134.039986536318</v>
          </cell>
          <cell r="I35">
            <v>408.28836381111302</v>
          </cell>
          <cell r="J35">
            <v>2.5664835989335701</v>
          </cell>
          <cell r="K35">
            <v>0.23708716820148901</v>
          </cell>
          <cell r="L35">
            <v>79.157438984509298</v>
          </cell>
          <cell r="M35">
            <v>49.101194746161802</v>
          </cell>
          <cell r="N35">
            <v>104.97422260605801</v>
          </cell>
          <cell r="O35">
            <v>48.7305198213922</v>
          </cell>
          <cell r="P35">
            <v>284.766946925257</v>
          </cell>
          <cell r="Q35">
            <v>248.30038190700699</v>
          </cell>
          <cell r="R35">
            <v>336.46804314187102</v>
          </cell>
          <cell r="S35">
            <v>0.69746525290884498</v>
          </cell>
          <cell r="T35">
            <v>0.60814954310546698</v>
          </cell>
          <cell r="U35">
            <v>0.824094127986297</v>
          </cell>
          <cell r="V35">
            <v>-123.521416885856</v>
          </cell>
          <cell r="W35">
            <v>-159.98798190410599</v>
          </cell>
          <cell r="X35">
            <v>-71.820320669241696</v>
          </cell>
          <cell r="Y35">
            <v>0.719315418396411</v>
          </cell>
          <cell r="Z35">
            <v>0.58636837676321196</v>
          </cell>
          <cell r="AA35">
            <v>0.86828813555609896</v>
          </cell>
          <cell r="AB35">
            <v>3205958</v>
          </cell>
          <cell r="AC35">
            <v>292.21572646428501</v>
          </cell>
          <cell r="AD35">
            <v>91.820475857142796</v>
          </cell>
          <cell r="AE35">
            <v>129.274446821428</v>
          </cell>
          <cell r="AF35">
            <v>27.8316096785714</v>
          </cell>
          <cell r="AG35">
            <v>32.066995428571403</v>
          </cell>
          <cell r="AH35">
            <v>5.7726801428571397</v>
          </cell>
          <cell r="AI35">
            <v>5.4495185357142804</v>
          </cell>
          <cell r="AJ35">
            <v>8.8824291186989006E-5</v>
          </cell>
        </row>
        <row r="36">
          <cell r="A36" t="str">
            <v>Oregon</v>
          </cell>
          <cell r="B36">
            <v>254233.55982091901</v>
          </cell>
          <cell r="C36">
            <v>7.5047147888711603</v>
          </cell>
          <cell r="D36">
            <v>2.4810112788264802</v>
          </cell>
          <cell r="E36">
            <v>0</v>
          </cell>
          <cell r="F36">
            <v>87.146952457837202</v>
          </cell>
          <cell r="G36">
            <v>125.94276176210199</v>
          </cell>
          <cell r="H36">
            <v>17.8122883015841</v>
          </cell>
          <cell r="I36">
            <v>240.88772858922101</v>
          </cell>
          <cell r="J36">
            <v>7.8376119879093302</v>
          </cell>
          <cell r="K36">
            <v>2.5327873080456098</v>
          </cell>
          <cell r="L36">
            <v>0</v>
          </cell>
          <cell r="M36">
            <v>111.099014802947</v>
          </cell>
          <cell r="N36">
            <v>131.509809758812</v>
          </cell>
          <cell r="O36">
            <v>22.648238741377199</v>
          </cell>
          <cell r="P36">
            <v>275.62746259909198</v>
          </cell>
          <cell r="Q36">
            <v>255.790823530859</v>
          </cell>
          <cell r="R36">
            <v>303.879031294627</v>
          </cell>
          <cell r="S36">
            <v>1.1442154576047801</v>
          </cell>
          <cell r="T36">
            <v>1.0618673895466499</v>
          </cell>
          <cell r="U36">
            <v>1.2614965198697301</v>
          </cell>
          <cell r="V36">
            <v>34.739734009871199</v>
          </cell>
          <cell r="W36">
            <v>14.9030949416385</v>
          </cell>
          <cell r="X36">
            <v>62.991302705406497</v>
          </cell>
          <cell r="Y36">
            <v>7.5063141080887602E-2</v>
          </cell>
          <cell r="Z36">
            <v>5.4632990405320797E-2</v>
          </cell>
          <cell r="AA36">
            <v>0.106267440317299</v>
          </cell>
          <cell r="AB36">
            <v>4217737</v>
          </cell>
          <cell r="AC36">
            <v>217.398671464285</v>
          </cell>
          <cell r="AD36">
            <v>114.694642428571</v>
          </cell>
          <cell r="AE36">
            <v>23.98252325</v>
          </cell>
          <cell r="AF36">
            <v>0</v>
          </cell>
          <cell r="AG36">
            <v>56.3929461785714</v>
          </cell>
          <cell r="AH36">
            <v>8.3772057499999999</v>
          </cell>
          <cell r="AI36">
            <v>13.9513538571428</v>
          </cell>
          <cell r="AJ36">
            <v>6.5349608711755196E-5</v>
          </cell>
        </row>
        <row r="37">
          <cell r="A37" t="str">
            <v>Arizona</v>
          </cell>
          <cell r="B37">
            <v>295655.10204535298</v>
          </cell>
          <cell r="C37">
            <v>3.505648933337</v>
          </cell>
          <cell r="D37">
            <v>4.2308811869520397</v>
          </cell>
          <cell r="E37">
            <v>1.9149304026028899</v>
          </cell>
          <cell r="F37">
            <v>85.676915492899695</v>
          </cell>
          <cell r="G37">
            <v>141.91689153495</v>
          </cell>
          <cell r="H37">
            <v>41.287951160720098</v>
          </cell>
          <cell r="I37">
            <v>278.53321871146198</v>
          </cell>
          <cell r="J37">
            <v>3.13421475896978</v>
          </cell>
          <cell r="K37">
            <v>4.2876819314458396</v>
          </cell>
          <cell r="L37">
            <v>1.9149304026028899</v>
          </cell>
          <cell r="M37">
            <v>71.956631850495</v>
          </cell>
          <cell r="N37">
            <v>141.075243080256</v>
          </cell>
          <cell r="O37">
            <v>40.680274088441898</v>
          </cell>
          <cell r="P37">
            <v>263.04897611221202</v>
          </cell>
          <cell r="Q37">
            <v>260.824155311857</v>
          </cell>
          <cell r="R37">
            <v>265.62654381497703</v>
          </cell>
          <cell r="S37">
            <v>0.94440791417669101</v>
          </cell>
          <cell r="T37">
            <v>0.93642028235795505</v>
          </cell>
          <cell r="U37">
            <v>0.95366199063726398</v>
          </cell>
          <cell r="V37">
            <v>-15.484242599250001</v>
          </cell>
          <cell r="W37">
            <v>-17.709063399604499</v>
          </cell>
          <cell r="X37">
            <v>-12.906674896484599</v>
          </cell>
          <cell r="Y37">
            <v>0.78904406069323496</v>
          </cell>
          <cell r="Z37">
            <v>0.74220532583099696</v>
          </cell>
          <cell r="AA37">
            <v>0.83984380188221197</v>
          </cell>
          <cell r="AB37">
            <v>7278717</v>
          </cell>
          <cell r="AC37">
            <v>258.74145700000003</v>
          </cell>
          <cell r="AD37">
            <v>120.614488142857</v>
          </cell>
          <cell r="AE37">
            <v>49.109382250000003</v>
          </cell>
          <cell r="AF37">
            <v>0.98595582142857097</v>
          </cell>
          <cell r="AG37">
            <v>70.3986649642857</v>
          </cell>
          <cell r="AH37">
            <v>11.3244455714285</v>
          </cell>
          <cell r="AI37">
            <v>6.3085202142857097</v>
          </cell>
          <cell r="AJ37">
            <v>3.6139470199516198E-5</v>
          </cell>
        </row>
        <row r="38">
          <cell r="A38" t="str">
            <v>South Carolina</v>
          </cell>
          <cell r="B38">
            <v>82629.414030485699</v>
          </cell>
          <cell r="C38">
            <v>5.9213507621220698</v>
          </cell>
          <cell r="D38">
            <v>15.5792608718703</v>
          </cell>
          <cell r="E38">
            <v>0</v>
          </cell>
          <cell r="F38">
            <v>102.311561583952</v>
          </cell>
          <cell r="G38">
            <v>42.391541003177203</v>
          </cell>
          <cell r="H38">
            <v>9.0953994423909599</v>
          </cell>
          <cell r="I38">
            <v>175.299113663512</v>
          </cell>
          <cell r="J38">
            <v>7.8924257463931999</v>
          </cell>
          <cell r="K38">
            <v>20.831489300560602</v>
          </cell>
          <cell r="L38">
            <v>0</v>
          </cell>
          <cell r="M38">
            <v>144.778520189255</v>
          </cell>
          <cell r="N38">
            <v>52.7058826100061</v>
          </cell>
          <cell r="O38">
            <v>11.1713634077708</v>
          </cell>
          <cell r="P38">
            <v>237.37968125398601</v>
          </cell>
          <cell r="Q38">
            <v>219.713940111223</v>
          </cell>
          <cell r="R38">
            <v>248.974034507396</v>
          </cell>
          <cell r="S38">
            <v>1.35414079565534</v>
          </cell>
          <cell r="T38">
            <v>1.25336594988703</v>
          </cell>
          <cell r="U38">
            <v>1.4202811942637801</v>
          </cell>
          <cell r="V38">
            <v>62.080567590473798</v>
          </cell>
          <cell r="W38">
            <v>44.414826447710396</v>
          </cell>
          <cell r="X38">
            <v>73.674920843884195</v>
          </cell>
          <cell r="Y38">
            <v>0.545998168071817</v>
          </cell>
          <cell r="Z38">
            <v>0.398359461546204</v>
          </cell>
          <cell r="AA38">
            <v>0.69943568950878898</v>
          </cell>
          <cell r="AB38">
            <v>5148714</v>
          </cell>
          <cell r="AC38">
            <v>152.89103257142801</v>
          </cell>
          <cell r="AD38">
            <v>37.386206321428503</v>
          </cell>
          <cell r="AE38">
            <v>26.15544375</v>
          </cell>
          <cell r="AF38">
            <v>0</v>
          </cell>
          <cell r="AG38">
            <v>68.207435178571401</v>
          </cell>
          <cell r="AH38">
            <v>12.7917737142857</v>
          </cell>
          <cell r="AI38">
            <v>8.3501736071428496</v>
          </cell>
          <cell r="AJ38">
            <v>4.6104654726206598E-5</v>
          </cell>
        </row>
        <row r="39">
          <cell r="A39" t="str">
            <v>New Jersey</v>
          </cell>
          <cell r="B39">
            <v>22529.273454668699</v>
          </cell>
          <cell r="C39">
            <v>18.558621103750902</v>
          </cell>
          <cell r="D39">
            <v>20.831243089968702</v>
          </cell>
          <cell r="E39">
            <v>0</v>
          </cell>
          <cell r="F39">
            <v>73.666140045816505</v>
          </cell>
          <cell r="G39">
            <v>3.8722813624121901</v>
          </cell>
          <cell r="H39">
            <v>34.4834679723633</v>
          </cell>
          <cell r="I39">
            <v>151.41175357431101</v>
          </cell>
          <cell r="J39">
            <v>27.306311439589301</v>
          </cell>
          <cell r="K39">
            <v>35.273282287266298</v>
          </cell>
          <cell r="L39">
            <v>0</v>
          </cell>
          <cell r="M39">
            <v>115.7173730861</v>
          </cell>
          <cell r="N39">
            <v>4.4230240338388001</v>
          </cell>
          <cell r="O39">
            <v>50.708331859153702</v>
          </cell>
          <cell r="P39">
            <v>233.42832270594801</v>
          </cell>
          <cell r="Q39">
            <v>186.40813939368201</v>
          </cell>
          <cell r="R39">
            <v>294.255719580039</v>
          </cell>
          <cell r="S39">
            <v>1.5416790123323101</v>
          </cell>
          <cell r="T39">
            <v>1.2311338782705099</v>
          </cell>
          <cell r="U39">
            <v>1.94341398625715</v>
          </cell>
          <cell r="V39">
            <v>82.016569131636501</v>
          </cell>
          <cell r="W39">
            <v>34.996385819370502</v>
          </cell>
          <cell r="X39">
            <v>142.843966005727</v>
          </cell>
          <cell r="Y39">
            <v>0.27792230567157999</v>
          </cell>
          <cell r="Z39">
            <v>9.80789638473053E-2</v>
          </cell>
          <cell r="AA39">
            <v>0.52282921038251096</v>
          </cell>
          <cell r="AB39">
            <v>8882190</v>
          </cell>
          <cell r="AC39">
            <v>130.72517275000001</v>
          </cell>
          <cell r="AD39">
            <v>3.8324099285714199</v>
          </cell>
          <cell r="AE39">
            <v>44.7903877142857</v>
          </cell>
          <cell r="AF39">
            <v>0</v>
          </cell>
          <cell r="AG39">
            <v>58.209980535714202</v>
          </cell>
          <cell r="AH39">
            <v>13.0896323214285</v>
          </cell>
          <cell r="AI39">
            <v>10.802762250000001</v>
          </cell>
          <cell r="AJ39">
            <v>2.62804919401575E-5</v>
          </cell>
        </row>
        <row r="40">
          <cell r="A40" t="str">
            <v>Maryland</v>
          </cell>
          <cell r="B40">
            <v>32124.144444198901</v>
          </cell>
          <cell r="C40">
            <v>8.2238441848529007</v>
          </cell>
          <cell r="D40">
            <v>5.1140968856948001</v>
          </cell>
          <cell r="E40">
            <v>3.8576890502865502</v>
          </cell>
          <cell r="F40">
            <v>59.926853818955401</v>
          </cell>
          <cell r="G40">
            <v>27.344791441101801</v>
          </cell>
          <cell r="H40">
            <v>20.481674079467499</v>
          </cell>
          <cell r="I40">
            <v>124.948949460359</v>
          </cell>
          <cell r="J40">
            <v>7.3955869368788898</v>
          </cell>
          <cell r="K40">
            <v>4.2866520394535703</v>
          </cell>
          <cell r="L40">
            <v>4.44085343982049</v>
          </cell>
          <cell r="M40">
            <v>56.5655861731749</v>
          </cell>
          <cell r="N40">
            <v>27.586394903287498</v>
          </cell>
          <cell r="O40">
            <v>19.5348945032388</v>
          </cell>
          <cell r="P40">
            <v>119.809967995854</v>
          </cell>
          <cell r="Q40">
            <v>111.570520418415</v>
          </cell>
          <cell r="R40">
            <v>126.499305091501</v>
          </cell>
          <cell r="S40">
            <v>0.95887135116622002</v>
          </cell>
          <cell r="T40">
            <v>0.89292883934019496</v>
          </cell>
          <cell r="U40">
            <v>1.0124079124941601</v>
          </cell>
          <cell r="V40">
            <v>-5.13898146450473</v>
          </cell>
          <cell r="W40">
            <v>-13.3784290419438</v>
          </cell>
          <cell r="X40">
            <v>1.5503556311422899</v>
          </cell>
          <cell r="Y40">
            <v>0.26563301258024002</v>
          </cell>
          <cell r="Z40">
            <v>0.100552507500033</v>
          </cell>
          <cell r="AA40">
            <v>0.44611421010982399</v>
          </cell>
          <cell r="AB40">
            <v>6045680</v>
          </cell>
          <cell r="AC40">
            <v>110.246530642857</v>
          </cell>
          <cell r="AD40">
            <v>23.350107678571401</v>
          </cell>
          <cell r="AE40">
            <v>18.525142678571399</v>
          </cell>
          <cell r="AF40">
            <v>2.3960751785714201</v>
          </cell>
          <cell r="AG40">
            <v>44.784131571428503</v>
          </cell>
          <cell r="AH40">
            <v>13.168566071428501</v>
          </cell>
          <cell r="AI40">
            <v>8.0225074642857095</v>
          </cell>
          <cell r="AJ40">
            <v>1.98174511379785E-5</v>
          </cell>
        </row>
        <row r="41">
          <cell r="A41" t="str">
            <v>Nevada</v>
          </cell>
          <cell r="B41">
            <v>286473.603135638</v>
          </cell>
          <cell r="C41">
            <v>1.9161168409636899</v>
          </cell>
          <cell r="D41">
            <v>1.7790849563725999</v>
          </cell>
          <cell r="E41">
            <v>0</v>
          </cell>
          <cell r="F41">
            <v>30.040446984869501</v>
          </cell>
          <cell r="G41">
            <v>49.209661381222801</v>
          </cell>
          <cell r="H41">
            <v>9.3049139121028599</v>
          </cell>
          <cell r="I41">
            <v>92.250224075531506</v>
          </cell>
          <cell r="J41">
            <v>1.91722469674107</v>
          </cell>
          <cell r="K41">
            <v>1.78074427457694</v>
          </cell>
          <cell r="L41">
            <v>0</v>
          </cell>
          <cell r="M41">
            <v>30.3874954403821</v>
          </cell>
          <cell r="N41">
            <v>49.4173047109593</v>
          </cell>
          <cell r="O41">
            <v>9.3866880850540397</v>
          </cell>
          <cell r="P41">
            <v>92.889457207713505</v>
          </cell>
          <cell r="Q41">
            <v>92.672198752123506</v>
          </cell>
          <cell r="R41">
            <v>93.107844479978297</v>
          </cell>
          <cell r="S41">
            <v>1.0069293396150301</v>
          </cell>
          <cell r="T41">
            <v>1.0045742401259199</v>
          </cell>
          <cell r="U41">
            <v>1.0092966755695301</v>
          </cell>
          <cell r="V41">
            <v>0.63923313218199396</v>
          </cell>
          <cell r="W41">
            <v>0.42197467659197202</v>
          </cell>
          <cell r="X41">
            <v>0.85762040444677701</v>
          </cell>
          <cell r="Y41">
            <v>1.32687072604607E-3</v>
          </cell>
          <cell r="Z41">
            <v>9.0807349168854396E-4</v>
          </cell>
          <cell r="AA41">
            <v>1.8742358246138201E-3</v>
          </cell>
          <cell r="AB41">
            <v>3080156</v>
          </cell>
          <cell r="AC41">
            <v>88.824002071428495</v>
          </cell>
          <cell r="AD41">
            <v>45.499330464285698</v>
          </cell>
          <cell r="AE41">
            <v>19.710866321428501</v>
          </cell>
          <cell r="AF41">
            <v>0</v>
          </cell>
          <cell r="AG41">
            <v>16.932262178571399</v>
          </cell>
          <cell r="AH41">
            <v>3.5840786785714198</v>
          </cell>
          <cell r="AI41">
            <v>3.0974644285714201</v>
          </cell>
          <cell r="AJ41">
            <v>3.01573872257488E-5</v>
          </cell>
        </row>
        <row r="42">
          <cell r="A42" t="str">
            <v>Massachusetts</v>
          </cell>
          <cell r="B42">
            <v>26608.3957428063</v>
          </cell>
          <cell r="C42">
            <v>8.0570182763581304</v>
          </cell>
          <cell r="D42">
            <v>5.6106631720389197</v>
          </cell>
          <cell r="E42">
            <v>0</v>
          </cell>
          <cell r="F42">
            <v>54.635496901619597</v>
          </cell>
          <cell r="G42">
            <v>4.9353027937912204</v>
          </cell>
          <cell r="H42">
            <v>20.147984842320501</v>
          </cell>
          <cell r="I42">
            <v>93.3864659861284</v>
          </cell>
          <cell r="J42">
            <v>6.7964947077197104</v>
          </cell>
          <cell r="K42">
            <v>4.1669557849569303</v>
          </cell>
          <cell r="L42">
            <v>0</v>
          </cell>
          <cell r="M42">
            <v>48.172137284683501</v>
          </cell>
          <cell r="N42">
            <v>4.44006200208233</v>
          </cell>
          <cell r="O42">
            <v>16.860736585355198</v>
          </cell>
          <cell r="P42">
            <v>80.436386364797798</v>
          </cell>
          <cell r="Q42">
            <v>66.434177351895897</v>
          </cell>
          <cell r="R42">
            <v>92.563628986250805</v>
          </cell>
          <cell r="S42">
            <v>0.86132808984061704</v>
          </cell>
          <cell r="T42">
            <v>0.711389778490643</v>
          </cell>
          <cell r="U42">
            <v>0.99118890525314596</v>
          </cell>
          <cell r="V42">
            <v>-12.950079621330501</v>
          </cell>
          <cell r="W42">
            <v>-26.952288634232499</v>
          </cell>
          <cell r="X42">
            <v>-0.82283699987755199</v>
          </cell>
          <cell r="Y42">
            <v>0.152915965862647</v>
          </cell>
          <cell r="Z42">
            <v>1.8134066318023799E-2</v>
          </cell>
          <cell r="AA42">
            <v>0.35384854773820401</v>
          </cell>
          <cell r="AB42">
            <v>6892503</v>
          </cell>
          <cell r="AC42">
            <v>78.632473035714199</v>
          </cell>
          <cell r="AD42">
            <v>3.8723862857142799</v>
          </cell>
          <cell r="AE42">
            <v>29.4257041428571</v>
          </cell>
          <cell r="AF42">
            <v>0</v>
          </cell>
          <cell r="AG42">
            <v>25.009046964285702</v>
          </cell>
          <cell r="AH42">
            <v>10.924496</v>
          </cell>
          <cell r="AI42">
            <v>9.4008396428571395</v>
          </cell>
          <cell r="AJ42">
            <v>1.16701271460887E-5</v>
          </cell>
        </row>
        <row r="43">
          <cell r="A43" t="str">
            <v>Wyoming</v>
          </cell>
          <cell r="B43">
            <v>253199.155528662</v>
          </cell>
          <cell r="C43">
            <v>1.70326625473462</v>
          </cell>
          <cell r="D43">
            <v>0.217072902494438</v>
          </cell>
          <cell r="E43">
            <v>280.70802353748797</v>
          </cell>
          <cell r="F43">
            <v>11.9318320324226</v>
          </cell>
          <cell r="G43">
            <v>116.441572844975</v>
          </cell>
          <cell r="H43">
            <v>230.14656098837401</v>
          </cell>
          <cell r="I43">
            <v>641.14832856048997</v>
          </cell>
          <cell r="J43">
            <v>1.2687299572972299</v>
          </cell>
          <cell r="K43">
            <v>0.19633643452569999</v>
          </cell>
          <cell r="L43">
            <v>-186.42556519258099</v>
          </cell>
          <cell r="M43">
            <v>10.3520774452421</v>
          </cell>
          <cell r="N43">
            <v>113.05167067176301</v>
          </cell>
          <cell r="O43">
            <v>141.81804002329301</v>
          </cell>
          <cell r="P43">
            <v>80.261289339540198</v>
          </cell>
          <cell r="Q43">
            <v>-194.10091952474301</v>
          </cell>
          <cell r="R43">
            <v>279.23161062069801</v>
          </cell>
          <cell r="S43">
            <v>0.12518365215073199</v>
          </cell>
          <cell r="T43">
            <v>-0.30273949237384601</v>
          </cell>
          <cell r="U43">
            <v>0.435517957673899</v>
          </cell>
          <cell r="V43">
            <v>-560.88703922094999</v>
          </cell>
          <cell r="W43">
            <v>-835.24924808523303</v>
          </cell>
          <cell r="X43">
            <v>-361.916717939791</v>
          </cell>
          <cell r="Y43">
            <v>0.660163139812461</v>
          </cell>
          <cell r="Z43">
            <v>0.49904991250891301</v>
          </cell>
          <cell r="AA43">
            <v>0.85908579172859501</v>
          </cell>
          <cell r="AB43">
            <v>578759</v>
          </cell>
          <cell r="AC43">
            <v>622.59244107142797</v>
          </cell>
          <cell r="AD43">
            <v>109.198939821428</v>
          </cell>
          <cell r="AE43">
            <v>302.36734974999899</v>
          </cell>
          <cell r="AF43">
            <v>200.482737178571</v>
          </cell>
          <cell r="AG43">
            <v>6.48915857142857</v>
          </cell>
          <cell r="AH43">
            <v>0.97809396428571405</v>
          </cell>
          <cell r="AI43">
            <v>3.07616182142857</v>
          </cell>
          <cell r="AJ43">
            <v>1.3867825699391301E-4</v>
          </cell>
        </row>
        <row r="44">
          <cell r="A44" t="str">
            <v>Vermont</v>
          </cell>
          <cell r="B44">
            <v>24885.293501074801</v>
          </cell>
          <cell r="C44">
            <v>2.5327922360195698</v>
          </cell>
          <cell r="D44">
            <v>1.3505377970382499</v>
          </cell>
          <cell r="E44">
            <v>0</v>
          </cell>
          <cell r="F44">
            <v>12.2260844657746</v>
          </cell>
          <cell r="G44">
            <v>26.873174118043401</v>
          </cell>
          <cell r="H44">
            <v>0.28794067940416501</v>
          </cell>
          <cell r="I44">
            <v>43.270529296280102</v>
          </cell>
          <cell r="J44">
            <v>2.73717027429374</v>
          </cell>
          <cell r="K44">
            <v>1.41015421359586</v>
          </cell>
          <cell r="L44">
            <v>0</v>
          </cell>
          <cell r="M44">
            <v>12.6865008220328</v>
          </cell>
          <cell r="N44">
            <v>29.1859373639385</v>
          </cell>
          <cell r="O44">
            <v>0.31526704320853299</v>
          </cell>
          <cell r="P44">
            <v>46.335029717069602</v>
          </cell>
          <cell r="Q44">
            <v>44.589728612845597</v>
          </cell>
          <cell r="R44">
            <v>48.886024094486899</v>
          </cell>
          <cell r="S44">
            <v>1.07082188433162</v>
          </cell>
          <cell r="T44">
            <v>1.03048724704827</v>
          </cell>
          <cell r="U44">
            <v>1.1297764295822801</v>
          </cell>
          <cell r="V44">
            <v>3.0645004207894799</v>
          </cell>
          <cell r="W44">
            <v>1.3191993165654801</v>
          </cell>
          <cell r="X44">
            <v>5.61549479820681</v>
          </cell>
          <cell r="Y44">
            <v>3.0871502842504801E-2</v>
          </cell>
          <cell r="Z44">
            <v>9.7188621022263992E-3</v>
          </cell>
          <cell r="AA44">
            <v>6.8906529720563006E-2</v>
          </cell>
          <cell r="AB44">
            <v>623989</v>
          </cell>
          <cell r="AC44">
            <v>52.533348285714197</v>
          </cell>
          <cell r="AD44">
            <v>37.630104821428503</v>
          </cell>
          <cell r="AE44">
            <v>1.1357551785714199</v>
          </cell>
          <cell r="AF44">
            <v>0</v>
          </cell>
          <cell r="AG44">
            <v>6.5038973571428498</v>
          </cell>
          <cell r="AH44">
            <v>1.5443566071428501</v>
          </cell>
          <cell r="AI44">
            <v>5.7192342857142799</v>
          </cell>
          <cell r="AJ44">
            <v>7.4256164318713301E-5</v>
          </cell>
        </row>
        <row r="45">
          <cell r="A45" t="str">
            <v>Connecticut</v>
          </cell>
          <cell r="B45">
            <v>14355.3797957366</v>
          </cell>
          <cell r="C45">
            <v>5.0100746247078503</v>
          </cell>
          <cell r="D45">
            <v>14.9796682361781</v>
          </cell>
          <cell r="E45">
            <v>0</v>
          </cell>
          <cell r="F45">
            <v>16.2329424384437</v>
          </cell>
          <cell r="G45">
            <v>5.6443735438288902</v>
          </cell>
          <cell r="H45">
            <v>9.3614329473900906</v>
          </cell>
          <cell r="I45">
            <v>51.228491790548702</v>
          </cell>
          <cell r="J45">
            <v>4.4426121137018502</v>
          </cell>
          <cell r="K45">
            <v>12.460481832108799</v>
          </cell>
          <cell r="L45">
            <v>0</v>
          </cell>
          <cell r="M45">
            <v>15.3149861009224</v>
          </cell>
          <cell r="N45">
            <v>5.3658083448877196</v>
          </cell>
          <cell r="O45">
            <v>7.8602810975833304</v>
          </cell>
          <cell r="P45">
            <v>45.444169489204199</v>
          </cell>
          <cell r="Q45">
            <v>34.532344992381397</v>
          </cell>
          <cell r="R45">
            <v>50.630636304085101</v>
          </cell>
          <cell r="S45">
            <v>0.887087788471421</v>
          </cell>
          <cell r="T45">
            <v>0.67408474826019404</v>
          </cell>
          <cell r="U45">
            <v>0.98832962936117696</v>
          </cell>
          <cell r="V45">
            <v>-5.7843223013444804</v>
          </cell>
          <cell r="W45">
            <v>-16.696146798167199</v>
          </cell>
          <cell r="X45">
            <v>-0.59785548646358599</v>
          </cell>
          <cell r="Y45">
            <v>0.29423961462567999</v>
          </cell>
          <cell r="Z45">
            <v>0.14061478088500901</v>
          </cell>
          <cell r="AA45">
            <v>0.49858155485210398</v>
          </cell>
          <cell r="AB45">
            <v>3565287</v>
          </cell>
          <cell r="AC45">
            <v>40.057523285714197</v>
          </cell>
          <cell r="AD45">
            <v>7.5104301785714203</v>
          </cell>
          <cell r="AE45">
            <v>12.6048230714285</v>
          </cell>
          <cell r="AF45">
            <v>0</v>
          </cell>
          <cell r="AG45">
            <v>8.1815847857142803</v>
          </cell>
          <cell r="AH45">
            <v>6.4823422857142798</v>
          </cell>
          <cell r="AI45">
            <v>5.2783429999999996</v>
          </cell>
          <cell r="AJ45">
            <v>1.27462864810614E-5</v>
          </cell>
        </row>
        <row r="46">
          <cell r="A46" t="str">
            <v>Maine</v>
          </cell>
          <cell r="B46">
            <v>87950.274891759997</v>
          </cell>
          <cell r="C46">
            <v>6.2129034590610797</v>
          </cell>
          <cell r="D46">
            <v>1.01802754921934</v>
          </cell>
          <cell r="E46">
            <v>0</v>
          </cell>
          <cell r="F46">
            <v>20.3093050157151</v>
          </cell>
          <cell r="G46">
            <v>9.5922875043776692</v>
          </cell>
          <cell r="H46">
            <v>1.66813122909845</v>
          </cell>
          <cell r="I46">
            <v>38.800654757471598</v>
          </cell>
          <cell r="J46">
            <v>6.1773544896504697</v>
          </cell>
          <cell r="K46">
            <v>1.01011787937622</v>
          </cell>
          <cell r="L46">
            <v>0</v>
          </cell>
          <cell r="M46">
            <v>19.6506034922118</v>
          </cell>
          <cell r="N46">
            <v>9.5734106710312794</v>
          </cell>
          <cell r="O46">
            <v>1.6599360671553101</v>
          </cell>
          <cell r="P46">
            <v>38.071422599425098</v>
          </cell>
          <cell r="Q46">
            <v>37.268420804366897</v>
          </cell>
          <cell r="R46">
            <v>38.800654757471598</v>
          </cell>
          <cell r="S46">
            <v>0.98120567390924995</v>
          </cell>
          <cell r="T46">
            <v>0.96051010059798703</v>
          </cell>
          <cell r="U46">
            <v>1</v>
          </cell>
          <cell r="V46">
            <v>-0.72923215804650399</v>
          </cell>
          <cell r="W46">
            <v>-1.53223395310477</v>
          </cell>
          <cell r="X46">
            <v>0</v>
          </cell>
          <cell r="Y46">
            <v>1.4615684874823101E-3</v>
          </cell>
          <cell r="Z46">
            <v>0</v>
          </cell>
          <cell r="AA46">
            <v>3.11765111341089E-3</v>
          </cell>
          <cell r="AB46">
            <v>1344212</v>
          </cell>
          <cell r="AC46">
            <v>41.986552392857099</v>
          </cell>
          <cell r="AD46">
            <v>10.6235128928571</v>
          </cell>
          <cell r="AE46">
            <v>3.77547167857142</v>
          </cell>
          <cell r="AF46">
            <v>0</v>
          </cell>
          <cell r="AG46">
            <v>12.9028960357142</v>
          </cell>
          <cell r="AH46">
            <v>4.7429372142857096</v>
          </cell>
          <cell r="AI46">
            <v>9.9417345357142803</v>
          </cell>
          <cell r="AJ46">
            <v>2.8322483804210301E-5</v>
          </cell>
        </row>
        <row r="47">
          <cell r="A47" t="str">
            <v>New Hampshire</v>
          </cell>
          <cell r="B47">
            <v>24200.108732587101</v>
          </cell>
          <cell r="C47">
            <v>3.1366995913167601</v>
          </cell>
          <cell r="D47">
            <v>0.79080822376842597</v>
          </cell>
          <cell r="E47">
            <v>0</v>
          </cell>
          <cell r="F47">
            <v>16.836170183176598</v>
          </cell>
          <cell r="G47">
            <v>4.6144013293524004</v>
          </cell>
          <cell r="H47">
            <v>1.14982072760344</v>
          </cell>
          <cell r="I47">
            <v>26.5279000552177</v>
          </cell>
          <cell r="J47">
            <v>3.0609777544602101</v>
          </cell>
          <cell r="K47">
            <v>0.78006143422423202</v>
          </cell>
          <cell r="L47">
            <v>0</v>
          </cell>
          <cell r="M47">
            <v>15.560191926642601</v>
          </cell>
          <cell r="N47">
            <v>4.5802088671467098</v>
          </cell>
          <cell r="O47">
            <v>1.1098921077753201</v>
          </cell>
          <cell r="P47">
            <v>25.0913320902491</v>
          </cell>
          <cell r="Q47">
            <v>23.296696456514901</v>
          </cell>
          <cell r="R47">
            <v>26.5279000552177</v>
          </cell>
          <cell r="S47">
            <v>0.94584690224336099</v>
          </cell>
          <cell r="T47">
            <v>0.87819602788094597</v>
          </cell>
          <cell r="U47">
            <v>1</v>
          </cell>
          <cell r="V47">
            <v>-1.4365679649685299</v>
          </cell>
          <cell r="W47">
            <v>-3.2312035987027801</v>
          </cell>
          <cell r="X47">
            <v>0</v>
          </cell>
          <cell r="Y47">
            <v>3.57346634269552E-2</v>
          </cell>
          <cell r="Z47">
            <v>0</v>
          </cell>
          <cell r="AA47">
            <v>7.9794518685646201E-2</v>
          </cell>
          <cell r="AB47">
            <v>1359711</v>
          </cell>
          <cell r="AC47">
            <v>37.6058240357142</v>
          </cell>
          <cell r="AD47">
            <v>4.33717114285714</v>
          </cell>
          <cell r="AE47">
            <v>3.1894276785714202</v>
          </cell>
          <cell r="AF47">
            <v>0</v>
          </cell>
          <cell r="AG47">
            <v>20.684484321428499</v>
          </cell>
          <cell r="AH47">
            <v>3.6350482142857099</v>
          </cell>
          <cell r="AI47">
            <v>5.7596926428571402</v>
          </cell>
          <cell r="AJ47">
            <v>1.84534302438159E-5</v>
          </cell>
        </row>
        <row r="48">
          <cell r="A48" t="str">
            <v>Delaware</v>
          </cell>
          <cell r="B48">
            <v>6448.83409719464</v>
          </cell>
          <cell r="C48">
            <v>1.3224137184008899</v>
          </cell>
          <cell r="D48">
            <v>4.6832325719994401</v>
          </cell>
          <cell r="E48">
            <v>0</v>
          </cell>
          <cell r="F48">
            <v>5.2020690612051803</v>
          </cell>
          <cell r="G48">
            <v>3.6446277677913899</v>
          </cell>
          <cell r="H48">
            <v>1.71315795981358</v>
          </cell>
          <cell r="I48">
            <v>16.565501079210399</v>
          </cell>
          <cell r="J48">
            <v>1.6362443991467901</v>
          </cell>
          <cell r="K48">
            <v>5.2875478324782801</v>
          </cell>
          <cell r="L48">
            <v>0</v>
          </cell>
          <cell r="M48">
            <v>7.5184822771608601</v>
          </cell>
          <cell r="N48">
            <v>3.8760411618497499</v>
          </cell>
          <cell r="O48">
            <v>2.0689305299098502</v>
          </cell>
          <cell r="P48">
            <v>20.387246200545501</v>
          </cell>
          <cell r="Q48">
            <v>19.457869301348399</v>
          </cell>
          <cell r="R48">
            <v>21.705032529924999</v>
          </cell>
          <cell r="S48">
            <v>1.2307050721291599</v>
          </cell>
          <cell r="T48">
            <v>1.17460191565033</v>
          </cell>
          <cell r="U48">
            <v>1.31025511550415</v>
          </cell>
          <cell r="V48">
            <v>3.8217451213350602</v>
          </cell>
          <cell r="W48">
            <v>2.8923682221379199</v>
          </cell>
          <cell r="X48">
            <v>5.1395314507145704</v>
          </cell>
          <cell r="Y48">
            <v>0.129809241246468</v>
          </cell>
          <cell r="Z48">
            <v>5.1289095830712103E-2</v>
          </cell>
          <cell r="AA48">
            <v>0.23234070461027101</v>
          </cell>
          <cell r="AB48">
            <v>973764</v>
          </cell>
          <cell r="AC48">
            <v>32.008334571428499</v>
          </cell>
          <cell r="AD48">
            <v>3.0720306785714202</v>
          </cell>
          <cell r="AE48">
            <v>4.6674218571428501</v>
          </cell>
          <cell r="AF48">
            <v>0</v>
          </cell>
          <cell r="AG48">
            <v>17.342848428571401</v>
          </cell>
          <cell r="AH48">
            <v>5.4727333214285698</v>
          </cell>
          <cell r="AI48">
            <v>1.45330028571428</v>
          </cell>
          <cell r="AJ48">
            <v>2.09365371902694E-5</v>
          </cell>
        </row>
        <row r="49">
          <cell r="A49" t="str">
            <v>Rhode Island</v>
          </cell>
          <cell r="B49">
            <v>3491.1397030958801</v>
          </cell>
          <cell r="C49">
            <v>1.11975951440487</v>
          </cell>
          <cell r="D49">
            <v>2.2741381932620799</v>
          </cell>
          <cell r="E49">
            <v>0</v>
          </cell>
          <cell r="F49">
            <v>13.2243279095097</v>
          </cell>
          <cell r="G49">
            <v>0.98800608565131998</v>
          </cell>
          <cell r="H49">
            <v>4.4525775786792696</v>
          </cell>
          <cell r="I49">
            <v>22.058809281507202</v>
          </cell>
          <cell r="J49">
            <v>0.91372897187675295</v>
          </cell>
          <cell r="K49">
            <v>1.6327339810494701</v>
          </cell>
          <cell r="L49">
            <v>0</v>
          </cell>
          <cell r="M49">
            <v>11.0856568588017</v>
          </cell>
          <cell r="N49">
            <v>0.94395116855911798</v>
          </cell>
          <cell r="O49">
            <v>3.52871957665994</v>
          </cell>
          <cell r="P49">
            <v>18.104790556946998</v>
          </cell>
          <cell r="Q49">
            <v>13.677097024002901</v>
          </cell>
          <cell r="R49">
            <v>20.935723376656298</v>
          </cell>
          <cell r="S49">
            <v>0.82075103537546401</v>
          </cell>
          <cell r="T49">
            <v>0.62002879890117102</v>
          </cell>
          <cell r="U49">
            <v>0.94908673942829402</v>
          </cell>
          <cell r="V49">
            <v>-3.9540187245602598</v>
          </cell>
          <cell r="W49">
            <v>-8.3817122575042902</v>
          </cell>
          <cell r="X49">
            <v>-1.1230859048509201</v>
          </cell>
          <cell r="Y49">
            <v>0.19987597359896001</v>
          </cell>
          <cell r="Z49">
            <v>0.103426608904693</v>
          </cell>
          <cell r="AA49">
            <v>0.34254606989678898</v>
          </cell>
          <cell r="AB49">
            <v>1059361</v>
          </cell>
          <cell r="AC49">
            <v>15.6434844285714</v>
          </cell>
          <cell r="AD49">
            <v>0.45921271428571397</v>
          </cell>
          <cell r="AE49">
            <v>5.0039529285714197</v>
          </cell>
          <cell r="AF49">
            <v>0</v>
          </cell>
          <cell r="AG49">
            <v>5.9006133928571396</v>
          </cell>
          <cell r="AH49">
            <v>2.08968953571428</v>
          </cell>
          <cell r="AI49">
            <v>2.1900158214285699</v>
          </cell>
          <cell r="AJ49">
            <v>1.7090293636396801E-5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7"/>
  <sheetViews>
    <sheetView zoomScale="82" zoomScaleNormal="82"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D2" sqref="AD2"/>
    </sheetView>
  </sheetViews>
  <sheetFormatPr baseColWidth="10" defaultRowHeight="16" x14ac:dyDescent="0.2"/>
  <cols>
    <col min="38" max="38" width="15.1640625" bestFit="1" customWidth="1"/>
    <col min="39" max="39" width="14.5" bestFit="1" customWidth="1"/>
    <col min="40" max="40" width="14.5" customWidth="1"/>
    <col min="51" max="51" width="19" bestFit="1" customWidth="1"/>
  </cols>
  <sheetData>
    <row r="1" spans="1:69" x14ac:dyDescent="0.2">
      <c r="A1">
        <f>[1]summ_states!A1</f>
        <v>0</v>
      </c>
      <c r="B1" t="str">
        <f>[1]summ_states!B1</f>
        <v>area</v>
      </c>
      <c r="C1" t="str">
        <f>[1]summ_states!C1</f>
        <v>prior_other_anth</v>
      </c>
      <c r="D1" t="str">
        <f>[1]summ_states!D1</f>
        <v>prior_wastewater</v>
      </c>
      <c r="E1" t="str">
        <f>[1]summ_states!E1</f>
        <v>prior_coal</v>
      </c>
      <c r="F1" t="str">
        <f>[1]summ_states!F1</f>
        <v>prior_landfills</v>
      </c>
      <c r="G1" t="str">
        <f>[1]summ_states!G1</f>
        <v>prior_livestock</v>
      </c>
      <c r="H1" t="str">
        <f>[1]summ_states!H1</f>
        <v>prior_ong</v>
      </c>
      <c r="I1" t="str">
        <f>[1]summ_states!I1</f>
        <v>prior_total</v>
      </c>
      <c r="J1" t="str">
        <f>[1]summ_states!J1</f>
        <v>post_other_anth</v>
      </c>
      <c r="K1" t="str">
        <f>[1]summ_states!K1</f>
        <v>post_wastewater</v>
      </c>
      <c r="L1" t="str">
        <f>[1]summ_states!L1</f>
        <v>post_coal</v>
      </c>
      <c r="M1" t="str">
        <f>[1]summ_states!M1</f>
        <v>post_landfills</v>
      </c>
      <c r="N1" t="str">
        <f>[1]summ_states!N1</f>
        <v>post_livestock</v>
      </c>
      <c r="O1" t="str">
        <f>[1]summ_states!O1</f>
        <v>post_ong</v>
      </c>
      <c r="P1" t="str">
        <f>[1]summ_states!P1</f>
        <v>post_mean</v>
      </c>
      <c r="Q1" t="str">
        <f>[1]summ_states!Q1</f>
        <v>post_min</v>
      </c>
      <c r="R1" t="str">
        <f>[1]summ_states!R1</f>
        <v>post_max</v>
      </c>
      <c r="S1" t="str">
        <f>[1]summ_states!S1</f>
        <v>xhat_mean</v>
      </c>
      <c r="T1" t="str">
        <f>[1]summ_states!T1</f>
        <v>xhat_min</v>
      </c>
      <c r="U1" t="str">
        <f>[1]summ_states!U1</f>
        <v>xhat_max</v>
      </c>
      <c r="V1" t="str">
        <f>[1]summ_states!V1</f>
        <v>diff_mean</v>
      </c>
      <c r="W1" t="str">
        <f>[1]summ_states!W1</f>
        <v>diff_min</v>
      </c>
      <c r="X1" t="str">
        <f>[1]summ_states!X1</f>
        <v>diff_max</v>
      </c>
      <c r="Y1" t="str">
        <f>[1]summ_states!Y1</f>
        <v>dofs_mean</v>
      </c>
      <c r="Z1" t="str">
        <f>[1]summ_states!Z1</f>
        <v>dofs_min</v>
      </c>
      <c r="AA1" t="str">
        <f>[1]summ_states!AA1</f>
        <v>dofs_max</v>
      </c>
      <c r="AB1" t="str">
        <f>[1]summ_states!AB1</f>
        <v>pop</v>
      </c>
      <c r="AC1" t="str">
        <f>[1]summ_states!AC1</f>
        <v>epa_total</v>
      </c>
      <c r="AD1" t="str">
        <f>[1]summ_states!AD1</f>
        <v>epa_livestock</v>
      </c>
      <c r="AE1" t="str">
        <f>[1]summ_states!AE1</f>
        <v>epa_ong</v>
      </c>
      <c r="AF1" t="str">
        <f>[1]summ_states!AF1</f>
        <v>epa_coal</v>
      </c>
      <c r="AG1" t="str">
        <f>[1]summ_states!AG1</f>
        <v>epa_landfills</v>
      </c>
      <c r="AH1" t="str">
        <f>[1]summ_states!AH1</f>
        <v>epa_wastewater</v>
      </c>
      <c r="AI1" t="str">
        <f>[1]summ_states!AI1</f>
        <v>epa_other_anth</v>
      </c>
      <c r="AJ1" t="str">
        <f>[1]summ_states!AJ1</f>
        <v>post_mean_pc</v>
      </c>
      <c r="AK1" t="s">
        <v>18</v>
      </c>
      <c r="AL1" t="s">
        <v>19</v>
      </c>
      <c r="AM1" t="s">
        <v>20</v>
      </c>
      <c r="AN1" t="s">
        <v>25</v>
      </c>
      <c r="AO1" t="s">
        <v>21</v>
      </c>
      <c r="AP1" t="s">
        <v>22</v>
      </c>
      <c r="AQ1" t="s">
        <v>6</v>
      </c>
      <c r="AR1" t="s">
        <v>100</v>
      </c>
      <c r="AS1" t="s">
        <v>30</v>
      </c>
      <c r="AT1" t="s">
        <v>31</v>
      </c>
      <c r="AU1" t="s">
        <v>28</v>
      </c>
      <c r="AV1" t="s">
        <v>29</v>
      </c>
      <c r="AW1" t="s">
        <v>26</v>
      </c>
      <c r="AX1" t="s">
        <v>27</v>
      </c>
      <c r="AY1" t="s">
        <v>32</v>
      </c>
      <c r="BA1" t="s">
        <v>30</v>
      </c>
      <c r="BB1" t="s">
        <v>31</v>
      </c>
      <c r="BC1" t="s">
        <v>28</v>
      </c>
      <c r="BD1" t="s">
        <v>29</v>
      </c>
      <c r="BE1" t="s">
        <v>26</v>
      </c>
      <c r="BF1" t="s">
        <v>27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</row>
    <row r="2" spans="1:69" x14ac:dyDescent="0.2">
      <c r="A2" t="str">
        <f>[1]summ_states!A2</f>
        <v>Texas</v>
      </c>
      <c r="B2">
        <f>[1]summ_states!B2</f>
        <v>696300.84190922999</v>
      </c>
      <c r="C2">
        <f>[1]summ_states!C2</f>
        <v>85.298883741407394</v>
      </c>
      <c r="D2">
        <f>[1]summ_states!D2</f>
        <v>44.3228589424576</v>
      </c>
      <c r="E2">
        <f>[1]summ_states!E2</f>
        <v>17.010353253623801</v>
      </c>
      <c r="F2">
        <f>[1]summ_states!F2</f>
        <v>480.23390941672398</v>
      </c>
      <c r="G2">
        <f>[1]summ_states!G2</f>
        <v>977.24055697914503</v>
      </c>
      <c r="H2">
        <f>[1]summ_states!H2</f>
        <v>3545.5613015578301</v>
      </c>
      <c r="I2">
        <f>[1]summ_states!I2</f>
        <v>5149.6678638911899</v>
      </c>
      <c r="J2">
        <f>[1]summ_states!J2</f>
        <v>109.96787975408699</v>
      </c>
      <c r="K2">
        <f>[1]summ_states!K2</f>
        <v>48.256176764904502</v>
      </c>
      <c r="L2">
        <f>[1]summ_states!L2</f>
        <v>24.3805214735089</v>
      </c>
      <c r="M2">
        <f>[1]summ_states!M2</f>
        <v>627.04528280033105</v>
      </c>
      <c r="N2">
        <f>[1]summ_states!N2</f>
        <v>1165.08297331273</v>
      </c>
      <c r="O2">
        <f>[1]summ_states!O2</f>
        <v>4298.9073263264499</v>
      </c>
      <c r="P2">
        <f>[1]summ_states!P2</f>
        <v>6273.6401604320199</v>
      </c>
      <c r="Q2">
        <f>[1]summ_states!Q2</f>
        <v>6100.9296170314001</v>
      </c>
      <c r="R2">
        <f>[1]summ_states!R2</f>
        <v>6453.5478674095702</v>
      </c>
      <c r="S2">
        <f>[1]summ_states!S2</f>
        <v>1.21826112406626</v>
      </c>
      <c r="T2">
        <f>[1]summ_states!T2</f>
        <v>1.18472293326144</v>
      </c>
      <c r="U2">
        <f>[1]summ_states!U2</f>
        <v>1.2531969124962401</v>
      </c>
      <c r="V2">
        <f>[1]summ_states!V2</f>
        <v>1123.97229654082</v>
      </c>
      <c r="W2">
        <f>[1]summ_states!W2</f>
        <v>951.26175314020202</v>
      </c>
      <c r="X2">
        <f>[1]summ_states!X2</f>
        <v>1303.8800035183699</v>
      </c>
      <c r="Y2">
        <f>[1]summ_states!Y2</f>
        <v>0.935611551301883</v>
      </c>
      <c r="Z2">
        <f>[1]summ_states!Z2</f>
        <v>0.90606151816721403</v>
      </c>
      <c r="AA2">
        <f>[1]summ_states!AA2</f>
        <v>0.96781102344813197</v>
      </c>
      <c r="AB2">
        <f>[1]summ_states!AB2</f>
        <v>28995881</v>
      </c>
      <c r="AC2">
        <f>[1]summ_states!AC2</f>
        <v>3969.8564464285701</v>
      </c>
      <c r="AD2">
        <f>[1]summ_states!AD2</f>
        <v>1023.13831607142</v>
      </c>
      <c r="AE2">
        <f>[1]summ_states!AE2</f>
        <v>2270.19130178571</v>
      </c>
      <c r="AF2">
        <f>[1]summ_states!AF2</f>
        <v>9.0114173928571404</v>
      </c>
      <c r="AG2">
        <f>[1]summ_states!AG2</f>
        <v>512.64482892857097</v>
      </c>
      <c r="AH2">
        <f>[1]summ_states!AH2</f>
        <v>60.8746054285714</v>
      </c>
      <c r="AI2">
        <f>[1]summ_states!AI2</f>
        <v>93.995977535714204</v>
      </c>
      <c r="AJ2">
        <f>[1]summ_states!AJ2</f>
        <v>2.1636315035338999E-4</v>
      </c>
      <c r="AK2" t="str">
        <f t="shared" ref="AK2:AK49" si="0">_xlfn.CONCAT(TEXT(ROUND(P2,0), "0"), " (", TEXT(ROUND(Q2,0), "0"), ", ",TEXT(ROUND(R2,0), "0"), ")")</f>
        <v>6274 (6101, 6454)</v>
      </c>
      <c r="AL2" t="str">
        <f t="shared" ref="AL2:AL49" si="1">_xlfn.CONCAT(TEXT(ROUND(S2,2), "0.00"), " (", TEXT(ROUND(T2,2), "0.00"), ", ", TEXT(ROUND(U2,2), "0.00"), ")")</f>
        <v>1.22 (1.18, 1.25)</v>
      </c>
      <c r="AM2" t="str">
        <f t="shared" ref="AM2:AM49" si="2">_xlfn.CONCAT(TEXT(ROUND(Y2,2), "0.00"), " (", TEXT(ROUND(Z2,2), "0.00"), ", ",TEXT(ROUND(AA2,2), "0.00"), ")")</f>
        <v>0.94 (0.91, 0.97)</v>
      </c>
      <c r="AN2" t="str">
        <f t="shared" ref="AN2:AN49" si="3">_xlfn.CONCAT(TEXT(ROUND(100*Y2,2), "0"), " (", TEXT(ROUND(100*Z2,2), "0"), ", ", TEXT(ROUND(100*AA2,2), "0"), ")")</f>
        <v>94 (91, 97)</v>
      </c>
      <c r="AO2">
        <f>SUM($I$2:I2)/SUM($I$2:$I$49)</f>
        <v>0.18204668274754257</v>
      </c>
      <c r="AP2">
        <f>SUM($P$2:P2)/SUM($P$2:$P$49)</f>
        <v>0.20628285346123668</v>
      </c>
      <c r="AQ2">
        <f>P2-AC2</f>
        <v>2303.7837140034499</v>
      </c>
      <c r="AR2">
        <f>AQ2/AC2</f>
        <v>0.58031914883874935</v>
      </c>
      <c r="AS2">
        <f>(K2-AH2)/$AQ2</f>
        <v>-5.4772627252143175E-3</v>
      </c>
      <c r="AT2">
        <f>(J2-C2)/$AI2</f>
        <v>0.26244735848729805</v>
      </c>
      <c r="AU2">
        <f>(L2-AF2)/$AQ2</f>
        <v>6.6712443478228111E-3</v>
      </c>
      <c r="AV2">
        <f>(M2-AG2)/$AQ2</f>
        <v>4.9657636338160505E-2</v>
      </c>
      <c r="AW2">
        <f>(N2-AD2)/$AQ2</f>
        <v>6.161370808314405E-2</v>
      </c>
      <c r="AX2">
        <f>(O2-AE2)/$AQ2</f>
        <v>0.88060177359935188</v>
      </c>
      <c r="AY2" t="str" cm="1">
        <f t="array" ref="AY2">_xlfn.IFS(Q2&gt;BG2, "Significant increase", R2&lt;BG2, "Significant decrease", AND(Q2&lt;=BG2, BG2&lt;=R2), "No significant change")</f>
        <v>Significant increase</v>
      </c>
      <c r="AZ2">
        <f>SUMIF($P$2:P2, "&gt;0")/SUMIF($P$2:$P$49, "&gt;0")</f>
        <v>0.20628285346123668</v>
      </c>
      <c r="BA2">
        <f t="shared" ref="BA2:BA49" si="4">J2/$P2</f>
        <v>1.7528560284291839E-2</v>
      </c>
      <c r="BB2">
        <f>K2/$P2</f>
        <v>7.6918942640760973E-3</v>
      </c>
      <c r="BC2">
        <f t="shared" ref="BC2:BC49" si="5">L2/$P2</f>
        <v>3.8861842327644739E-3</v>
      </c>
      <c r="BD2">
        <f>M2/$P2</f>
        <v>9.9949194847852252E-2</v>
      </c>
      <c r="BE2">
        <f t="shared" ref="BE2:BE49" si="6">N2/$P2</f>
        <v>0.1857108382882609</v>
      </c>
      <c r="BF2">
        <f t="shared" ref="BF2:BF49" si="7">O2/$P2</f>
        <v>0.68523332808275306</v>
      </c>
      <c r="BG2">
        <f>VLOOKUP($A2,epa!$A$1:$H$49,2,FALSE)/25*1000</f>
        <v>3790.4188991999999</v>
      </c>
      <c r="BH2">
        <f>VLOOKUP($A2,epa!$A$1:$H$49,3,FALSE)/25*1000</f>
        <v>1023.1383164000001</v>
      </c>
      <c r="BI2">
        <f>VLOOKUP($A2,epa!$A$1:$H$49,4,FALSE)/25*1000</f>
        <v>2095.5289784000001</v>
      </c>
      <c r="BJ2">
        <f>VLOOKUP($A2,epa!$A$1:$H$49,5,FALSE)/25*1000</f>
        <v>9.0114173600000012</v>
      </c>
      <c r="BK2">
        <f>VLOOKUP($A2,epa!$A$1:$H$49,6,FALSE)/25*1000</f>
        <v>509.27135040000002</v>
      </c>
      <c r="BL2">
        <f>VLOOKUP($A2,epa!$A$1:$H$49,7,FALSE)/25*1000</f>
        <v>59.816414960000003</v>
      </c>
      <c r="BM2">
        <f>VLOOKUP($A2,epa!$A$1:$H$49,8,FALSE)/25*1000</f>
        <v>93.652421880000006</v>
      </c>
      <c r="BN2">
        <f t="shared" ref="BN2:BN49" si="8">P2-BG2</f>
        <v>2483.22126123202</v>
      </c>
      <c r="BO2">
        <f>SUM($BG$2:BG2)/SUM($BG$2:$BG$49)</f>
        <v>0.14349731971790738</v>
      </c>
      <c r="BP2">
        <f>P2/BG2</f>
        <v>1.655131089008691</v>
      </c>
      <c r="BQ2">
        <f>AVERAGE(BP2:BP49)</f>
        <v>1.0967560827995162</v>
      </c>
    </row>
    <row r="3" spans="1:69" x14ac:dyDescent="0.2">
      <c r="A3" t="str">
        <f>[1]summ_states!A3</f>
        <v>California</v>
      </c>
      <c r="B3">
        <f>[1]summ_states!B3</f>
        <v>419528.14195896598</v>
      </c>
      <c r="C3">
        <f>[1]summ_states!C3</f>
        <v>137.85350493356799</v>
      </c>
      <c r="D3">
        <f>[1]summ_states!D3</f>
        <v>50.9227318602248</v>
      </c>
      <c r="E3">
        <f>[1]summ_states!E3</f>
        <v>0</v>
      </c>
      <c r="F3">
        <f>[1]summ_states!F3</f>
        <v>507.90839475567901</v>
      </c>
      <c r="G3">
        <f>[1]summ_states!G3</f>
        <v>877.08980386952896</v>
      </c>
      <c r="H3">
        <f>[1]summ_states!H3</f>
        <v>190.679394617025</v>
      </c>
      <c r="I3">
        <f>[1]summ_states!I3</f>
        <v>1764.45383003602</v>
      </c>
      <c r="J3">
        <f>[1]summ_states!J3</f>
        <v>148.362517370879</v>
      </c>
      <c r="K3">
        <f>[1]summ_states!K3</f>
        <v>57.877325319065903</v>
      </c>
      <c r="L3">
        <f>[1]summ_states!L3</f>
        <v>0</v>
      </c>
      <c r="M3">
        <f>[1]summ_states!M3</f>
        <v>514.26394497370904</v>
      </c>
      <c r="N3">
        <f>[1]summ_states!N3</f>
        <v>1103.64210464251</v>
      </c>
      <c r="O3">
        <f>[1]summ_states!O3</f>
        <v>230.79056996985901</v>
      </c>
      <c r="P3">
        <f>[1]summ_states!P3</f>
        <v>2054.9364622760299</v>
      </c>
      <c r="Q3">
        <f>[1]summ_states!Q3</f>
        <v>1969.7354771475</v>
      </c>
      <c r="R3">
        <f>[1]summ_states!R3</f>
        <v>2122.2114655775199</v>
      </c>
      <c r="S3">
        <f>[1]summ_states!S3</f>
        <v>1.16463033902908</v>
      </c>
      <c r="T3">
        <f>[1]summ_states!T3</f>
        <v>1.11634288390945</v>
      </c>
      <c r="U3">
        <f>[1]summ_states!U3</f>
        <v>1.2027582867012001</v>
      </c>
      <c r="V3">
        <f>[1]summ_states!V3</f>
        <v>290.48263224000601</v>
      </c>
      <c r="W3">
        <f>[1]summ_states!W3</f>
        <v>205.28164711148099</v>
      </c>
      <c r="X3">
        <f>[1]summ_states!X3</f>
        <v>357.75763554149199</v>
      </c>
      <c r="Y3">
        <f>[1]summ_states!Y3</f>
        <v>0.84794387402196503</v>
      </c>
      <c r="Z3">
        <f>[1]summ_states!Z3</f>
        <v>0.76378075206001195</v>
      </c>
      <c r="AA3">
        <f>[1]summ_states!AA3</f>
        <v>0.92799994713238398</v>
      </c>
      <c r="AB3">
        <f>[1]summ_states!AB3</f>
        <v>39512223</v>
      </c>
      <c r="AC3">
        <f>[1]summ_states!AC3</f>
        <v>1623.32374107142</v>
      </c>
      <c r="AD3">
        <f>[1]summ_states!AD3</f>
        <v>759.60579142857102</v>
      </c>
      <c r="AE3">
        <f>[1]summ_states!AE3</f>
        <v>231.03068728571401</v>
      </c>
      <c r="AF3">
        <f>[1]summ_states!AF3</f>
        <v>0</v>
      </c>
      <c r="AG3">
        <f>[1]summ_states!AG3</f>
        <v>356.218249678571</v>
      </c>
      <c r="AH3">
        <f>[1]summ_states!AH3</f>
        <v>58.944358357142796</v>
      </c>
      <c r="AI3">
        <f>[1]summ_states!AI3</f>
        <v>217.52465432142799</v>
      </c>
      <c r="AJ3">
        <f>[1]summ_states!AJ3</f>
        <v>5.20076145114901E-5</v>
      </c>
      <c r="AK3" t="str">
        <f t="shared" si="0"/>
        <v>2055 (1970, 2122)</v>
      </c>
      <c r="AL3" t="str">
        <f t="shared" si="1"/>
        <v>1.16 (1.12, 1.20)</v>
      </c>
      <c r="AM3" t="str">
        <f t="shared" si="2"/>
        <v>0.85 (0.76, 0.93)</v>
      </c>
      <c r="AN3" t="str">
        <f t="shared" si="3"/>
        <v>85 (76, 93)</v>
      </c>
      <c r="AO3">
        <f>SUM($I$2:I3)/SUM($I$2:$I$49)</f>
        <v>0.24442215532346498</v>
      </c>
      <c r="AP3">
        <f>SUM($P$2:P3)/SUM($P$2:$P$49)</f>
        <v>0.27385098715710482</v>
      </c>
      <c r="AQ3">
        <f t="shared" ref="AQ3:AQ49" si="9">P3-AC3</f>
        <v>431.6127212046099</v>
      </c>
      <c r="AR3">
        <f>AQ3/AC3</f>
        <v>0.26588209750430836</v>
      </c>
      <c r="AS3">
        <f t="shared" ref="AS3:AS49" si="10">(K3-AH3)/$AQ3</f>
        <v>-2.4722001592048918E-3</v>
      </c>
      <c r="AT3">
        <f t="shared" ref="AT3:AT49" si="11">(J3-C3)/$AI3</f>
        <v>4.8311822262603131E-2</v>
      </c>
      <c r="AU3">
        <f t="shared" ref="AU3:AU49" si="12">(L3-AF3)/$AQ3</f>
        <v>0</v>
      </c>
      <c r="AV3">
        <f t="shared" ref="AV3:AV49" si="13">(M3-AG3)/$AQ3</f>
        <v>0.36617478477937415</v>
      </c>
      <c r="AW3">
        <f t="shared" ref="AW3:AW49" si="14">(N3-AD3)/$AQ3</f>
        <v>0.79709493328591097</v>
      </c>
      <c r="AX3">
        <f t="shared" ref="AX3:AX49" si="15">(O3-AE3)/$AQ3</f>
        <v>-5.5632585430949921E-4</v>
      </c>
      <c r="AY3" t="str" cm="1">
        <f t="array" ref="AY3">_xlfn.IFS(Q3&gt;BG3, "Significant increase", R3&lt;BG3, "Significant decrease", AND(Q3&lt;=BG3, BG3&lt;=R3), "No significant change")</f>
        <v>Significant increase</v>
      </c>
      <c r="AZ3">
        <f>SUMIF($P$2:P3, "&gt;0")/SUMIF($P$2:$P$49, "&gt;0")</f>
        <v>0.27385098715710482</v>
      </c>
      <c r="BA3">
        <f>J3/$P3</f>
        <v>7.2198104464287885E-2</v>
      </c>
      <c r="BB3">
        <f t="shared" ref="BB3:BB49" si="16">K3/$P3</f>
        <v>2.8165019396736712E-2</v>
      </c>
      <c r="BC3">
        <f t="shared" si="5"/>
        <v>0</v>
      </c>
      <c r="BD3">
        <f t="shared" ref="BD3:BD49" si="17">M3/$P3</f>
        <v>0.25025783249965533</v>
      </c>
      <c r="BE3">
        <f t="shared" si="6"/>
        <v>0.53706872446076781</v>
      </c>
      <c r="BF3">
        <f>O3/$P3</f>
        <v>0.11231031917854889</v>
      </c>
      <c r="BG3">
        <f>VLOOKUP($A3,epa!$A$1:$H$49,2,FALSE)/25*1000</f>
        <v>1698.4228736</v>
      </c>
      <c r="BH3">
        <f>VLOOKUP($A3,epa!$A$1:$H$49,3,FALSE)/25*1000</f>
        <v>759.6057912</v>
      </c>
      <c r="BI3">
        <f>VLOOKUP($A3,epa!$A$1:$H$49,4,FALSE)/25*1000</f>
        <v>308.91403112</v>
      </c>
      <c r="BJ3">
        <f>VLOOKUP($A3,epa!$A$1:$H$49,5,FALSE)/25*1000</f>
        <v>0</v>
      </c>
      <c r="BK3">
        <f>VLOOKUP($A3,epa!$A$1:$H$49,6,FALSE)/25*1000</f>
        <v>347.94754488000001</v>
      </c>
      <c r="BL3">
        <f>VLOOKUP($A3,epa!$A$1:$H$49,7,FALSE)/25*1000</f>
        <v>65.07430248</v>
      </c>
      <c r="BM3">
        <f>VLOOKUP($A3,epa!$A$1:$H$49,8,FALSE)/25*1000</f>
        <v>216.881204</v>
      </c>
      <c r="BN3">
        <f t="shared" si="8"/>
        <v>356.51358867602994</v>
      </c>
      <c r="BO3">
        <f>SUM($BG$2:BG3)/SUM($BG$2:$BG$49)</f>
        <v>0.20779605201913806</v>
      </c>
      <c r="BP3">
        <f t="shared" ref="BP3:BP49" si="18">P3/BG3</f>
        <v>1.2099086124060252</v>
      </c>
    </row>
    <row r="4" spans="1:69" x14ac:dyDescent="0.2">
      <c r="A4" t="str">
        <f>[1]summ_states!A4</f>
        <v>Oklahoma</v>
      </c>
      <c r="B4">
        <f>[1]summ_states!B4</f>
        <v>181251.38394315101</v>
      </c>
      <c r="C4">
        <f>[1]summ_states!C4</f>
        <v>5.6667192569985803</v>
      </c>
      <c r="D4">
        <f>[1]summ_states!D4</f>
        <v>3.0047687391042301</v>
      </c>
      <c r="E4">
        <f>[1]summ_states!E4</f>
        <v>13.1518210652271</v>
      </c>
      <c r="F4">
        <f>[1]summ_states!F4</f>
        <v>107.841009695396</v>
      </c>
      <c r="G4">
        <f>[1]summ_states!G4</f>
        <v>333.32242556618701</v>
      </c>
      <c r="H4">
        <f>[1]summ_states!H4</f>
        <v>635.52164419730298</v>
      </c>
      <c r="I4">
        <f>[1]summ_states!I4</f>
        <v>1098.50838852021</v>
      </c>
      <c r="J4">
        <f>[1]summ_states!J4</f>
        <v>6.3687895302400603</v>
      </c>
      <c r="K4">
        <f>[1]summ_states!K4</f>
        <v>3.1455126765998398</v>
      </c>
      <c r="L4">
        <f>[1]summ_states!L4</f>
        <v>20.414922931297198</v>
      </c>
      <c r="M4">
        <f>[1]summ_states!M4</f>
        <v>120.789567595479</v>
      </c>
      <c r="N4">
        <f>[1]summ_states!N4</f>
        <v>399.17224980996002</v>
      </c>
      <c r="O4">
        <f>[1]summ_states!O4</f>
        <v>894.15006633068504</v>
      </c>
      <c r="P4">
        <f>[1]summ_states!P4</f>
        <v>1444.0411088742601</v>
      </c>
      <c r="Q4">
        <f>[1]summ_states!Q4</f>
        <v>1384.18397735912</v>
      </c>
      <c r="R4">
        <f>[1]summ_states!R4</f>
        <v>1510.8432981881399</v>
      </c>
      <c r="S4">
        <f>[1]summ_states!S4</f>
        <v>1.3145471841316601</v>
      </c>
      <c r="T4">
        <f>[1]summ_states!T4</f>
        <v>1.2600577217473301</v>
      </c>
      <c r="U4">
        <f>[1]summ_states!U4</f>
        <v>1.37535890847713</v>
      </c>
      <c r="V4">
        <f>[1]summ_states!V4</f>
        <v>345.532720354042</v>
      </c>
      <c r="W4">
        <f>[1]summ_states!W4</f>
        <v>285.675588838907</v>
      </c>
      <c r="X4">
        <f>[1]summ_states!X4</f>
        <v>412.334909667928</v>
      </c>
      <c r="Y4">
        <f>[1]summ_states!Y4</f>
        <v>0.85557095843181197</v>
      </c>
      <c r="Z4">
        <f>[1]summ_states!Z4</f>
        <v>0.79027420931349401</v>
      </c>
      <c r="AA4">
        <f>[1]summ_states!AA4</f>
        <v>0.92317102879359902</v>
      </c>
      <c r="AB4">
        <f>[1]summ_states!AB4</f>
        <v>3956971</v>
      </c>
      <c r="AC4">
        <f>[1]summ_states!AC4</f>
        <v>1247.5756325</v>
      </c>
      <c r="AD4">
        <f>[1]summ_states!AD4</f>
        <v>379.69665142857099</v>
      </c>
      <c r="AE4">
        <f>[1]summ_states!AE4</f>
        <v>762.65617964285696</v>
      </c>
      <c r="AF4">
        <f>[1]summ_states!AF4</f>
        <v>3.3555354999999998</v>
      </c>
      <c r="AG4">
        <f>[1]summ_states!AG4</f>
        <v>86.371345678571402</v>
      </c>
      <c r="AH4">
        <f>[1]summ_states!AH4</f>
        <v>8.8097633214285693</v>
      </c>
      <c r="AI4">
        <f>[1]summ_states!AI4</f>
        <v>6.6861569285714202</v>
      </c>
      <c r="AJ4">
        <f>[1]summ_states!AJ4</f>
        <v>3.6493598484150098E-4</v>
      </c>
      <c r="AK4" t="str">
        <f t="shared" si="0"/>
        <v>1444 (1384, 1511)</v>
      </c>
      <c r="AL4" t="str">
        <f t="shared" si="1"/>
        <v>1.31 (1.26, 1.38)</v>
      </c>
      <c r="AM4" t="str">
        <f t="shared" si="2"/>
        <v>0.86 (0.79, 0.92)</v>
      </c>
      <c r="AN4" t="str">
        <f t="shared" si="3"/>
        <v>86 (79, 92)</v>
      </c>
      <c r="AO4">
        <f>SUM($I$2:I4)/SUM($I$2:$I$49)</f>
        <v>0.28325569049234173</v>
      </c>
      <c r="AP4">
        <f>SUM($P$2:P4)/SUM($P$2:$P$49)</f>
        <v>0.32133233974290532</v>
      </c>
      <c r="AQ4">
        <f t="shared" si="9"/>
        <v>196.46547637426011</v>
      </c>
      <c r="AR4">
        <f t="shared" ref="AR4:AR49" si="19">AQ4/AC4</f>
        <v>0.15747780836386294</v>
      </c>
      <c r="AS4">
        <f t="shared" si="10"/>
        <v>-2.8830768384153781E-2</v>
      </c>
      <c r="AT4">
        <f t="shared" si="11"/>
        <v>0.10500355895647308</v>
      </c>
      <c r="AU4">
        <f t="shared" si="12"/>
        <v>8.6831476685499911E-2</v>
      </c>
      <c r="AV4">
        <f t="shared" si="13"/>
        <v>0.17518712474115322</v>
      </c>
      <c r="AW4">
        <f t="shared" si="14"/>
        <v>9.9129876356946686E-2</v>
      </c>
      <c r="AX4">
        <f t="shared" si="15"/>
        <v>0.66929767567578469</v>
      </c>
      <c r="AY4" t="str" cm="1">
        <f t="array" ref="AY4">_xlfn.IFS(Q4&gt;BG4, "Significant increase", R4&lt;BG4, "Significant decrease", AND(Q4&lt;=BG4, BG4&lt;=R4), "No significant change")</f>
        <v>Significant increase</v>
      </c>
      <c r="AZ4">
        <f>SUMIF($P$2:P4, "&gt;0")/SUMIF($P$2:$P$49, "&gt;0")</f>
        <v>0.32133233974290532</v>
      </c>
      <c r="BA4">
        <f t="shared" si="4"/>
        <v>4.4103935068753111E-3</v>
      </c>
      <c r="BB4">
        <f t="shared" si="16"/>
        <v>2.1782708658841482E-3</v>
      </c>
      <c r="BC4">
        <f t="shared" si="5"/>
        <v>1.4137355789830792E-2</v>
      </c>
      <c r="BD4">
        <f t="shared" si="17"/>
        <v>8.3646903715673071E-2</v>
      </c>
      <c r="BE4">
        <f t="shared" si="6"/>
        <v>0.27642720650878505</v>
      </c>
      <c r="BF4">
        <f t="shared" si="7"/>
        <v>0.61919986961295237</v>
      </c>
      <c r="BG4">
        <f>VLOOKUP($A4,epa!$A$1:$H$49,2,FALSE)/25*1000</f>
        <v>1128.0584832</v>
      </c>
      <c r="BH4">
        <f>VLOOKUP($A4,epa!$A$1:$H$49,3,FALSE)/25*1000</f>
        <v>379.69665143999998</v>
      </c>
      <c r="BI4">
        <f>VLOOKUP($A4,epa!$A$1:$H$49,4,FALSE)/25*1000</f>
        <v>642.90140480000002</v>
      </c>
      <c r="BJ4">
        <f>VLOOKUP($A4,epa!$A$1:$H$49,5,FALSE)/25*1000</f>
        <v>3.3555355199999997</v>
      </c>
      <c r="BK4">
        <f>VLOOKUP($A4,epa!$A$1:$H$49,6,FALSE)/25*1000</f>
        <v>85.951738360000007</v>
      </c>
      <c r="BL4">
        <f>VLOOKUP($A4,epa!$A$1:$H$49,7,FALSE)/25*1000</f>
        <v>9.5682700399999998</v>
      </c>
      <c r="BM4">
        <f>VLOOKUP($A4,epa!$A$1:$H$49,8,FALSE)/25*1000</f>
        <v>6.5848829200000001</v>
      </c>
      <c r="BN4">
        <f t="shared" si="8"/>
        <v>315.98262567426013</v>
      </c>
      <c r="BO4">
        <f>SUM($BG$2:BG4)/SUM($BG$2:$BG$49)</f>
        <v>0.25050198324442108</v>
      </c>
      <c r="BP4">
        <f t="shared" si="18"/>
        <v>1.2801119182915961</v>
      </c>
    </row>
    <row r="5" spans="1:69" x14ac:dyDescent="0.2">
      <c r="A5" t="str">
        <f>[1]summ_states!A5</f>
        <v>Pennsylvania</v>
      </c>
      <c r="B5">
        <f>[1]summ_states!B5</f>
        <v>119030.738739425</v>
      </c>
      <c r="C5">
        <f>[1]summ_states!C5</f>
        <v>16.4767680734465</v>
      </c>
      <c r="D5">
        <f>[1]summ_states!D5</f>
        <v>16.175389046505501</v>
      </c>
      <c r="E5">
        <f>[1]summ_states!E5</f>
        <v>460.75425524034398</v>
      </c>
      <c r="F5">
        <f>[1]summ_states!F5</f>
        <v>130.55926670236201</v>
      </c>
      <c r="G5">
        <f>[1]summ_states!G5</f>
        <v>164.83512645372301</v>
      </c>
      <c r="H5">
        <f>[1]summ_states!H5</f>
        <v>408.641334495781</v>
      </c>
      <c r="I5">
        <f>[1]summ_states!I5</f>
        <v>1197.4421400121601</v>
      </c>
      <c r="J5">
        <f>[1]summ_states!J5</f>
        <v>20.259300327989301</v>
      </c>
      <c r="K5">
        <f>[1]summ_states!K5</f>
        <v>19.738841741146299</v>
      </c>
      <c r="L5">
        <f>[1]summ_states!L5</f>
        <v>524.41799690167204</v>
      </c>
      <c r="M5">
        <f>[1]summ_states!M5</f>
        <v>196.344279733804</v>
      </c>
      <c r="N5">
        <f>[1]summ_states!N5</f>
        <v>195.53427327707701</v>
      </c>
      <c r="O5">
        <f>[1]summ_states!O5</f>
        <v>237.734773745572</v>
      </c>
      <c r="P5">
        <f>[1]summ_states!P5</f>
        <v>1194.02946572726</v>
      </c>
      <c r="Q5">
        <f>[1]summ_states!Q5</f>
        <v>1060.9207141762199</v>
      </c>
      <c r="R5">
        <f>[1]summ_states!R5</f>
        <v>1383.5827553592001</v>
      </c>
      <c r="S5">
        <f>[1]summ_states!S5</f>
        <v>0.99715002990886303</v>
      </c>
      <c r="T5">
        <f>[1]summ_states!T5</f>
        <v>0.88598912525781803</v>
      </c>
      <c r="U5">
        <f>[1]summ_states!U5</f>
        <v>1.1554485257593701</v>
      </c>
      <c r="V5">
        <f>[1]summ_states!V5</f>
        <v>-3.4126742849015499</v>
      </c>
      <c r="W5">
        <f>[1]summ_states!W5</f>
        <v>-136.52142583593701</v>
      </c>
      <c r="X5">
        <f>[1]summ_states!X5</f>
        <v>186.140615347037</v>
      </c>
      <c r="Y5">
        <f>[1]summ_states!Y5</f>
        <v>0.54912836120384001</v>
      </c>
      <c r="Z5">
        <f>[1]summ_states!Z5</f>
        <v>0.38028006664323499</v>
      </c>
      <c r="AA5">
        <f>[1]summ_states!AA5</f>
        <v>0.77406735836261997</v>
      </c>
      <c r="AB5">
        <f>[1]summ_states!AB5</f>
        <v>12801989</v>
      </c>
      <c r="AC5">
        <f>[1]summ_states!AC5</f>
        <v>1629.36586607142</v>
      </c>
      <c r="AD5">
        <f>[1]summ_states!AD5</f>
        <v>198.78206607142801</v>
      </c>
      <c r="AE5">
        <f>[1]summ_states!AE5</f>
        <v>776.86058214285697</v>
      </c>
      <c r="AF5">
        <f>[1]summ_states!AF5</f>
        <v>497.84749499999998</v>
      </c>
      <c r="AG5">
        <f>[1]summ_states!AG5</f>
        <v>110.305145107142</v>
      </c>
      <c r="AH5">
        <f>[1]summ_states!AH5</f>
        <v>23.721975892857099</v>
      </c>
      <c r="AI5">
        <f>[1]summ_states!AI5</f>
        <v>21.8486018571428</v>
      </c>
      <c r="AJ5">
        <f>[1]summ_states!AJ5</f>
        <v>9.3269058872590997E-5</v>
      </c>
      <c r="AK5" t="str">
        <f t="shared" si="0"/>
        <v>1194 (1061, 1384)</v>
      </c>
      <c r="AL5" t="str">
        <f t="shared" si="1"/>
        <v>1.00 (0.89, 1.16)</v>
      </c>
      <c r="AM5" t="str">
        <f t="shared" si="2"/>
        <v>0.55 (0.38, 0.77)</v>
      </c>
      <c r="AN5" t="str">
        <f t="shared" si="3"/>
        <v>55 (38, 77)</v>
      </c>
      <c r="AO5">
        <f>SUM($I$2:I5)/SUM($I$2:$I$49)</f>
        <v>0.32558664758179845</v>
      </c>
      <c r="AP5">
        <f>SUM($P$2:P5)/SUM($P$2:$P$49)</f>
        <v>0.36059308773104842</v>
      </c>
      <c r="AQ5">
        <f t="shared" si="9"/>
        <v>-435.33640034415998</v>
      </c>
      <c r="AR5">
        <f t="shared" si="19"/>
        <v>-0.26718149030199329</v>
      </c>
      <c r="AS5">
        <f t="shared" si="10"/>
        <v>9.1495545710441155E-3</v>
      </c>
      <c r="AT5">
        <f t="shared" si="11"/>
        <v>0.17312468226914052</v>
      </c>
      <c r="AU5">
        <f t="shared" si="12"/>
        <v>-6.1034413572277568E-2</v>
      </c>
      <c r="AV5">
        <f t="shared" si="13"/>
        <v>-0.1976382736629485</v>
      </c>
      <c r="AW5">
        <f t="shared" si="14"/>
        <v>7.4604209337501325E-3</v>
      </c>
      <c r="AX5">
        <f t="shared" si="15"/>
        <v>1.23841196824128</v>
      </c>
      <c r="AY5" t="str" cm="1">
        <f t="array" ref="AY5">_xlfn.IFS(Q5&gt;BG5, "Significant increase", R5&lt;BG5, "Significant decrease", AND(Q5&lt;=BG5, BG5&lt;=R5), "No significant change")</f>
        <v>Significant decrease</v>
      </c>
      <c r="AZ5">
        <f>SUMIF($P$2:P5, "&gt;0")/SUMIF($P$2:$P$49, "&gt;0")</f>
        <v>0.36059308773104842</v>
      </c>
      <c r="BA5">
        <f t="shared" si="4"/>
        <v>1.6967169495812867E-2</v>
      </c>
      <c r="BB5">
        <f t="shared" si="16"/>
        <v>1.65312852887795E-2</v>
      </c>
      <c r="BC5">
        <f t="shared" si="5"/>
        <v>0.43920021402676129</v>
      </c>
      <c r="BD5">
        <f t="shared" si="17"/>
        <v>0.16443838730078117</v>
      </c>
      <c r="BE5">
        <f t="shared" si="6"/>
        <v>0.16376000667452617</v>
      </c>
      <c r="BF5">
        <f t="shared" si="7"/>
        <v>0.19910293721333955</v>
      </c>
      <c r="BG5">
        <f>VLOOKUP($A5,epa!$A$1:$H$49,2,FALSE)/25*1000</f>
        <v>1554.5241328000002</v>
      </c>
      <c r="BH5">
        <f>VLOOKUP($A5,epa!$A$1:$H$49,3,FALSE)/25*1000</f>
        <v>198.78206607999999</v>
      </c>
      <c r="BI5">
        <f>VLOOKUP($A5,epa!$A$1:$H$49,4,FALSE)/25*1000</f>
        <v>702.59305039999992</v>
      </c>
      <c r="BJ5">
        <f>VLOOKUP($A5,epa!$A$1:$H$49,5,FALSE)/25*1000</f>
        <v>497.84749519999997</v>
      </c>
      <c r="BK5">
        <f>VLOOKUP($A5,epa!$A$1:$H$49,6,FALSE)/25*1000</f>
        <v>108.5346164</v>
      </c>
      <c r="BL5">
        <f>VLOOKUP($A5,epa!$A$1:$H$49,7,FALSE)/25*1000</f>
        <v>25.03377944</v>
      </c>
      <c r="BM5">
        <f>VLOOKUP($A5,epa!$A$1:$H$49,8,FALSE)/25*1000</f>
        <v>21.733125640000004</v>
      </c>
      <c r="BN5">
        <f t="shared" si="8"/>
        <v>-360.49466707274019</v>
      </c>
      <c r="BO5">
        <f>SUM($BG$2:BG5)/SUM($BG$2:$BG$49)</f>
        <v>0.30935301064423831</v>
      </c>
      <c r="BP5">
        <f t="shared" si="18"/>
        <v>0.76809966505735794</v>
      </c>
    </row>
    <row r="6" spans="1:69" x14ac:dyDescent="0.2">
      <c r="A6" t="str">
        <f>[1]summ_states!A6</f>
        <v>New Mexico</v>
      </c>
      <c r="B6">
        <f>[1]summ_states!B6</f>
        <v>315381.73739672097</v>
      </c>
      <c r="C6">
        <f>[1]summ_states!C6</f>
        <v>3.7374411722330199</v>
      </c>
      <c r="D6">
        <f>[1]summ_states!D6</f>
        <v>2.0513615977798301</v>
      </c>
      <c r="E6">
        <f>[1]summ_states!E6</f>
        <v>39.016268753411197</v>
      </c>
      <c r="F6">
        <f>[1]summ_states!F6</f>
        <v>63.635278382430698</v>
      </c>
      <c r="G6">
        <f>[1]summ_states!G6</f>
        <v>213.21449304341999</v>
      </c>
      <c r="H6">
        <f>[1]summ_states!H6</f>
        <v>945.55737677040997</v>
      </c>
      <c r="I6">
        <f>[1]summ_states!I6</f>
        <v>1267.21221971968</v>
      </c>
      <c r="J6">
        <f>[1]summ_states!J6</f>
        <v>3.3228366148271</v>
      </c>
      <c r="K6">
        <f>[1]summ_states!K6</f>
        <v>1.5910243644114499</v>
      </c>
      <c r="L6">
        <f>[1]summ_states!L6</f>
        <v>32.050109741330402</v>
      </c>
      <c r="M6">
        <f>[1]summ_states!M6</f>
        <v>-34.084211834014397</v>
      </c>
      <c r="N6">
        <f>[1]summ_states!N6</f>
        <v>211.02449903763301</v>
      </c>
      <c r="O6">
        <f>[1]summ_states!O6</f>
        <v>924.85679707509701</v>
      </c>
      <c r="P6">
        <f>[1]summ_states!P6</f>
        <v>1138.7610549992801</v>
      </c>
      <c r="Q6">
        <f>[1]summ_states!Q6</f>
        <v>1099.8338935694601</v>
      </c>
      <c r="R6">
        <f>[1]summ_states!R6</f>
        <v>1180.17813832459</v>
      </c>
      <c r="S6">
        <f>[1]summ_states!S6</f>
        <v>0.89863484369743896</v>
      </c>
      <c r="T6">
        <f>[1]summ_states!T6</f>
        <v>0.86791610470166403</v>
      </c>
      <c r="U6">
        <f>[1]summ_states!U6</f>
        <v>0.93131846423139797</v>
      </c>
      <c r="V6">
        <f>[1]summ_states!V6</f>
        <v>-128.45116472039999</v>
      </c>
      <c r="W6">
        <f>[1]summ_states!W6</f>
        <v>-167.37832615022501</v>
      </c>
      <c r="X6">
        <f>[1]summ_states!X6</f>
        <v>-87.034081395086702</v>
      </c>
      <c r="Y6">
        <f>[1]summ_states!Y6</f>
        <v>0.95479810086868599</v>
      </c>
      <c r="Z6">
        <f>[1]summ_states!Z6</f>
        <v>0.93291329825151503</v>
      </c>
      <c r="AA6">
        <f>[1]summ_states!AA6</f>
        <v>0.97758183785247899</v>
      </c>
      <c r="AB6">
        <f>[1]summ_states!AB6</f>
        <v>2096829</v>
      </c>
      <c r="AC6">
        <f>[1]summ_states!AC6</f>
        <v>729.36398857142797</v>
      </c>
      <c r="AD6">
        <f>[1]summ_states!AD6</f>
        <v>169.67807424999901</v>
      </c>
      <c r="AE6">
        <f>[1]summ_states!AE6</f>
        <v>486.63874928571403</v>
      </c>
      <c r="AF6">
        <f>[1]summ_states!AF6</f>
        <v>28.419270571428498</v>
      </c>
      <c r="AG6">
        <f>[1]summ_states!AG6</f>
        <v>34.388731785714199</v>
      </c>
      <c r="AH6">
        <f>[1]summ_states!AH6</f>
        <v>3.8180699285714201</v>
      </c>
      <c r="AI6">
        <f>[1]summ_states!AI6</f>
        <v>6.4210925000000003</v>
      </c>
      <c r="AJ6">
        <f>[1]summ_states!AJ6</f>
        <v>5.4308723076573501E-4</v>
      </c>
      <c r="AK6" t="str">
        <f t="shared" si="0"/>
        <v>1139 (1100, 1180)</v>
      </c>
      <c r="AL6" t="str">
        <f t="shared" si="1"/>
        <v>0.90 (0.87, 0.93)</v>
      </c>
      <c r="AM6" t="str">
        <f t="shared" si="2"/>
        <v>0.95 (0.93, 0.98)</v>
      </c>
      <c r="AN6" t="str">
        <f t="shared" si="3"/>
        <v>95 (93, 98)</v>
      </c>
      <c r="AO6">
        <f>SUM($I$2:I6)/SUM($I$2:$I$49)</f>
        <v>0.37038405724674001</v>
      </c>
      <c r="AP6">
        <f>SUM($P$2:P6)/SUM($P$2:$P$49)</f>
        <v>0.39803656134901944</v>
      </c>
      <c r="AQ6">
        <f t="shared" si="9"/>
        <v>409.39706642785211</v>
      </c>
      <c r="AR6">
        <f t="shared" si="19"/>
        <v>0.56130693706131485</v>
      </c>
      <c r="AS6">
        <f t="shared" si="10"/>
        <v>-5.4398180807493446E-3</v>
      </c>
      <c r="AT6">
        <f t="shared" si="11"/>
        <v>-6.456916130797366E-2</v>
      </c>
      <c r="AU6">
        <f t="shared" si="12"/>
        <v>8.868747403547322E-3</v>
      </c>
      <c r="AV6">
        <f t="shared" si="13"/>
        <v>-0.16725313695376848</v>
      </c>
      <c r="AW6">
        <f t="shared" si="14"/>
        <v>0.10099345642214184</v>
      </c>
      <c r="AX6">
        <f t="shared" si="15"/>
        <v>1.0703986025425269</v>
      </c>
      <c r="AY6" t="str" cm="1">
        <f t="array" ref="AY6">_xlfn.IFS(Q6&gt;BG6, "Significant increase", R6&lt;BG6, "Significant decrease", AND(Q6&lt;=BG6, BG6&lt;=R6), "No significant change")</f>
        <v>Significant increase</v>
      </c>
      <c r="AZ6">
        <f>SUMIF($P$2:P6, "&gt;0")/SUMIF($P$2:$P$49, "&gt;0")</f>
        <v>0.39803656134901944</v>
      </c>
      <c r="BA6">
        <f t="shared" si="4"/>
        <v>2.9179401598250134E-3</v>
      </c>
      <c r="BB6">
        <f t="shared" si="16"/>
        <v>1.3971538255779705E-3</v>
      </c>
      <c r="BC6">
        <f t="shared" si="5"/>
        <v>2.8144718859700258E-2</v>
      </c>
      <c r="BD6">
        <f t="shared" si="17"/>
        <v>-2.9930960217142255E-2</v>
      </c>
      <c r="BE6">
        <f t="shared" si="6"/>
        <v>0.18531060410892469</v>
      </c>
      <c r="BF6">
        <f t="shared" si="7"/>
        <v>0.81216054326311826</v>
      </c>
      <c r="BG6">
        <f>VLOOKUP($A6,epa!$A$1:$H$49,2,FALSE)/25*1000</f>
        <v>647.45154679999996</v>
      </c>
      <c r="BH6">
        <f>VLOOKUP($A6,epa!$A$1:$H$49,3,FALSE)/25*1000</f>
        <v>169.67807428</v>
      </c>
      <c r="BI6">
        <f>VLOOKUP($A6,epa!$A$1:$H$49,4,FALSE)/25*1000</f>
        <v>405.63635440000002</v>
      </c>
      <c r="BJ6">
        <f>VLOOKUP($A6,epa!$A$1:$H$49,5,FALSE)/25*1000</f>
        <v>28.419270559999998</v>
      </c>
      <c r="BK6">
        <f>VLOOKUP($A6,epa!$A$1:$H$49,6,FALSE)/25*1000</f>
        <v>34.35169964</v>
      </c>
      <c r="BL6">
        <f>VLOOKUP($A6,epa!$A$1:$H$49,7,FALSE)/25*1000</f>
        <v>2.9883242800000001</v>
      </c>
      <c r="BM6">
        <f>VLOOKUP($A6,epa!$A$1:$H$49,8,FALSE)/25*1000</f>
        <v>6.3778237999999998</v>
      </c>
      <c r="BN6">
        <f t="shared" si="8"/>
        <v>491.30950819928012</v>
      </c>
      <c r="BO6">
        <f>SUM($BG$2:BG6)/SUM($BG$2:$BG$49)</f>
        <v>0.33386416998671159</v>
      </c>
      <c r="BP6">
        <f t="shared" si="18"/>
        <v>1.758835947844368</v>
      </c>
    </row>
    <row r="7" spans="1:69" x14ac:dyDescent="0.2">
      <c r="A7" t="str">
        <f>[1]summ_states!A7</f>
        <v>Louisiana</v>
      </c>
      <c r="B7">
        <f>[1]summ_states!B7</f>
        <v>134788.45474039001</v>
      </c>
      <c r="C7">
        <f>[1]summ_states!C7</f>
        <v>114.251207429706</v>
      </c>
      <c r="D7">
        <f>[1]summ_states!D7</f>
        <v>7.1406622355128597</v>
      </c>
      <c r="E7">
        <f>[1]summ_states!E7</f>
        <v>1.5288317638311499</v>
      </c>
      <c r="F7">
        <f>[1]summ_states!F7</f>
        <v>103.696107801899</v>
      </c>
      <c r="G7">
        <f>[1]summ_states!G7</f>
        <v>63.015002948614601</v>
      </c>
      <c r="H7">
        <f>[1]summ_states!H7</f>
        <v>430.89271946213501</v>
      </c>
      <c r="I7">
        <f>[1]summ_states!I7</f>
        <v>720.52453164170095</v>
      </c>
      <c r="J7">
        <f>[1]summ_states!J7</f>
        <v>173.958726631785</v>
      </c>
      <c r="K7">
        <f>[1]summ_states!K7</f>
        <v>9.0357610268040798</v>
      </c>
      <c r="L7">
        <f>[1]summ_states!L7</f>
        <v>1.7327400652975899</v>
      </c>
      <c r="M7">
        <f>[1]summ_states!M7</f>
        <v>126.338655404463</v>
      </c>
      <c r="N7">
        <f>[1]summ_states!N7</f>
        <v>79.024701518411803</v>
      </c>
      <c r="O7">
        <f>[1]summ_states!O7</f>
        <v>730.73108347281197</v>
      </c>
      <c r="P7">
        <f>[1]summ_states!P7</f>
        <v>1120.8216681195699</v>
      </c>
      <c r="Q7">
        <f>[1]summ_states!Q7</f>
        <v>1010.1670667301501</v>
      </c>
      <c r="R7">
        <f>[1]summ_states!R7</f>
        <v>1257.66009361019</v>
      </c>
      <c r="S7">
        <f>[1]summ_states!S7</f>
        <v>1.55556350810957</v>
      </c>
      <c r="T7">
        <f>[1]summ_states!T7</f>
        <v>1.4019884436529899</v>
      </c>
      <c r="U7">
        <f>[1]summ_states!U7</f>
        <v>1.7454785206891399</v>
      </c>
      <c r="V7">
        <f>[1]summ_states!V7</f>
        <v>400.29713647787298</v>
      </c>
      <c r="W7">
        <f>[1]summ_states!W7</f>
        <v>289.64253508845098</v>
      </c>
      <c r="X7">
        <f>[1]summ_states!X7</f>
        <v>537.13556196849402</v>
      </c>
      <c r="Y7">
        <f>[1]summ_states!Y7</f>
        <v>0.54695442619153201</v>
      </c>
      <c r="Z7">
        <f>[1]summ_states!Z7</f>
        <v>0.36914801512184398</v>
      </c>
      <c r="AA7">
        <f>[1]summ_states!AA7</f>
        <v>0.75991995843606297</v>
      </c>
      <c r="AB7">
        <f>[1]summ_states!AB7</f>
        <v>4648794</v>
      </c>
      <c r="AC7">
        <f>[1]summ_states!AC7</f>
        <v>951.33084499999995</v>
      </c>
      <c r="AD7">
        <f>[1]summ_states!AD7</f>
        <v>61.670610500000002</v>
      </c>
      <c r="AE7">
        <f>[1]summ_states!AE7</f>
        <v>627.605404999999</v>
      </c>
      <c r="AF7">
        <f>[1]summ_states!AF7</f>
        <v>0.69013896428571397</v>
      </c>
      <c r="AG7">
        <f>[1]summ_states!AG7</f>
        <v>132.51324535714201</v>
      </c>
      <c r="AH7">
        <f>[1]summ_states!AH7</f>
        <v>10.1029026071428</v>
      </c>
      <c r="AI7">
        <f>[1]summ_states!AI7</f>
        <v>118.748542321428</v>
      </c>
      <c r="AJ7">
        <f>[1]summ_states!AJ7</f>
        <v>2.41099448183673E-4</v>
      </c>
      <c r="AK7" t="str">
        <f t="shared" si="0"/>
        <v>1121 (1010, 1258)</v>
      </c>
      <c r="AL7" t="str">
        <f t="shared" si="1"/>
        <v>1.56 (1.40, 1.75)</v>
      </c>
      <c r="AM7" t="str">
        <f t="shared" si="2"/>
        <v>0.55 (0.37, 0.76)</v>
      </c>
      <c r="AN7" t="str">
        <f t="shared" si="3"/>
        <v>55 (37, 76)</v>
      </c>
      <c r="AO7">
        <f>SUM($I$2:I7)/SUM($I$2:$I$49)</f>
        <v>0.39585542827308118</v>
      </c>
      <c r="AP7">
        <f>SUM($P$2:P7)/SUM($P$2:$P$49)</f>
        <v>0.43489017201338476</v>
      </c>
      <c r="AQ7">
        <f t="shared" si="9"/>
        <v>169.49082311957</v>
      </c>
      <c r="AR7">
        <f t="shared" si="19"/>
        <v>0.17816180775634369</v>
      </c>
      <c r="AS7">
        <f t="shared" si="10"/>
        <v>-6.2961614127384855E-3</v>
      </c>
      <c r="AT7">
        <f t="shared" si="11"/>
        <v>0.50280633374397943</v>
      </c>
      <c r="AU7">
        <f t="shared" si="12"/>
        <v>6.1513719847614201E-3</v>
      </c>
      <c r="AV7">
        <f t="shared" si="13"/>
        <v>-3.6430231672915127E-2</v>
      </c>
      <c r="AW7">
        <f t="shared" si="14"/>
        <v>0.10238956126945635</v>
      </c>
      <c r="AX7">
        <f t="shared" si="15"/>
        <v>0.60844402413493104</v>
      </c>
      <c r="AY7" t="str" cm="1">
        <f t="array" ref="AY7">_xlfn.IFS(Q7&gt;BG7, "Significant increase", R7&lt;BG7, "Significant decrease", AND(Q7&lt;=BG7, BG7&lt;=R7), "No significant change")</f>
        <v>Significant increase</v>
      </c>
      <c r="AZ7">
        <f>SUMIF($P$2:P7, "&gt;0")/SUMIF($P$2:$P$49, "&gt;0")</f>
        <v>0.43489017201338476</v>
      </c>
      <c r="BA7">
        <f t="shared" si="4"/>
        <v>0.15520642719518424</v>
      </c>
      <c r="BB7">
        <f t="shared" si="16"/>
        <v>8.0617294292352482E-3</v>
      </c>
      <c r="BC7">
        <f t="shared" si="5"/>
        <v>1.5459551814381413E-3</v>
      </c>
      <c r="BD7">
        <f t="shared" si="17"/>
        <v>0.11271967610728338</v>
      </c>
      <c r="BE7">
        <f t="shared" si="6"/>
        <v>7.0506043705412552E-2</v>
      </c>
      <c r="BF7">
        <f t="shared" si="7"/>
        <v>0.65196016838144955</v>
      </c>
      <c r="BG7">
        <f>VLOOKUP($A7,epa!$A$1:$H$49,2,FALSE)/25*1000</f>
        <v>765.81227560000002</v>
      </c>
      <c r="BH7">
        <f>VLOOKUP($A7,epa!$A$1:$H$49,3,FALSE)/25*1000</f>
        <v>61.670610520000004</v>
      </c>
      <c r="BI7">
        <f>VLOOKUP($A7,epa!$A$1:$H$49,4,FALSE)/25*1000</f>
        <v>443.3073096</v>
      </c>
      <c r="BJ7">
        <f>VLOOKUP($A7,epa!$A$1:$H$49,5,FALSE)/25*1000</f>
        <v>0.69013896000000008</v>
      </c>
      <c r="BK7">
        <f>VLOOKUP($A7,epa!$A$1:$H$49,6,FALSE)/25*1000</f>
        <v>131.40857556</v>
      </c>
      <c r="BL7">
        <f>VLOOKUP($A7,epa!$A$1:$H$49,7,FALSE)/25*1000</f>
        <v>10.030703240000001</v>
      </c>
      <c r="BM7">
        <f>VLOOKUP($A7,epa!$A$1:$H$49,8,FALSE)/25*1000</f>
        <v>118.70493748</v>
      </c>
      <c r="BN7">
        <f t="shared" si="8"/>
        <v>355.00939251956993</v>
      </c>
      <c r="BO7">
        <f>SUM($BG$2:BG7)/SUM($BG$2:$BG$49)</f>
        <v>0.36285621859085526</v>
      </c>
      <c r="BP7">
        <f t="shared" si="18"/>
        <v>1.4635723451173808</v>
      </c>
    </row>
    <row r="8" spans="1:69" x14ac:dyDescent="0.2">
      <c r="A8" t="str">
        <f>[1]summ_states!A8</f>
        <v>Iowa</v>
      </c>
      <c r="B8">
        <f>[1]summ_states!B8</f>
        <v>145701.021602564</v>
      </c>
      <c r="C8">
        <f>[1]summ_states!C8</f>
        <v>5.2090864988488903</v>
      </c>
      <c r="D8">
        <f>[1]summ_states!D8</f>
        <v>7.5820973878108697</v>
      </c>
      <c r="E8">
        <f>[1]summ_states!E8</f>
        <v>0</v>
      </c>
      <c r="F8">
        <f>[1]summ_states!F8</f>
        <v>71.7346302898152</v>
      </c>
      <c r="G8">
        <f>[1]summ_states!G8</f>
        <v>621.23617024685802</v>
      </c>
      <c r="H8">
        <f>[1]summ_states!H8</f>
        <v>37.006190694960303</v>
      </c>
      <c r="I8">
        <f>[1]summ_states!I8</f>
        <v>742.76817511829404</v>
      </c>
      <c r="J8">
        <f>[1]summ_states!J8</f>
        <v>7.4151287878479701</v>
      </c>
      <c r="K8">
        <f>[1]summ_states!K8</f>
        <v>12.966711119269499</v>
      </c>
      <c r="L8">
        <f>[1]summ_states!L8</f>
        <v>0</v>
      </c>
      <c r="M8">
        <f>[1]summ_states!M8</f>
        <v>116.43266462864</v>
      </c>
      <c r="N8">
        <f>[1]summ_states!N8</f>
        <v>792.88102031679102</v>
      </c>
      <c r="O8">
        <f>[1]summ_states!O8</f>
        <v>59.063531487134497</v>
      </c>
      <c r="P8">
        <f>[1]summ_states!P8</f>
        <v>988.75905633968296</v>
      </c>
      <c r="Q8">
        <f>[1]summ_states!Q8</f>
        <v>951.96772873309305</v>
      </c>
      <c r="R8">
        <f>[1]summ_states!R8</f>
        <v>1010.477035013</v>
      </c>
      <c r="S8">
        <f>[1]summ_states!S8</f>
        <v>1.33118123455169</v>
      </c>
      <c r="T8">
        <f>[1]summ_states!T8</f>
        <v>1.2816485151393</v>
      </c>
      <c r="U8">
        <f>[1]summ_states!U8</f>
        <v>1.36042047688981</v>
      </c>
      <c r="V8">
        <f>[1]summ_states!V8</f>
        <v>245.990881221389</v>
      </c>
      <c r="W8">
        <f>[1]summ_states!W8</f>
        <v>209.19955361479899</v>
      </c>
      <c r="X8">
        <f>[1]summ_states!X8</f>
        <v>267.708859894711</v>
      </c>
      <c r="Y8">
        <f>[1]summ_states!Y8</f>
        <v>0.73502285378013898</v>
      </c>
      <c r="Z8">
        <f>[1]summ_states!Z8</f>
        <v>0.58953234777450703</v>
      </c>
      <c r="AA8">
        <f>[1]summ_states!AA8</f>
        <v>0.87568456517920801</v>
      </c>
      <c r="AB8">
        <f>[1]summ_states!AB8</f>
        <v>3155070</v>
      </c>
      <c r="AC8">
        <f>[1]summ_states!AC8</f>
        <v>706.58047464285698</v>
      </c>
      <c r="AD8">
        <f>[1]summ_states!AD8</f>
        <v>555.41527964285694</v>
      </c>
      <c r="AE8">
        <f>[1]summ_states!AE8</f>
        <v>56.866154642857097</v>
      </c>
      <c r="AF8">
        <f>[1]summ_states!AF8</f>
        <v>0</v>
      </c>
      <c r="AG8">
        <f>[1]summ_states!AG8</f>
        <v>64.696299571428497</v>
      </c>
      <c r="AH8">
        <f>[1]summ_states!AH8</f>
        <v>23.716033249999999</v>
      </c>
      <c r="AI8">
        <f>[1]summ_states!AI8</f>
        <v>5.8867073214285703</v>
      </c>
      <c r="AJ8">
        <f>[1]summ_states!AJ8</f>
        <v>3.1338735950063899E-4</v>
      </c>
      <c r="AK8" t="str">
        <f t="shared" si="0"/>
        <v>989 (952, 1010)</v>
      </c>
      <c r="AL8" t="str">
        <f t="shared" si="1"/>
        <v>1.33 (1.28, 1.36)</v>
      </c>
      <c r="AM8" t="str">
        <f t="shared" si="2"/>
        <v>0.74 (0.59, 0.88)</v>
      </c>
      <c r="AN8" t="str">
        <f t="shared" si="3"/>
        <v>74 (59, 88)</v>
      </c>
      <c r="AO8">
        <f>SUM($I$2:I8)/SUM($I$2:$I$49)</f>
        <v>0.42211313768359787</v>
      </c>
      <c r="AP8">
        <f>SUM($P$2:P8)/SUM($P$2:$P$49)</f>
        <v>0.46740144685726165</v>
      </c>
      <c r="AQ8">
        <f t="shared" si="9"/>
        <v>282.17858169682597</v>
      </c>
      <c r="AR8">
        <f t="shared" si="19"/>
        <v>0.39935802335813753</v>
      </c>
      <c r="AS8">
        <f t="shared" si="10"/>
        <v>-3.8094039831412942E-2</v>
      </c>
      <c r="AT8">
        <f t="shared" si="11"/>
        <v>0.37474978261085407</v>
      </c>
      <c r="AU8">
        <f t="shared" si="12"/>
        <v>0</v>
      </c>
      <c r="AV8">
        <f t="shared" si="13"/>
        <v>0.18334618008959058</v>
      </c>
      <c r="AW8">
        <f t="shared" si="14"/>
        <v>0.84154417123362113</v>
      </c>
      <c r="AX8">
        <f t="shared" si="15"/>
        <v>7.7871850906043342E-3</v>
      </c>
      <c r="AY8" t="str" cm="1">
        <f t="array" ref="AY8">_xlfn.IFS(Q8&gt;BG8, "Significant increase", R8&lt;BG8, "Significant decrease", AND(Q8&lt;=BG8, BG8&lt;=R8), "No significant change")</f>
        <v>Significant increase</v>
      </c>
      <c r="AZ8">
        <f>SUMIF($P$2:P8, "&gt;0")/SUMIF($P$2:$P$49, "&gt;0")</f>
        <v>0.46740144685726165</v>
      </c>
      <c r="BA8">
        <f t="shared" si="4"/>
        <v>7.4994294518001782E-3</v>
      </c>
      <c r="BB8">
        <f t="shared" si="16"/>
        <v>1.3114126273868336E-2</v>
      </c>
      <c r="BC8">
        <f t="shared" si="5"/>
        <v>0</v>
      </c>
      <c r="BD8">
        <f t="shared" si="17"/>
        <v>0.11775635720563268</v>
      </c>
      <c r="BE8">
        <f t="shared" si="6"/>
        <v>0.80189507770677848</v>
      </c>
      <c r="BF8">
        <f t="shared" si="7"/>
        <v>5.9735009361920353E-2</v>
      </c>
      <c r="BG8">
        <f>VLOOKUP($A8,epa!$A$1:$H$49,2,FALSE)/25*1000</f>
        <v>704.58185200000003</v>
      </c>
      <c r="BH8">
        <f>VLOOKUP($A8,epa!$A$1:$H$49,3,FALSE)/25*1000</f>
        <v>555.41527960000008</v>
      </c>
      <c r="BI8">
        <f>VLOOKUP($A8,epa!$A$1:$H$49,4,FALSE)/25*1000</f>
        <v>57.312908119999996</v>
      </c>
      <c r="BJ8">
        <f>VLOOKUP($A8,epa!$A$1:$H$49,5,FALSE)/25*1000</f>
        <v>0</v>
      </c>
      <c r="BK8">
        <f>VLOOKUP($A8,epa!$A$1:$H$49,6,FALSE)/25*1000</f>
        <v>62.762272680000009</v>
      </c>
      <c r="BL8">
        <f>VLOOKUP($A8,epa!$A$1:$H$49,7,FALSE)/25*1000</f>
        <v>23.295349999999999</v>
      </c>
      <c r="BM8">
        <f>VLOOKUP($A8,epa!$A$1:$H$49,8,FALSE)/25*1000</f>
        <v>5.7960414399999998</v>
      </c>
      <c r="BN8">
        <f t="shared" si="8"/>
        <v>284.17720433968293</v>
      </c>
      <c r="BO8">
        <f>SUM($BG$2:BG8)/SUM($BG$2:$BG$49)</f>
        <v>0.38953021161711904</v>
      </c>
      <c r="BP8">
        <f t="shared" si="18"/>
        <v>1.4033274537699603</v>
      </c>
    </row>
    <row r="9" spans="1:69" x14ac:dyDescent="0.2">
      <c r="A9" t="str">
        <f>[1]summ_states!A9</f>
        <v>Illinois</v>
      </c>
      <c r="B9">
        <f>[1]summ_states!B9</f>
        <v>147590.184681788</v>
      </c>
      <c r="C9">
        <f>[1]summ_states!C9</f>
        <v>16.6592548028324</v>
      </c>
      <c r="D9">
        <f>[1]summ_states!D9</f>
        <v>28.061355581294599</v>
      </c>
      <c r="E9">
        <f>[1]summ_states!E9</f>
        <v>209.468895737536</v>
      </c>
      <c r="F9">
        <f>[1]summ_states!F9</f>
        <v>236.75835117426601</v>
      </c>
      <c r="G9">
        <f>[1]summ_states!G9</f>
        <v>153.22519964937399</v>
      </c>
      <c r="H9">
        <f>[1]summ_states!H9</f>
        <v>86.814315742796097</v>
      </c>
      <c r="I9">
        <f>[1]summ_states!I9</f>
        <v>730.98737268809998</v>
      </c>
      <c r="J9">
        <f>[1]summ_states!J9</f>
        <v>20.7104589583777</v>
      </c>
      <c r="K9">
        <f>[1]summ_states!K9</f>
        <v>36.608588960589302</v>
      </c>
      <c r="L9">
        <f>[1]summ_states!L9</f>
        <v>169.83891794362199</v>
      </c>
      <c r="M9">
        <f>[1]summ_states!M9</f>
        <v>367.52087746767501</v>
      </c>
      <c r="N9">
        <f>[1]summ_states!N9</f>
        <v>191.21044333387499</v>
      </c>
      <c r="O9">
        <f>[1]summ_states!O9</f>
        <v>121.05212151056701</v>
      </c>
      <c r="P9">
        <f>[1]summ_states!P9</f>
        <v>906.94140817470804</v>
      </c>
      <c r="Q9">
        <f>[1]summ_states!Q9</f>
        <v>861.91531630096995</v>
      </c>
      <c r="R9">
        <f>[1]summ_states!R9</f>
        <v>944.00608279314099</v>
      </c>
      <c r="S9">
        <f>[1]summ_states!S9</f>
        <v>1.24070735290482</v>
      </c>
      <c r="T9">
        <f>[1]summ_states!T9</f>
        <v>1.17911108796777</v>
      </c>
      <c r="U9">
        <f>[1]summ_states!U9</f>
        <v>1.2914122980287499</v>
      </c>
      <c r="V9">
        <f>[1]summ_states!V9</f>
        <v>175.95403548660701</v>
      </c>
      <c r="W9">
        <f>[1]summ_states!W9</f>
        <v>130.927943612869</v>
      </c>
      <c r="X9">
        <f>[1]summ_states!X9</f>
        <v>213.01871010503999</v>
      </c>
      <c r="Y9">
        <f>[1]summ_states!Y9</f>
        <v>0.53130702136649799</v>
      </c>
      <c r="Z9">
        <f>[1]summ_states!Z9</f>
        <v>0.327951019512501</v>
      </c>
      <c r="AA9">
        <f>[1]summ_states!AA9</f>
        <v>0.78560476752019004</v>
      </c>
      <c r="AB9">
        <f>[1]summ_states!AB9</f>
        <v>12671821</v>
      </c>
      <c r="AC9">
        <f>[1]summ_states!AC9</f>
        <v>630.16988857142803</v>
      </c>
      <c r="AD9">
        <f>[1]summ_states!AD9</f>
        <v>159.63096899999999</v>
      </c>
      <c r="AE9">
        <f>[1]summ_states!AE9</f>
        <v>139.99692996428499</v>
      </c>
      <c r="AF9">
        <f>[1]summ_states!AF9</f>
        <v>125.625976964285</v>
      </c>
      <c r="AG9">
        <f>[1]summ_states!AG9</f>
        <v>162.35950321428501</v>
      </c>
      <c r="AH9">
        <f>[1]summ_states!AH9</f>
        <v>25.0702181071428</v>
      </c>
      <c r="AI9">
        <f>[1]summ_states!AI9</f>
        <v>17.486291392857101</v>
      </c>
      <c r="AJ9">
        <f>[1]summ_states!AJ9</f>
        <v>7.1571513531852102E-5</v>
      </c>
      <c r="AK9" t="str">
        <f t="shared" si="0"/>
        <v>907 (862, 944)</v>
      </c>
      <c r="AL9" t="str">
        <f t="shared" si="1"/>
        <v>1.24 (1.18, 1.29)</v>
      </c>
      <c r="AM9" t="str">
        <f t="shared" si="2"/>
        <v>0.53 (0.33, 0.79)</v>
      </c>
      <c r="AN9" t="str">
        <f t="shared" si="3"/>
        <v>53 (33, 79)</v>
      </c>
      <c r="AO9">
        <f>SUM($I$2:I9)/SUM($I$2:$I$49)</f>
        <v>0.44795438217653044</v>
      </c>
      <c r="AP9">
        <f>SUM($P$2:P9)/SUM($P$2:$P$49)</f>
        <v>0.49722248485373283</v>
      </c>
      <c r="AQ9">
        <f t="shared" si="9"/>
        <v>276.77151960328001</v>
      </c>
      <c r="AR9">
        <f t="shared" si="19"/>
        <v>0.43920143539500256</v>
      </c>
      <c r="AS9">
        <f t="shared" si="10"/>
        <v>4.1689155264188392E-2</v>
      </c>
      <c r="AT9">
        <f t="shared" si="11"/>
        <v>0.23167886571992952</v>
      </c>
      <c r="AU9">
        <f t="shared" si="12"/>
        <v>0.15974526946526554</v>
      </c>
      <c r="AV9">
        <f t="shared" si="13"/>
        <v>0.74126620595740889</v>
      </c>
      <c r="AW9">
        <f t="shared" si="14"/>
        <v>0.1140994361672058</v>
      </c>
      <c r="AX9">
        <f t="shared" si="15"/>
        <v>-6.8449269928037307E-2</v>
      </c>
      <c r="AY9" t="str" cm="1">
        <f t="array" ref="AY9">_xlfn.IFS(Q9&gt;BG9, "Significant increase", R9&lt;BG9, "Significant decrease", AND(Q9&lt;=BG9, BG9&lt;=R9), "No significant change")</f>
        <v>Significant increase</v>
      </c>
      <c r="AZ9">
        <f>SUMIF($P$2:P9, "&gt;0")/SUMIF($P$2:$P$49, "&gt;0")</f>
        <v>0.49722248485373283</v>
      </c>
      <c r="BA9">
        <f t="shared" si="4"/>
        <v>2.2835498271116712E-2</v>
      </c>
      <c r="BB9">
        <f t="shared" si="16"/>
        <v>4.0364888658316979E-2</v>
      </c>
      <c r="BC9">
        <f t="shared" si="5"/>
        <v>0.18726559005111076</v>
      </c>
      <c r="BD9">
        <f t="shared" si="17"/>
        <v>0.40523111433112324</v>
      </c>
      <c r="BE9">
        <f t="shared" si="6"/>
        <v>0.21082998483739018</v>
      </c>
      <c r="BF9">
        <f t="shared" si="7"/>
        <v>0.1334729238509399</v>
      </c>
      <c r="BG9">
        <f>VLOOKUP($A9,epa!$A$1:$H$49,2,FALSE)/25*1000</f>
        <v>627.24337439999999</v>
      </c>
      <c r="BH9">
        <f>VLOOKUP($A9,epa!$A$1:$H$49,3,FALSE)/25*1000</f>
        <v>159.63096900000002</v>
      </c>
      <c r="BI9">
        <f>VLOOKUP($A9,epa!$A$1:$H$49,4,FALSE)/25*1000</f>
        <v>143.04896400000001</v>
      </c>
      <c r="BJ9">
        <f>VLOOKUP($A9,epa!$A$1:$H$49,5,FALSE)/25*1000</f>
        <v>125.62597696</v>
      </c>
      <c r="BK9">
        <f>VLOOKUP($A9,epa!$A$1:$H$49,6,FALSE)/25*1000</f>
        <v>156.78923544</v>
      </c>
      <c r="BL9">
        <f>VLOOKUP($A9,epa!$A$1:$H$49,7,FALSE)/25*1000</f>
        <v>24.74196268</v>
      </c>
      <c r="BM9">
        <f>VLOOKUP($A9,epa!$A$1:$H$49,8,FALSE)/25*1000</f>
        <v>17.4062664</v>
      </c>
      <c r="BN9">
        <f t="shared" si="8"/>
        <v>279.69803377470805</v>
      </c>
      <c r="BO9">
        <f>SUM($BG$2:BG9)/SUM($BG$2:$BG$49)</f>
        <v>0.41327633188266877</v>
      </c>
      <c r="BP9">
        <f t="shared" si="18"/>
        <v>1.445916282562981</v>
      </c>
    </row>
    <row r="10" spans="1:69" x14ac:dyDescent="0.2">
      <c r="A10" t="str">
        <f>[1]summ_states!A10</f>
        <v>Florida</v>
      </c>
      <c r="B10">
        <f>[1]summ_states!B10</f>
        <v>163019.467194417</v>
      </c>
      <c r="C10">
        <f>[1]summ_states!C10</f>
        <v>30.449915257277201</v>
      </c>
      <c r="D10">
        <f>[1]summ_states!D10</f>
        <v>10.704083725518201</v>
      </c>
      <c r="E10">
        <f>[1]summ_states!E10</f>
        <v>0</v>
      </c>
      <c r="F10">
        <f>[1]summ_states!F10</f>
        <v>297.36495849352298</v>
      </c>
      <c r="G10">
        <f>[1]summ_states!G10</f>
        <v>163.67430766970901</v>
      </c>
      <c r="H10">
        <f>[1]summ_states!H10</f>
        <v>18.4668195127751</v>
      </c>
      <c r="I10">
        <f>[1]summ_states!I10</f>
        <v>520.66008465880395</v>
      </c>
      <c r="J10">
        <f>[1]summ_states!J10</f>
        <v>46.552020854268697</v>
      </c>
      <c r="K10">
        <f>[1]summ_states!K10</f>
        <v>15.3248477246329</v>
      </c>
      <c r="L10">
        <f>[1]summ_states!L10</f>
        <v>0</v>
      </c>
      <c r="M10">
        <f>[1]summ_states!M10</f>
        <v>540.41623187236996</v>
      </c>
      <c r="N10">
        <f>[1]summ_states!N10</f>
        <v>249.97944252352099</v>
      </c>
      <c r="O10">
        <f>[1]summ_states!O10</f>
        <v>25.699834458563</v>
      </c>
      <c r="P10">
        <f>[1]summ_states!P10</f>
        <v>877.97237743335597</v>
      </c>
      <c r="Q10">
        <f>[1]summ_states!Q10</f>
        <v>699.32139128060805</v>
      </c>
      <c r="R10">
        <f>[1]summ_states!R10</f>
        <v>1106.0056972170501</v>
      </c>
      <c r="S10">
        <f>[1]summ_states!S10</f>
        <v>1.6862678805284299</v>
      </c>
      <c r="T10">
        <f>[1]summ_states!T10</f>
        <v>1.3431438512112599</v>
      </c>
      <c r="U10">
        <f>[1]summ_states!U10</f>
        <v>2.1242375396259399</v>
      </c>
      <c r="V10">
        <f>[1]summ_states!V10</f>
        <v>357.312292774551</v>
      </c>
      <c r="W10">
        <f>[1]summ_states!W10</f>
        <v>178.66130662180399</v>
      </c>
      <c r="X10">
        <f>[1]summ_states!X10</f>
        <v>585.34561255824701</v>
      </c>
      <c r="Y10">
        <f>[1]summ_states!Y10</f>
        <v>0.33701899785643602</v>
      </c>
      <c r="Z10">
        <f>[1]summ_states!Z10</f>
        <v>0.142425605385539</v>
      </c>
      <c r="AA10">
        <f>[1]summ_states!AA10</f>
        <v>0.57780082612957095</v>
      </c>
      <c r="AB10">
        <f>[1]summ_states!AB10</f>
        <v>21477737</v>
      </c>
      <c r="AC10">
        <f>[1]summ_states!AC10</f>
        <v>584.04707035714205</v>
      </c>
      <c r="AD10">
        <f>[1]summ_states!AD10</f>
        <v>154.646340964285</v>
      </c>
      <c r="AE10">
        <f>[1]summ_states!AE10</f>
        <v>56.384702535714197</v>
      </c>
      <c r="AF10">
        <f>[1]summ_states!AF10</f>
        <v>0</v>
      </c>
      <c r="AG10">
        <f>[1]summ_states!AG10</f>
        <v>312.985471535714</v>
      </c>
      <c r="AH10">
        <f>[1]summ_states!AH10</f>
        <v>37.761824285714198</v>
      </c>
      <c r="AI10">
        <f>[1]summ_states!AI10</f>
        <v>22.268730964285702</v>
      </c>
      <c r="AJ10">
        <f>[1]summ_states!AJ10</f>
        <v>4.0878253487942202E-5</v>
      </c>
      <c r="AK10" t="str">
        <f t="shared" si="0"/>
        <v>878 (699, 1106)</v>
      </c>
      <c r="AL10" t="str">
        <f t="shared" si="1"/>
        <v>1.69 (1.34, 2.12)</v>
      </c>
      <c r="AM10" t="str">
        <f t="shared" si="2"/>
        <v>0.34 (0.14, 0.58)</v>
      </c>
      <c r="AN10" t="str">
        <f t="shared" si="3"/>
        <v>34 (14, 58)</v>
      </c>
      <c r="AO10">
        <f>SUM($I$2:I10)/SUM($I$2:$I$49)</f>
        <v>0.46636031509422526</v>
      </c>
      <c r="AP10">
        <f>SUM($P$2:P10)/SUM($P$2:$P$49)</f>
        <v>0.52609099542266335</v>
      </c>
      <c r="AQ10">
        <f t="shared" si="9"/>
        <v>293.92530707621393</v>
      </c>
      <c r="AR10">
        <f t="shared" si="19"/>
        <v>0.50325619627965945</v>
      </c>
      <c r="AS10">
        <f t="shared" si="10"/>
        <v>-7.6335640453251141E-2</v>
      </c>
      <c r="AT10">
        <f t="shared" si="11"/>
        <v>0.72308141953916649</v>
      </c>
      <c r="AU10">
        <f t="shared" si="12"/>
        <v>0</v>
      </c>
      <c r="AV10">
        <f t="shared" si="13"/>
        <v>0.77377059702342632</v>
      </c>
      <c r="AW10">
        <f t="shared" si="14"/>
        <v>0.32434465241373861</v>
      </c>
      <c r="AX10">
        <f t="shared" si="15"/>
        <v>-0.10439682238452065</v>
      </c>
      <c r="AY10" t="str" cm="1">
        <f t="array" ref="AY10">_xlfn.IFS(Q10&gt;BG10, "Significant increase", R10&lt;BG10, "Significant decrease", AND(Q10&lt;=BG10, BG10&lt;=R10), "No significant change")</f>
        <v>Significant increase</v>
      </c>
      <c r="AZ10">
        <f>SUMIF($P$2:P10, "&gt;0")/SUMIF($P$2:$P$49, "&gt;0")</f>
        <v>0.52609099542266335</v>
      </c>
      <c r="BA10">
        <f t="shared" si="4"/>
        <v>5.3022193010624996E-2</v>
      </c>
      <c r="BB10">
        <f t="shared" si="16"/>
        <v>1.745481762129374E-2</v>
      </c>
      <c r="BC10">
        <f t="shared" si="5"/>
        <v>0</v>
      </c>
      <c r="BD10">
        <f t="shared" si="17"/>
        <v>0.61552760173641252</v>
      </c>
      <c r="BE10">
        <f t="shared" si="6"/>
        <v>0.28472358464659797</v>
      </c>
      <c r="BF10">
        <f t="shared" si="7"/>
        <v>2.9271802985070327E-2</v>
      </c>
      <c r="BG10">
        <f>VLOOKUP($A10,epa!$A$1:$H$49,2,FALSE)/25*1000</f>
        <v>581.84453320000011</v>
      </c>
      <c r="BH10">
        <f>VLOOKUP($A10,epa!$A$1:$H$49,3,FALSE)/25*1000</f>
        <v>154.64634096</v>
      </c>
      <c r="BI10">
        <f>VLOOKUP($A10,epa!$A$1:$H$49,4,FALSE)/25*1000</f>
        <v>56.119583479999996</v>
      </c>
      <c r="BJ10">
        <f>VLOOKUP($A10,epa!$A$1:$H$49,5,FALSE)/25*1000</f>
        <v>0</v>
      </c>
      <c r="BK10">
        <f>VLOOKUP($A10,epa!$A$1:$H$49,6,FALSE)/25*1000</f>
        <v>311.38782684</v>
      </c>
      <c r="BL10">
        <f>VLOOKUP($A10,epa!$A$1:$H$49,7,FALSE)/25*1000</f>
        <v>37.746460919999997</v>
      </c>
      <c r="BM10">
        <f>VLOOKUP($A10,epa!$A$1:$H$49,8,FALSE)/25*1000</f>
        <v>21.944321160000001</v>
      </c>
      <c r="BN10">
        <f t="shared" si="8"/>
        <v>296.12784423335586</v>
      </c>
      <c r="BO10">
        <f>SUM($BG$2:BG10)/SUM($BG$2:$BG$49)</f>
        <v>0.4353037471175229</v>
      </c>
      <c r="BP10">
        <f t="shared" si="18"/>
        <v>1.5089466813492711</v>
      </c>
    </row>
    <row r="11" spans="1:69" x14ac:dyDescent="0.2">
      <c r="A11" t="str">
        <f>[1]summ_states!A11</f>
        <v>Kansas</v>
      </c>
      <c r="B11">
        <f>[1]summ_states!B11</f>
        <v>213215.02687935799</v>
      </c>
      <c r="C11">
        <f>[1]summ_states!C11</f>
        <v>4.2801926256782501</v>
      </c>
      <c r="D11">
        <f>[1]summ_states!D11</f>
        <v>10.8250722476111</v>
      </c>
      <c r="E11">
        <f>[1]summ_states!E11</f>
        <v>0.29075626543293898</v>
      </c>
      <c r="F11">
        <f>[1]summ_states!F11</f>
        <v>84.480846022798303</v>
      </c>
      <c r="G11">
        <f>[1]summ_states!G11</f>
        <v>440.14563008965001</v>
      </c>
      <c r="H11">
        <f>[1]summ_states!H11</f>
        <v>338.21086605122599</v>
      </c>
      <c r="I11">
        <f>[1]summ_states!I11</f>
        <v>878.23336330239795</v>
      </c>
      <c r="J11">
        <f>[1]summ_states!J11</f>
        <v>3.1584693908271801</v>
      </c>
      <c r="K11">
        <f>[1]summ_states!K11</f>
        <v>9.0149748946213304</v>
      </c>
      <c r="L11">
        <f>[1]summ_states!L11</f>
        <v>8.2937014608189197E-2</v>
      </c>
      <c r="M11">
        <f>[1]summ_states!M11</f>
        <v>40.576366326111398</v>
      </c>
      <c r="N11">
        <f>[1]summ_states!N11</f>
        <v>448.44573660248801</v>
      </c>
      <c r="O11">
        <f>[1]summ_states!O11</f>
        <v>358.27488257082803</v>
      </c>
      <c r="P11">
        <f>[1]summ_states!P11</f>
        <v>859.55336679948402</v>
      </c>
      <c r="Q11">
        <f>[1]summ_states!Q11</f>
        <v>838.78251536368202</v>
      </c>
      <c r="R11">
        <f>[1]summ_states!R11</f>
        <v>887.60198328128104</v>
      </c>
      <c r="S11">
        <f>[1]summ_states!S11</f>
        <v>0.97873003089671795</v>
      </c>
      <c r="T11">
        <f>[1]summ_states!T11</f>
        <v>0.95507931082193298</v>
      </c>
      <c r="U11">
        <f>[1]summ_states!U11</f>
        <v>1.0106675746679099</v>
      </c>
      <c r="V11">
        <f>[1]summ_states!V11</f>
        <v>-18.679996502913198</v>
      </c>
      <c r="W11">
        <f>[1]summ_states!W11</f>
        <v>-39.450847938715398</v>
      </c>
      <c r="X11">
        <f>[1]summ_states!X11</f>
        <v>9.3686199788836504</v>
      </c>
      <c r="Y11">
        <f>[1]summ_states!Y11</f>
        <v>0.78510646613700297</v>
      </c>
      <c r="Z11">
        <f>[1]summ_states!Z11</f>
        <v>0.68966438911017203</v>
      </c>
      <c r="AA11">
        <f>[1]summ_states!AA11</f>
        <v>0.88834916693808896</v>
      </c>
      <c r="AB11">
        <f>[1]summ_states!AB11</f>
        <v>2913314</v>
      </c>
      <c r="AC11">
        <f>[1]summ_states!AC11</f>
        <v>998.57296678571402</v>
      </c>
      <c r="AD11">
        <f>[1]summ_states!AD11</f>
        <v>490.42694999999998</v>
      </c>
      <c r="AE11">
        <f>[1]summ_states!AE11</f>
        <v>428.82826499999999</v>
      </c>
      <c r="AF11">
        <f>[1]summ_states!AF11</f>
        <v>0</v>
      </c>
      <c r="AG11">
        <f>[1]summ_states!AG11</f>
        <v>54.902161428571397</v>
      </c>
      <c r="AH11">
        <f>[1]summ_states!AH11</f>
        <v>19.3832440714285</v>
      </c>
      <c r="AI11">
        <f>[1]summ_states!AI11</f>
        <v>5.0323465357142796</v>
      </c>
      <c r="AJ11">
        <f>[1]summ_states!AJ11</f>
        <v>2.9504315937090302E-4</v>
      </c>
      <c r="AK11" t="str">
        <f t="shared" si="0"/>
        <v>860 (839, 888)</v>
      </c>
      <c r="AL11" t="str">
        <f t="shared" si="1"/>
        <v>0.98 (0.96, 1.01)</v>
      </c>
      <c r="AM11" t="str">
        <f t="shared" si="2"/>
        <v>0.79 (0.69, 0.89)</v>
      </c>
      <c r="AN11" t="str">
        <f t="shared" si="3"/>
        <v>79 (69, 89)</v>
      </c>
      <c r="AO11">
        <f>SUM($I$2:I11)/SUM($I$2:$I$49)</f>
        <v>0.49740687473518252</v>
      </c>
      <c r="AP11">
        <f>SUM($P$2:P11)/SUM($P$2:$P$49)</f>
        <v>0.55435387258350455</v>
      </c>
      <c r="AQ11">
        <f t="shared" si="9"/>
        <v>-139.01959998622999</v>
      </c>
      <c r="AR11">
        <f t="shared" si="19"/>
        <v>-0.1392182690802429</v>
      </c>
      <c r="AS11">
        <f t="shared" si="10"/>
        <v>7.4581348082098889E-2</v>
      </c>
      <c r="AT11">
        <f t="shared" si="11"/>
        <v>-0.22290262144911194</v>
      </c>
      <c r="AU11">
        <f t="shared" si="12"/>
        <v>-5.9658504711856584E-4</v>
      </c>
      <c r="AV11">
        <f t="shared" si="13"/>
        <v>0.10304874351443236</v>
      </c>
      <c r="AW11">
        <f t="shared" si="14"/>
        <v>0.30198053656944951</v>
      </c>
      <c r="AX11">
        <f t="shared" si="15"/>
        <v>0.50750672880773884</v>
      </c>
      <c r="AY11" t="str" cm="1">
        <f t="array" ref="AY11">_xlfn.IFS(Q11&gt;BG11, "Significant increase", R11&lt;BG11, "Significant decrease", AND(Q11&lt;=BG11, BG11&lt;=R11), "No significant change")</f>
        <v>Significant decrease</v>
      </c>
      <c r="AZ11">
        <f>SUMIF($P$2:P11, "&gt;0")/SUMIF($P$2:$P$49, "&gt;0")</f>
        <v>0.55435387258350455</v>
      </c>
      <c r="BA11">
        <f t="shared" si="4"/>
        <v>3.6745471692905202E-3</v>
      </c>
      <c r="BB11">
        <f t="shared" si="16"/>
        <v>1.0487975782339454E-2</v>
      </c>
      <c r="BC11">
        <f t="shared" si="5"/>
        <v>9.6488499506438072E-5</v>
      </c>
      <c r="BD11">
        <f t="shared" si="17"/>
        <v>4.7206337492686504E-2</v>
      </c>
      <c r="BE11">
        <f t="shared" si="6"/>
        <v>0.52171948121413281</v>
      </c>
      <c r="BF11">
        <f t="shared" si="7"/>
        <v>0.41681516984204442</v>
      </c>
      <c r="BG11">
        <f>VLOOKUP($A11,epa!$A$1:$H$49,2,FALSE)/25*1000</f>
        <v>940.12032079999994</v>
      </c>
      <c r="BH11">
        <f>VLOOKUP($A11,epa!$A$1:$H$49,3,FALSE)/25*1000</f>
        <v>490.42695000000003</v>
      </c>
      <c r="BI11">
        <f>VLOOKUP($A11,epa!$A$1:$H$49,4,FALSE)/25*1000</f>
        <v>372.50139859999996</v>
      </c>
      <c r="BJ11">
        <f>VLOOKUP($A11,epa!$A$1:$H$49,5,FALSE)/25*1000</f>
        <v>0</v>
      </c>
      <c r="BK11">
        <f>VLOOKUP($A11,epa!$A$1:$H$49,6,FALSE)/25*1000</f>
        <v>53.977271599999995</v>
      </c>
      <c r="BL11">
        <f>VLOOKUP($A11,epa!$A$1:$H$49,7,FALSE)/25*1000</f>
        <v>18.248624000000003</v>
      </c>
      <c r="BM11">
        <f>VLOOKUP($A11,epa!$A$1:$H$49,8,FALSE)/25*1000</f>
        <v>4.9660768800000001</v>
      </c>
      <c r="BN11">
        <f t="shared" si="8"/>
        <v>-80.566954000515921</v>
      </c>
      <c r="BO11">
        <f>SUM($BG$2:BG11)/SUM($BG$2:$BG$49)</f>
        <v>0.47089473318917113</v>
      </c>
      <c r="BP11">
        <f t="shared" si="18"/>
        <v>0.91430144395564483</v>
      </c>
    </row>
    <row r="12" spans="1:69" x14ac:dyDescent="0.2">
      <c r="A12" t="str">
        <f>[1]summ_states!A12</f>
        <v>Colorado</v>
      </c>
      <c r="B12">
        <f>[1]summ_states!B12</f>
        <v>269719.01070513699</v>
      </c>
      <c r="C12">
        <f>[1]summ_states!C12</f>
        <v>6.0904969644109004</v>
      </c>
      <c r="D12">
        <f>[1]summ_states!D12</f>
        <v>4.2100817387213896</v>
      </c>
      <c r="E12">
        <f>[1]summ_states!E12</f>
        <v>175.980593491663</v>
      </c>
      <c r="F12">
        <f>[1]summ_states!F12</f>
        <v>112.830881228807</v>
      </c>
      <c r="G12">
        <f>[1]summ_states!G12</f>
        <v>254.91433889243399</v>
      </c>
      <c r="H12">
        <f>[1]summ_states!H12</f>
        <v>375.87881693800699</v>
      </c>
      <c r="I12">
        <f>[1]summ_states!I12</f>
        <v>929.90520925404599</v>
      </c>
      <c r="J12">
        <f>[1]summ_states!J12</f>
        <v>5.24086823578312</v>
      </c>
      <c r="K12">
        <f>[1]summ_states!K12</f>
        <v>3.7403009758207002</v>
      </c>
      <c r="L12">
        <f>[1]summ_states!L12</f>
        <v>102.02377153818</v>
      </c>
      <c r="M12">
        <f>[1]summ_states!M12</f>
        <v>110.029624091946</v>
      </c>
      <c r="N12">
        <f>[1]summ_states!N12</f>
        <v>232.115122421027</v>
      </c>
      <c r="O12">
        <f>[1]summ_states!O12</f>
        <v>350.62172321008302</v>
      </c>
      <c r="P12">
        <f>[1]summ_states!P12</f>
        <v>803.77141047284101</v>
      </c>
      <c r="Q12">
        <f>[1]summ_states!Q12</f>
        <v>740.20538598199698</v>
      </c>
      <c r="R12">
        <f>[1]summ_states!R12</f>
        <v>861.27701557050204</v>
      </c>
      <c r="S12">
        <f>[1]summ_states!S12</f>
        <v>0.86435843403610202</v>
      </c>
      <c r="T12">
        <f>[1]summ_states!T12</f>
        <v>0.79600090268961599</v>
      </c>
      <c r="U12">
        <f>[1]summ_states!U12</f>
        <v>0.92619872111632096</v>
      </c>
      <c r="V12">
        <f>[1]summ_states!V12</f>
        <v>-126.13379878120401</v>
      </c>
      <c r="W12">
        <f>[1]summ_states!W12</f>
        <v>-189.69982327204801</v>
      </c>
      <c r="X12">
        <f>[1]summ_states!X12</f>
        <v>-68.628193683543401</v>
      </c>
      <c r="Y12">
        <f>[1]summ_states!Y12</f>
        <v>0.56566929690701895</v>
      </c>
      <c r="Z12">
        <f>[1]summ_states!Z12</f>
        <v>0.44686297821492799</v>
      </c>
      <c r="AA12">
        <f>[1]summ_states!AA12</f>
        <v>0.71081764755244403</v>
      </c>
      <c r="AB12">
        <f>[1]summ_states!AB12</f>
        <v>5758736</v>
      </c>
      <c r="AC12">
        <f>[1]summ_states!AC12</f>
        <v>890.80264892857099</v>
      </c>
      <c r="AD12">
        <f>[1]summ_states!AD12</f>
        <v>262.84391592857099</v>
      </c>
      <c r="AE12">
        <f>[1]summ_states!AE12</f>
        <v>464.80676107142801</v>
      </c>
      <c r="AF12">
        <f>[1]summ_states!AF12</f>
        <v>65.0166053214285</v>
      </c>
      <c r="AG12">
        <f>[1]summ_states!AG12</f>
        <v>73.763657892857097</v>
      </c>
      <c r="AH12">
        <f>[1]summ_states!AH12</f>
        <v>14.0982402857142</v>
      </c>
      <c r="AI12">
        <f>[1]summ_states!AI12</f>
        <v>10.273468178571401</v>
      </c>
      <c r="AJ12">
        <f>[1]summ_states!AJ12</f>
        <v>1.3957427645108899E-4</v>
      </c>
      <c r="AK12" t="str">
        <f t="shared" si="0"/>
        <v>804 (740, 861)</v>
      </c>
      <c r="AL12" t="str">
        <f t="shared" si="1"/>
        <v>0.86 (0.80, 0.93)</v>
      </c>
      <c r="AM12" t="str">
        <f t="shared" si="2"/>
        <v>0.57 (0.45, 0.71)</v>
      </c>
      <c r="AN12" t="str">
        <f t="shared" si="3"/>
        <v>57 (45, 71)</v>
      </c>
      <c r="AO12">
        <f>SUM($I$2:I12)/SUM($I$2:$I$49)</f>
        <v>0.53028009356961869</v>
      </c>
      <c r="AP12">
        <f>SUM($P$2:P12)/SUM($P$2:$P$49)</f>
        <v>0.58078258953935291</v>
      </c>
      <c r="AQ12">
        <f t="shared" si="9"/>
        <v>-87.031238455729977</v>
      </c>
      <c r="AR12">
        <f t="shared" si="19"/>
        <v>-9.769979754820933E-2</v>
      </c>
      <c r="AS12">
        <f t="shared" si="10"/>
        <v>0.11901404017319889</v>
      </c>
      <c r="AT12">
        <f t="shared" si="11"/>
        <v>-8.270125666033136E-2</v>
      </c>
      <c r="AU12">
        <f t="shared" si="12"/>
        <v>-0.42521704704427327</v>
      </c>
      <c r="AV12">
        <f t="shared" si="13"/>
        <v>-0.41670056456264554</v>
      </c>
      <c r="AW12">
        <f t="shared" si="14"/>
        <v>0.35307774602305309</v>
      </c>
      <c r="AX12">
        <f t="shared" si="15"/>
        <v>1.3120006090620817</v>
      </c>
      <c r="AY12" t="str" cm="1">
        <f t="array" ref="AY12">_xlfn.IFS(Q12&gt;BG12, "Significant increase", R12&lt;BG12, "Significant decrease", AND(Q12&lt;=BG12, BG12&lt;=R12), "No significant change")</f>
        <v>No significant change</v>
      </c>
      <c r="AZ12">
        <f>SUMIF($P$2:P12, "&gt;0")/SUMIF($P$2:$P$49, "&gt;0")</f>
        <v>0.58078258953935291</v>
      </c>
      <c r="BA12">
        <f t="shared" si="4"/>
        <v>6.5203466651047376E-3</v>
      </c>
      <c r="BB12">
        <f t="shared" si="16"/>
        <v>4.6534386855341912E-3</v>
      </c>
      <c r="BC12">
        <f t="shared" si="5"/>
        <v>0.12693132675391086</v>
      </c>
      <c r="BD12">
        <f t="shared" si="17"/>
        <v>0.13689168668890325</v>
      </c>
      <c r="BE12">
        <f t="shared" si="6"/>
        <v>0.28878250631541968</v>
      </c>
      <c r="BF12">
        <f t="shared" si="7"/>
        <v>0.4362206948911258</v>
      </c>
      <c r="BG12">
        <f>VLOOKUP($A12,epa!$A$1:$H$49,2,FALSE)/25*1000</f>
        <v>815.7971192</v>
      </c>
      <c r="BH12">
        <f>VLOOKUP($A12,epa!$A$1:$H$49,3,FALSE)/25*1000</f>
        <v>262.84391592000003</v>
      </c>
      <c r="BI12">
        <f>VLOOKUP($A12,epa!$A$1:$H$49,4,FALSE)/25*1000</f>
        <v>391.50595484000002</v>
      </c>
      <c r="BJ12">
        <f>VLOOKUP($A12,epa!$A$1:$H$49,5,FALSE)/25*1000</f>
        <v>65.016605320000011</v>
      </c>
      <c r="BK12">
        <f>VLOOKUP($A12,epa!$A$1:$H$49,6,FALSE)/25*1000</f>
        <v>72.213024280000013</v>
      </c>
      <c r="BL12">
        <f>VLOOKUP($A12,epa!$A$1:$H$49,7,FALSE)/25*1000</f>
        <v>14.065250799999999</v>
      </c>
      <c r="BM12">
        <f>VLOOKUP($A12,epa!$A$1:$H$49,8,FALSE)/25*1000</f>
        <v>10.152368040000001</v>
      </c>
      <c r="BN12">
        <f t="shared" si="8"/>
        <v>-12.025708727158985</v>
      </c>
      <c r="BO12">
        <f>SUM($BG$2:BG12)/SUM($BG$2:$BG$49)</f>
        <v>0.50177910326855679</v>
      </c>
      <c r="BP12">
        <f t="shared" si="18"/>
        <v>0.98525894680904014</v>
      </c>
    </row>
    <row r="13" spans="1:69" x14ac:dyDescent="0.2">
      <c r="A13" t="str">
        <f>[1]summ_states!A13</f>
        <v>Michigan</v>
      </c>
      <c r="B13">
        <f>[1]summ_states!B13</f>
        <v>175539.17242573501</v>
      </c>
      <c r="C13">
        <f>[1]summ_states!C13</f>
        <v>16.289762090516799</v>
      </c>
      <c r="D13">
        <f>[1]summ_states!D13</f>
        <v>11.493590534508799</v>
      </c>
      <c r="E13">
        <f>[1]summ_states!E13</f>
        <v>0</v>
      </c>
      <c r="F13">
        <f>[1]summ_states!F13</f>
        <v>267.62042933854798</v>
      </c>
      <c r="G13">
        <f>[1]summ_states!G13</f>
        <v>160.22136712568701</v>
      </c>
      <c r="H13">
        <f>[1]summ_states!H13</f>
        <v>112.68999696754</v>
      </c>
      <c r="I13">
        <f>[1]summ_states!I13</f>
        <v>568.31514605680195</v>
      </c>
      <c r="J13">
        <f>[1]summ_states!J13</f>
        <v>22.282923043139998</v>
      </c>
      <c r="K13">
        <f>[1]summ_states!K13</f>
        <v>18.915477791434402</v>
      </c>
      <c r="L13">
        <f>[1]summ_states!L13</f>
        <v>0</v>
      </c>
      <c r="M13">
        <f>[1]summ_states!M13</f>
        <v>392.41226207367203</v>
      </c>
      <c r="N13">
        <f>[1]summ_states!N13</f>
        <v>187.07800011193899</v>
      </c>
      <c r="O13">
        <f>[1]summ_states!O13</f>
        <v>121.402673526371</v>
      </c>
      <c r="P13">
        <f>[1]summ_states!P13</f>
        <v>742.09133654655705</v>
      </c>
      <c r="Q13">
        <f>[1]summ_states!Q13</f>
        <v>674.32428343203696</v>
      </c>
      <c r="R13">
        <f>[1]summ_states!R13</f>
        <v>813.23769037892498</v>
      </c>
      <c r="S13">
        <f>[1]summ_states!S13</f>
        <v>1.30577434315359</v>
      </c>
      <c r="T13">
        <f>[1]summ_states!T13</f>
        <v>1.1865323106568</v>
      </c>
      <c r="U13">
        <f>[1]summ_states!U13</f>
        <v>1.4309625496020899</v>
      </c>
      <c r="V13">
        <f>[1]summ_states!V13</f>
        <v>173.77619048975501</v>
      </c>
      <c r="W13">
        <f>[1]summ_states!W13</f>
        <v>106.009137375234</v>
      </c>
      <c r="X13">
        <f>[1]summ_states!X13</f>
        <v>244.922544322123</v>
      </c>
      <c r="Y13">
        <f>[1]summ_states!Y13</f>
        <v>0.48012677900895701</v>
      </c>
      <c r="Z13">
        <f>[1]summ_states!Z13</f>
        <v>0.25202208409296301</v>
      </c>
      <c r="AA13">
        <f>[1]summ_states!AA13</f>
        <v>0.742280983059868</v>
      </c>
      <c r="AB13">
        <f>[1]summ_states!AB13</f>
        <v>9986857</v>
      </c>
      <c r="AC13">
        <f>[1]summ_states!AC13</f>
        <v>557.00945464285701</v>
      </c>
      <c r="AD13">
        <f>[1]summ_states!AD13</f>
        <v>181.54699739285701</v>
      </c>
      <c r="AE13">
        <f>[1]summ_states!AE13</f>
        <v>127.131542392857</v>
      </c>
      <c r="AF13">
        <f>[1]summ_states!AF13</f>
        <v>0</v>
      </c>
      <c r="AG13">
        <f>[1]summ_states!AG13</f>
        <v>197.42778167857099</v>
      </c>
      <c r="AH13">
        <f>[1]summ_states!AH13</f>
        <v>23.386571892857098</v>
      </c>
      <c r="AI13">
        <f>[1]summ_states!AI13</f>
        <v>27.5165614285714</v>
      </c>
      <c r="AJ13">
        <f>[1]summ_states!AJ13</f>
        <v>7.4306795075423403E-5</v>
      </c>
      <c r="AK13" t="str">
        <f t="shared" si="0"/>
        <v>742 (674, 813)</v>
      </c>
      <c r="AL13" t="str">
        <f t="shared" si="1"/>
        <v>1.31 (1.19, 1.43)</v>
      </c>
      <c r="AM13" t="str">
        <f t="shared" si="2"/>
        <v>0.48 (0.25, 0.74)</v>
      </c>
      <c r="AN13" t="str">
        <f t="shared" si="3"/>
        <v>48 (25, 74)</v>
      </c>
      <c r="AO13">
        <f>SUM($I$2:I13)/SUM($I$2:$I$49)</f>
        <v>0.55037068772623865</v>
      </c>
      <c r="AP13">
        <f>SUM($P$2:P13)/SUM($P$2:$P$49)</f>
        <v>0.60518321095165029</v>
      </c>
      <c r="AQ13">
        <f t="shared" si="9"/>
        <v>185.08188190370004</v>
      </c>
      <c r="AR13">
        <f t="shared" si="19"/>
        <v>0.33227781029744052</v>
      </c>
      <c r="AS13">
        <f t="shared" si="10"/>
        <v>-2.4157384047721386E-2</v>
      </c>
      <c r="AT13">
        <f t="shared" si="11"/>
        <v>0.2178019578565617</v>
      </c>
      <c r="AU13">
        <f t="shared" si="12"/>
        <v>0</v>
      </c>
      <c r="AV13">
        <f t="shared" si="13"/>
        <v>1.0535038783350681</v>
      </c>
      <c r="AW13">
        <f t="shared" si="14"/>
        <v>2.9884085152969316E-2</v>
      </c>
      <c r="AX13">
        <f t="shared" si="15"/>
        <v>-3.0953158718511325E-2</v>
      </c>
      <c r="AY13" t="str" cm="1">
        <f t="array" ref="AY13">_xlfn.IFS(Q13&gt;BG13, "Significant increase", R13&lt;BG13, "Significant decrease", AND(Q13&lt;=BG13, BG13&lt;=R13), "No significant change")</f>
        <v>Significant increase</v>
      </c>
      <c r="AZ13">
        <f>SUMIF($P$2:P13, "&gt;0")/SUMIF($P$2:$P$49, "&gt;0")</f>
        <v>0.60518321095165029</v>
      </c>
      <c r="BA13">
        <f t="shared" si="4"/>
        <v>3.002719738898612E-2</v>
      </c>
      <c r="BB13">
        <f t="shared" si="16"/>
        <v>2.5489420048293056E-2</v>
      </c>
      <c r="BC13">
        <f t="shared" si="5"/>
        <v>0</v>
      </c>
      <c r="BD13">
        <f t="shared" si="17"/>
        <v>0.52879240431484675</v>
      </c>
      <c r="BE13">
        <f t="shared" si="6"/>
        <v>0.2520956530533518</v>
      </c>
      <c r="BF13">
        <f t="shared" si="7"/>
        <v>0.16359532519452138</v>
      </c>
      <c r="BG13">
        <f>VLOOKUP($A13,epa!$A$1:$H$49,2,FALSE)/25*1000</f>
        <v>582.4640543999999</v>
      </c>
      <c r="BH13">
        <f>VLOOKUP($A13,epa!$A$1:$H$49,3,FALSE)/25*1000</f>
        <v>181.54699740000001</v>
      </c>
      <c r="BI13">
        <f>VLOOKUP($A13,epa!$A$1:$H$49,4,FALSE)/25*1000</f>
        <v>159.5529536</v>
      </c>
      <c r="BJ13">
        <f>VLOOKUP($A13,epa!$A$1:$H$49,5,FALSE)/25*1000</f>
        <v>0</v>
      </c>
      <c r="BK13">
        <f>VLOOKUP($A13,epa!$A$1:$H$49,6,FALSE)/25*1000</f>
        <v>196.31474152000001</v>
      </c>
      <c r="BL13">
        <f>VLOOKUP($A13,epa!$A$1:$H$49,7,FALSE)/25*1000</f>
        <v>17.56861</v>
      </c>
      <c r="BM13">
        <f>VLOOKUP($A13,epa!$A$1:$H$49,8,FALSE)/25*1000</f>
        <v>27.48075188</v>
      </c>
      <c r="BN13">
        <f t="shared" si="8"/>
        <v>159.62728214655715</v>
      </c>
      <c r="BO13">
        <f>SUM($BG$2:BG13)/SUM($BG$2:$BG$49)</f>
        <v>0.52382997227832928</v>
      </c>
      <c r="BP13">
        <f t="shared" si="18"/>
        <v>1.2740551643328279</v>
      </c>
    </row>
    <row r="14" spans="1:69" x14ac:dyDescent="0.2">
      <c r="A14" t="str">
        <f>[1]summ_states!A14</f>
        <v>Alabama</v>
      </c>
      <c r="B14">
        <f>[1]summ_states!B14</f>
        <v>136013.08515321201</v>
      </c>
      <c r="C14">
        <f>[1]summ_states!C14</f>
        <v>10.1556653893711</v>
      </c>
      <c r="D14">
        <f>[1]summ_states!D14</f>
        <v>21.088609387893001</v>
      </c>
      <c r="E14">
        <f>[1]summ_states!E14</f>
        <v>164.766462016605</v>
      </c>
      <c r="F14">
        <f>[1]summ_states!F14</f>
        <v>237.83238480149001</v>
      </c>
      <c r="G14">
        <f>[1]summ_states!G14</f>
        <v>101.69161854857499</v>
      </c>
      <c r="H14">
        <f>[1]summ_states!H14</f>
        <v>113.04343022368499</v>
      </c>
      <c r="I14">
        <f>[1]summ_states!I14</f>
        <v>648.57817036762106</v>
      </c>
      <c r="J14">
        <f>[1]summ_states!J14</f>
        <v>10.500529015994401</v>
      </c>
      <c r="K14">
        <f>[1]summ_states!K14</f>
        <v>25.0727296915104</v>
      </c>
      <c r="L14">
        <f>[1]summ_states!L14</f>
        <v>153.69349758064899</v>
      </c>
      <c r="M14">
        <f>[1]summ_states!M14</f>
        <v>259.00218521543002</v>
      </c>
      <c r="N14">
        <f>[1]summ_states!N14</f>
        <v>108.66510476916</v>
      </c>
      <c r="O14">
        <f>[1]summ_states!O14</f>
        <v>119.58952875525</v>
      </c>
      <c r="P14">
        <f>[1]summ_states!P14</f>
        <v>676.52357502799498</v>
      </c>
      <c r="Q14">
        <f>[1]summ_states!Q14</f>
        <v>628.99570745753397</v>
      </c>
      <c r="R14">
        <f>[1]summ_states!R14</f>
        <v>716.69585900869095</v>
      </c>
      <c r="S14">
        <f>[1]summ_states!S14</f>
        <v>1.04308718044662</v>
      </c>
      <c r="T14">
        <f>[1]summ_states!T14</f>
        <v>0.96980708909924096</v>
      </c>
      <c r="U14">
        <f>[1]summ_states!U14</f>
        <v>1.1050261815047799</v>
      </c>
      <c r="V14">
        <f>[1]summ_states!V14</f>
        <v>27.945404660374301</v>
      </c>
      <c r="W14">
        <f>[1]summ_states!W14</f>
        <v>-19.582462910086601</v>
      </c>
      <c r="X14">
        <f>[1]summ_states!X14</f>
        <v>68.117688641069506</v>
      </c>
      <c r="Y14">
        <f>[1]summ_states!Y14</f>
        <v>0.73051392665447001</v>
      </c>
      <c r="Z14">
        <f>[1]summ_states!Z14</f>
        <v>0.58611803650890604</v>
      </c>
      <c r="AA14">
        <f>[1]summ_states!AA14</f>
        <v>0.89317906931361601</v>
      </c>
      <c r="AB14">
        <f>[1]summ_states!AB14</f>
        <v>4903185</v>
      </c>
      <c r="AC14">
        <f>[1]summ_states!AC14</f>
        <v>591.56722535714198</v>
      </c>
      <c r="AD14">
        <f>[1]summ_states!AD14</f>
        <v>101.743488571428</v>
      </c>
      <c r="AE14">
        <f>[1]summ_states!AE14</f>
        <v>108.07697771428499</v>
      </c>
      <c r="AF14">
        <f>[1]summ_states!AF14</f>
        <v>183.46791682142799</v>
      </c>
      <c r="AG14">
        <f>[1]summ_states!AG14</f>
        <v>168.797808857142</v>
      </c>
      <c r="AH14">
        <f>[1]summ_states!AH14</f>
        <v>19.426814178571401</v>
      </c>
      <c r="AI14">
        <f>[1]summ_states!AI14</f>
        <v>10.054219178571399</v>
      </c>
      <c r="AJ14">
        <f>[1]summ_states!AJ14</f>
        <v>1.3797635109178899E-4</v>
      </c>
      <c r="AK14" t="str">
        <f t="shared" si="0"/>
        <v>677 (629, 717)</v>
      </c>
      <c r="AL14" t="str">
        <f t="shared" si="1"/>
        <v>1.04 (0.97, 1.11)</v>
      </c>
      <c r="AM14" t="str">
        <f t="shared" si="2"/>
        <v>0.73 (0.59, 0.89)</v>
      </c>
      <c r="AN14" t="str">
        <f t="shared" si="3"/>
        <v>73 (59, 89)</v>
      </c>
      <c r="AO14">
        <f>SUM($I$2:I14)/SUM($I$2:$I$49)</f>
        <v>0.57329867212029995</v>
      </c>
      <c r="AP14">
        <f>SUM($P$2:P14)/SUM($P$2:$P$49)</f>
        <v>0.62742790620381816</v>
      </c>
      <c r="AQ14">
        <f t="shared" si="9"/>
        <v>84.956349670853001</v>
      </c>
      <c r="AR14">
        <f t="shared" si="19"/>
        <v>0.14361233352568342</v>
      </c>
      <c r="AS14">
        <f t="shared" si="10"/>
        <v>6.6456663154820211E-2</v>
      </c>
      <c r="AT14">
        <f t="shared" si="11"/>
        <v>3.4300388771940665E-2</v>
      </c>
      <c r="AU14">
        <f t="shared" si="12"/>
        <v>-0.3504672617895454</v>
      </c>
      <c r="AV14">
        <f t="shared" si="13"/>
        <v>1.0617732130413733</v>
      </c>
      <c r="AW14">
        <f t="shared" si="14"/>
        <v>8.1472617697776098E-2</v>
      </c>
      <c r="AX14">
        <f t="shared" si="15"/>
        <v>0.13551136654962423</v>
      </c>
      <c r="AY14" t="str" cm="1">
        <f t="array" ref="AY14">_xlfn.IFS(Q14&gt;BG14, "Significant increase", R14&lt;BG14, "Significant decrease", AND(Q14&lt;=BG14, BG14&lt;=R14), "No significant change")</f>
        <v>Significant increase</v>
      </c>
      <c r="AZ14">
        <f>SUMIF($P$2:P14, "&gt;0")/SUMIF($P$2:$P$49, "&gt;0")</f>
        <v>0.62742790620381816</v>
      </c>
      <c r="BA14">
        <f t="shared" si="4"/>
        <v>1.5521305396578209E-2</v>
      </c>
      <c r="BB14">
        <f t="shared" si="16"/>
        <v>3.7061132260576245E-2</v>
      </c>
      <c r="BC14">
        <f t="shared" si="5"/>
        <v>0.22718128865544568</v>
      </c>
      <c r="BD14">
        <f t="shared" si="17"/>
        <v>0.382842808108664</v>
      </c>
      <c r="BE14">
        <f t="shared" si="6"/>
        <v>0.16062279095693505</v>
      </c>
      <c r="BF14">
        <f t="shared" si="7"/>
        <v>0.1767706746217991</v>
      </c>
      <c r="BG14">
        <f>VLOOKUP($A14,epa!$A$1:$H$49,2,FALSE)/25*1000</f>
        <v>605.17032039999992</v>
      </c>
      <c r="BH14">
        <f>VLOOKUP($A14,epa!$A$1:$H$49,3,FALSE)/25*1000</f>
        <v>101.74348856</v>
      </c>
      <c r="BI14">
        <f>VLOOKUP($A14,epa!$A$1:$H$49,4,FALSE)/25*1000</f>
        <v>121.66425144</v>
      </c>
      <c r="BJ14">
        <f>VLOOKUP($A14,epa!$A$1:$H$49,5,FALSE)/25*1000</f>
        <v>183.46791683999999</v>
      </c>
      <c r="BK14">
        <f>VLOOKUP($A14,epa!$A$1:$H$49,6,FALSE)/25*1000</f>
        <v>167.65977736000002</v>
      </c>
      <c r="BL14">
        <f>VLOOKUP($A14,epa!$A$1:$H$49,7,FALSE)/25*1000</f>
        <v>20.670006359999999</v>
      </c>
      <c r="BM14">
        <f>VLOOKUP($A14,epa!$A$1:$H$49,8,FALSE)/25*1000</f>
        <v>9.9648797600000005</v>
      </c>
      <c r="BN14">
        <f t="shared" si="8"/>
        <v>71.353254627995057</v>
      </c>
      <c r="BO14">
        <f>SUM($BG$2:BG14)/SUM($BG$2:$BG$49)</f>
        <v>0.54674045295595453</v>
      </c>
      <c r="BP14">
        <f t="shared" si="18"/>
        <v>1.1179060707749724</v>
      </c>
    </row>
    <row r="15" spans="1:69" x14ac:dyDescent="0.2">
      <c r="A15" t="str">
        <f>[1]summ_states!A15</f>
        <v>North Carolina</v>
      </c>
      <c r="B15">
        <f>[1]summ_states!B15</f>
        <v>133657.47415158001</v>
      </c>
      <c r="C15">
        <f>[1]summ_states!C15</f>
        <v>11.486436279702099</v>
      </c>
      <c r="D15">
        <f>[1]summ_states!D15</f>
        <v>123.189047632401</v>
      </c>
      <c r="E15">
        <f>[1]summ_states!E15</f>
        <v>0</v>
      </c>
      <c r="F15">
        <f>[1]summ_states!F15</f>
        <v>182.51756258251399</v>
      </c>
      <c r="G15">
        <f>[1]summ_states!G15</f>
        <v>252.401626882296</v>
      </c>
      <c r="H15">
        <f>[1]summ_states!H15</f>
        <v>23.9026108561294</v>
      </c>
      <c r="I15">
        <f>[1]summ_states!I15</f>
        <v>593.49728423304396</v>
      </c>
      <c r="J15">
        <f>[1]summ_states!J15</f>
        <v>13.1685180184519</v>
      </c>
      <c r="K15">
        <f>[1]summ_states!K15</f>
        <v>16.8922705257147</v>
      </c>
      <c r="L15">
        <f>[1]summ_states!L15</f>
        <v>0</v>
      </c>
      <c r="M15">
        <f>[1]summ_states!M15</f>
        <v>225.34061041374</v>
      </c>
      <c r="N15">
        <f>[1]summ_states!N15</f>
        <v>375.10513372086501</v>
      </c>
      <c r="O15">
        <f>[1]summ_states!O15</f>
        <v>23.498596926615999</v>
      </c>
      <c r="P15">
        <f>[1]summ_states!P15</f>
        <v>654.00512960538799</v>
      </c>
      <c r="Q15">
        <f>[1]summ_states!Q15</f>
        <v>547.42335017856203</v>
      </c>
      <c r="R15">
        <f>[1]summ_states!R15</f>
        <v>744.49347267540895</v>
      </c>
      <c r="S15">
        <f>[1]summ_states!S15</f>
        <v>1.1019513432998</v>
      </c>
      <c r="T15">
        <f>[1]summ_states!T15</f>
        <v>0.92236875335660296</v>
      </c>
      <c r="U15">
        <f>[1]summ_states!U15</f>
        <v>1.254417656919</v>
      </c>
      <c r="V15">
        <f>[1]summ_states!V15</f>
        <v>60.507845372344299</v>
      </c>
      <c r="W15">
        <f>[1]summ_states!W15</f>
        <v>-46.073934054481697</v>
      </c>
      <c r="X15">
        <f>[1]summ_states!X15</f>
        <v>150.996188442364</v>
      </c>
      <c r="Y15">
        <f>[1]summ_states!Y15</f>
        <v>0.45441054273582798</v>
      </c>
      <c r="Z15">
        <f>[1]summ_states!Z15</f>
        <v>0.27942693399750201</v>
      </c>
      <c r="AA15">
        <f>[1]summ_states!AA15</f>
        <v>0.70464294955158202</v>
      </c>
      <c r="AB15">
        <f>[1]summ_states!AB15</f>
        <v>10488084</v>
      </c>
      <c r="AC15">
        <f>[1]summ_states!AC15</f>
        <v>537.87459214285695</v>
      </c>
      <c r="AD15">
        <f>[1]summ_states!AD15</f>
        <v>265.61441789285698</v>
      </c>
      <c r="AE15">
        <f>[1]summ_states!AE15</f>
        <v>41.212603714285699</v>
      </c>
      <c r="AF15">
        <f>[1]summ_states!AF15</f>
        <v>0</v>
      </c>
      <c r="AG15">
        <f>[1]summ_states!AG15</f>
        <v>186.57082564285699</v>
      </c>
      <c r="AH15">
        <f>[1]summ_states!AH15</f>
        <v>32.479269821428502</v>
      </c>
      <c r="AI15">
        <f>[1]summ_states!AI15</f>
        <v>11.997475178571399</v>
      </c>
      <c r="AJ15">
        <f>[1]summ_states!AJ15</f>
        <v>6.2356969071318305E-5</v>
      </c>
      <c r="AK15" t="str">
        <f t="shared" si="0"/>
        <v>654 (547, 744)</v>
      </c>
      <c r="AL15" t="str">
        <f t="shared" si="1"/>
        <v>1.10 (0.92, 1.25)</v>
      </c>
      <c r="AM15" t="str">
        <f t="shared" si="2"/>
        <v>0.45 (0.28, 0.70)</v>
      </c>
      <c r="AN15" t="str">
        <f t="shared" si="3"/>
        <v>45 (28, 70)</v>
      </c>
      <c r="AO15">
        <f>SUM($I$2:I15)/SUM($I$2:$I$49)</f>
        <v>0.59427948382893314</v>
      </c>
      <c r="AP15">
        <f>SUM($P$2:P15)/SUM($P$2:$P$49)</f>
        <v>0.64893217499566969</v>
      </c>
      <c r="AQ15">
        <f t="shared" si="9"/>
        <v>116.13053746253104</v>
      </c>
      <c r="AR15">
        <f t="shared" si="19"/>
        <v>0.21590634538038805</v>
      </c>
      <c r="AS15">
        <f t="shared" si="10"/>
        <v>-0.13421964313859197</v>
      </c>
      <c r="AT15">
        <f t="shared" si="11"/>
        <v>0.14020297718591282</v>
      </c>
      <c r="AU15">
        <f t="shared" si="12"/>
        <v>0</v>
      </c>
      <c r="AV15">
        <f t="shared" si="13"/>
        <v>0.3338465972689732</v>
      </c>
      <c r="AW15">
        <f t="shared" si="14"/>
        <v>0.94282449922643896</v>
      </c>
      <c r="AX15">
        <f t="shared" si="15"/>
        <v>-0.15253530358787015</v>
      </c>
      <c r="AY15" t="str" cm="1">
        <f t="array" ref="AY15">_xlfn.IFS(Q15&gt;BG15, "Significant increase", R15&lt;BG15, "Significant decrease", AND(Q15&lt;=BG15, BG15&lt;=R15), "No significant change")</f>
        <v>Significant increase</v>
      </c>
      <c r="AZ15">
        <f>SUMIF($P$2:P15, "&gt;0")/SUMIF($P$2:$P$49, "&gt;0")</f>
        <v>0.64893217499566969</v>
      </c>
      <c r="BA15">
        <f t="shared" si="4"/>
        <v>2.0135190723041405E-2</v>
      </c>
      <c r="BB15">
        <f t="shared" si="16"/>
        <v>2.5828957237548147E-2</v>
      </c>
      <c r="BC15">
        <f t="shared" si="5"/>
        <v>0</v>
      </c>
      <c r="BD15">
        <f t="shared" si="17"/>
        <v>0.34455480578524739</v>
      </c>
      <c r="BE15">
        <f t="shared" si="6"/>
        <v>0.57355075173064018</v>
      </c>
      <c r="BF15">
        <f t="shared" si="7"/>
        <v>3.5930294523522352E-2</v>
      </c>
      <c r="BG15">
        <f>VLOOKUP($A15,epa!$A$1:$H$49,2,FALSE)/25*1000</f>
        <v>531.31686080000009</v>
      </c>
      <c r="BH15">
        <f>VLOOKUP($A15,epa!$A$1:$H$49,3,FALSE)/25*1000</f>
        <v>265.61441788000002</v>
      </c>
      <c r="BI15">
        <f>VLOOKUP($A15,epa!$A$1:$H$49,4,FALSE)/25*1000</f>
        <v>41.287874279999997</v>
      </c>
      <c r="BJ15">
        <f>VLOOKUP($A15,epa!$A$1:$H$49,5,FALSE)/25*1000</f>
        <v>0</v>
      </c>
      <c r="BK15">
        <f>VLOOKUP($A15,epa!$A$1:$H$49,6,FALSE)/25*1000</f>
        <v>184.62908844</v>
      </c>
      <c r="BL15">
        <f>VLOOKUP($A15,epa!$A$1:$H$49,7,FALSE)/25*1000</f>
        <v>27.942664999999998</v>
      </c>
      <c r="BM15">
        <f>VLOOKUP($A15,epa!$A$1:$H$49,8,FALSE)/25*1000</f>
        <v>11.842815079999999</v>
      </c>
      <c r="BN15">
        <f t="shared" si="8"/>
        <v>122.68826880538791</v>
      </c>
      <c r="BO15">
        <f>SUM($BG$2:BG15)/SUM($BG$2:$BG$49)</f>
        <v>0.5668549963542644</v>
      </c>
      <c r="BP15">
        <f t="shared" si="18"/>
        <v>1.2309135618633615</v>
      </c>
    </row>
    <row r="16" spans="1:69" x14ac:dyDescent="0.2">
      <c r="A16" t="str">
        <f>[1]summ_states!A16</f>
        <v>Ohio</v>
      </c>
      <c r="B16">
        <f>[1]summ_states!B16</f>
        <v>111336.73494681501</v>
      </c>
      <c r="C16">
        <f>[1]summ_states!C16</f>
        <v>16.282971635671998</v>
      </c>
      <c r="D16">
        <f>[1]summ_states!D16</f>
        <v>22.029246853066098</v>
      </c>
      <c r="E16">
        <f>[1]summ_states!E16</f>
        <v>94.248988782336994</v>
      </c>
      <c r="F16">
        <f>[1]summ_states!F16</f>
        <v>251.789739401091</v>
      </c>
      <c r="G16">
        <f>[1]summ_states!G16</f>
        <v>143.43577084844901</v>
      </c>
      <c r="H16">
        <f>[1]summ_states!H16</f>
        <v>195.498364333685</v>
      </c>
      <c r="I16">
        <f>[1]summ_states!I16</f>
        <v>723.28508185430098</v>
      </c>
      <c r="J16">
        <f>[1]summ_states!J16</f>
        <v>16.062962001620701</v>
      </c>
      <c r="K16">
        <f>[1]summ_states!K16</f>
        <v>24.347114414100599</v>
      </c>
      <c r="L16">
        <f>[1]summ_states!L16</f>
        <v>32.3884762460793</v>
      </c>
      <c r="M16">
        <f>[1]summ_states!M16</f>
        <v>243.50773197136101</v>
      </c>
      <c r="N16">
        <f>[1]summ_states!N16</f>
        <v>146.009385494235</v>
      </c>
      <c r="O16">
        <f>[1]summ_states!O16</f>
        <v>159.63068973916299</v>
      </c>
      <c r="P16">
        <f>[1]summ_states!P16</f>
        <v>621.94635986655999</v>
      </c>
      <c r="Q16">
        <f>[1]summ_states!Q16</f>
        <v>577.97544974286996</v>
      </c>
      <c r="R16">
        <f>[1]summ_states!R16</f>
        <v>673.42942011849004</v>
      </c>
      <c r="S16">
        <f>[1]summ_states!S16</f>
        <v>0.85989103808426803</v>
      </c>
      <c r="T16">
        <f>[1]summ_states!T16</f>
        <v>0.79909770606785102</v>
      </c>
      <c r="U16">
        <f>[1]summ_states!U16</f>
        <v>0.93107052393781498</v>
      </c>
      <c r="V16">
        <f>[1]summ_states!V16</f>
        <v>-101.33872198774</v>
      </c>
      <c r="W16">
        <f>[1]summ_states!W16</f>
        <v>-145.309632111431</v>
      </c>
      <c r="X16">
        <f>[1]summ_states!X16</f>
        <v>-49.855661735811502</v>
      </c>
      <c r="Y16">
        <f>[1]summ_states!Y16</f>
        <v>0.61063957944831204</v>
      </c>
      <c r="Z16">
        <f>[1]summ_states!Z16</f>
        <v>0.42815440710292602</v>
      </c>
      <c r="AA16">
        <f>[1]summ_states!AA16</f>
        <v>0.82474526344259902</v>
      </c>
      <c r="AB16">
        <f>[1]summ_states!AB16</f>
        <v>11689100</v>
      </c>
      <c r="AC16">
        <f>[1]summ_states!AC16</f>
        <v>747.42284035714295</v>
      </c>
      <c r="AD16">
        <f>[1]summ_states!AD16</f>
        <v>165.424232678571</v>
      </c>
      <c r="AE16">
        <f>[1]summ_states!AE16</f>
        <v>326.89101089285703</v>
      </c>
      <c r="AF16">
        <f>[1]summ_states!AF16</f>
        <v>29.5735038571428</v>
      </c>
      <c r="AG16">
        <f>[1]summ_states!AG16</f>
        <v>189.001439464285</v>
      </c>
      <c r="AH16">
        <f>[1]summ_states!AH16</f>
        <v>18.829527142857099</v>
      </c>
      <c r="AI16">
        <f>[1]summ_states!AI16</f>
        <v>17.703126285714202</v>
      </c>
      <c r="AJ16">
        <f>[1]summ_states!AJ16</f>
        <v>5.3207377802102801E-5</v>
      </c>
      <c r="AK16" t="str">
        <f t="shared" si="0"/>
        <v>622 (578, 673)</v>
      </c>
      <c r="AL16" t="str">
        <f t="shared" si="1"/>
        <v>0.86 (0.80, 0.93)</v>
      </c>
      <c r="AM16" t="str">
        <f t="shared" si="2"/>
        <v>0.61 (0.43, 0.82)</v>
      </c>
      <c r="AN16" t="str">
        <f t="shared" si="3"/>
        <v>61 (43, 82)</v>
      </c>
      <c r="AO16">
        <f>SUM($I$2:I16)/SUM($I$2:$I$49)</f>
        <v>0.61984844348080226</v>
      </c>
      <c r="AP16">
        <f>SUM($P$2:P16)/SUM($P$2:$P$49)</f>
        <v>0.66938232300101341</v>
      </c>
      <c r="AQ16">
        <f t="shared" si="9"/>
        <v>-125.47648049058296</v>
      </c>
      <c r="AR16">
        <f t="shared" si="19"/>
        <v>-0.16787884142077625</v>
      </c>
      <c r="AS16">
        <f t="shared" si="10"/>
        <v>-4.3973079653422349E-2</v>
      </c>
      <c r="AT16">
        <f t="shared" si="11"/>
        <v>-1.2427727764041193E-2</v>
      </c>
      <c r="AU16">
        <f t="shared" si="12"/>
        <v>-2.2434263201602665E-2</v>
      </c>
      <c r="AV16">
        <f t="shared" si="13"/>
        <v>-0.43439449603598601</v>
      </c>
      <c r="AW16">
        <f t="shared" si="14"/>
        <v>0.15472897477223299</v>
      </c>
      <c r="AX16">
        <f t="shared" si="15"/>
        <v>1.3330013760327535</v>
      </c>
      <c r="AY16" t="str" cm="1">
        <f t="array" ref="AY16">_xlfn.IFS(Q16&gt;BG16, "Significant increase", R16&lt;BG16, "Significant decrease", AND(Q16&lt;=BG16, BG16&lt;=R16), "No significant change")</f>
        <v>Significant decrease</v>
      </c>
      <c r="AZ16">
        <f>SUMIF($P$2:P16, "&gt;0")/SUMIF($P$2:$P$49, "&gt;0")</f>
        <v>0.66938232300101341</v>
      </c>
      <c r="BA16">
        <f t="shared" si="4"/>
        <v>2.5826925018207433E-2</v>
      </c>
      <c r="BB16">
        <f t="shared" si="16"/>
        <v>3.9146646696870013E-2</v>
      </c>
      <c r="BC16">
        <f t="shared" si="5"/>
        <v>5.2075996156691583E-2</v>
      </c>
      <c r="BD16">
        <f t="shared" si="17"/>
        <v>0.39152529492029853</v>
      </c>
      <c r="BE16">
        <f t="shared" si="6"/>
        <v>0.2347620227660174</v>
      </c>
      <c r="BF16">
        <f t="shared" si="7"/>
        <v>0.25666311444191442</v>
      </c>
      <c r="BG16">
        <f>VLOOKUP($A16,epa!$A$1:$H$49,2,FALSE)/25*1000</f>
        <v>793.37427600000001</v>
      </c>
      <c r="BH16">
        <f>VLOOKUP($A16,epa!$A$1:$H$49,3,FALSE)/25*1000</f>
        <v>165.42423268000002</v>
      </c>
      <c r="BI16">
        <f>VLOOKUP($A16,epa!$A$1:$H$49,4,FALSE)/25*1000</f>
        <v>347.71133615999997</v>
      </c>
      <c r="BJ16">
        <f>VLOOKUP($A16,epa!$A$1:$H$49,5,FALSE)/25*1000</f>
        <v>29.573503840000001</v>
      </c>
      <c r="BK16">
        <f>VLOOKUP($A16,epa!$A$1:$H$49,6,FALSE)/25*1000</f>
        <v>214.37091076000002</v>
      </c>
      <c r="BL16">
        <f>VLOOKUP($A16,epa!$A$1:$H$49,7,FALSE)/25*1000</f>
        <v>18.743054280000003</v>
      </c>
      <c r="BM16">
        <f>VLOOKUP($A16,epa!$A$1:$H$49,8,FALSE)/25*1000</f>
        <v>17.551238520000002</v>
      </c>
      <c r="BN16">
        <f t="shared" si="8"/>
        <v>-171.42791613344002</v>
      </c>
      <c r="BO16">
        <f>SUM($BG$2:BG16)/SUM($BG$2:$BG$49)</f>
        <v>0.59689048455931848</v>
      </c>
      <c r="BP16">
        <f t="shared" si="18"/>
        <v>0.78392554268618608</v>
      </c>
    </row>
    <row r="17" spans="1:68" x14ac:dyDescent="0.2">
      <c r="A17" t="str">
        <f>[1]summ_states!A17</f>
        <v>Indiana</v>
      </c>
      <c r="B17">
        <f>[1]summ_states!B17</f>
        <v>94346.700995873107</v>
      </c>
      <c r="C17">
        <f>[1]summ_states!C17</f>
        <v>11.161207851220199</v>
      </c>
      <c r="D17">
        <f>[1]summ_states!D17</f>
        <v>9.9544743434852805</v>
      </c>
      <c r="E17">
        <f>[1]summ_states!E17</f>
        <v>81.999673082823406</v>
      </c>
      <c r="F17">
        <f>[1]summ_states!F17</f>
        <v>163.19223126781699</v>
      </c>
      <c r="G17">
        <f>[1]summ_states!G17</f>
        <v>126.733073532109</v>
      </c>
      <c r="H17">
        <f>[1]summ_states!H17</f>
        <v>44.920803117924898</v>
      </c>
      <c r="I17">
        <f>[1]summ_states!I17</f>
        <v>437.96146319538099</v>
      </c>
      <c r="J17">
        <f>[1]summ_states!J17</f>
        <v>15.8234694236119</v>
      </c>
      <c r="K17">
        <f>[1]summ_states!K17</f>
        <v>16.663720778224299</v>
      </c>
      <c r="L17">
        <f>[1]summ_states!L17</f>
        <v>79.470732986249303</v>
      </c>
      <c r="M17">
        <f>[1]summ_states!M17</f>
        <v>274.45361496454802</v>
      </c>
      <c r="N17">
        <f>[1]summ_states!N17</f>
        <v>169.82441903396</v>
      </c>
      <c r="O17">
        <f>[1]summ_states!O17</f>
        <v>60.250019947301297</v>
      </c>
      <c r="P17">
        <f>[1]summ_states!P17</f>
        <v>616.48597713389597</v>
      </c>
      <c r="Q17">
        <f>[1]summ_states!Q17</f>
        <v>561.39742328797797</v>
      </c>
      <c r="R17">
        <f>[1]summ_states!R17</f>
        <v>676.084722096203</v>
      </c>
      <c r="S17">
        <f>[1]summ_states!S17</f>
        <v>1.4076260788700301</v>
      </c>
      <c r="T17">
        <f>[1]summ_states!T17</f>
        <v>1.28184205795643</v>
      </c>
      <c r="U17">
        <f>[1]summ_states!U17</f>
        <v>1.54370824584306</v>
      </c>
      <c r="V17">
        <f>[1]summ_states!V17</f>
        <v>178.52451393851399</v>
      </c>
      <c r="W17">
        <f>[1]summ_states!W17</f>
        <v>123.435960092597</v>
      </c>
      <c r="X17">
        <f>[1]summ_states!X17</f>
        <v>238.12325890082201</v>
      </c>
      <c r="Y17">
        <f>[1]summ_states!Y17</f>
        <v>0.51606402592788503</v>
      </c>
      <c r="Z17">
        <f>[1]summ_states!Z17</f>
        <v>0.33716118708001402</v>
      </c>
      <c r="AA17">
        <f>[1]summ_states!AA17</f>
        <v>0.72649044493850901</v>
      </c>
      <c r="AB17">
        <f>[1]summ_states!AB17</f>
        <v>6732219</v>
      </c>
      <c r="AC17">
        <f>[1]summ_states!AC17</f>
        <v>499.946398928571</v>
      </c>
      <c r="AD17">
        <f>[1]summ_states!AD17</f>
        <v>140.45805717857101</v>
      </c>
      <c r="AE17">
        <f>[1]summ_states!AE17</f>
        <v>83.215895607142798</v>
      </c>
      <c r="AF17">
        <f>[1]summ_states!AF17</f>
        <v>131.89794874999899</v>
      </c>
      <c r="AG17">
        <f>[1]summ_states!AG17</f>
        <v>116.593924428571</v>
      </c>
      <c r="AH17">
        <f>[1]summ_states!AH17</f>
        <v>15.1139256071428</v>
      </c>
      <c r="AI17">
        <f>[1]summ_states!AI17</f>
        <v>12.6666474285714</v>
      </c>
      <c r="AJ17">
        <f>[1]summ_states!AJ17</f>
        <v>9.1572478128518396E-5</v>
      </c>
      <c r="AK17" t="str">
        <f t="shared" si="0"/>
        <v>616 (561, 676)</v>
      </c>
      <c r="AL17" t="str">
        <f t="shared" si="1"/>
        <v>1.41 (1.28, 1.54)</v>
      </c>
      <c r="AM17" t="str">
        <f t="shared" si="2"/>
        <v>0.52 (0.34, 0.73)</v>
      </c>
      <c r="AN17" t="str">
        <f t="shared" si="3"/>
        <v>52 (34, 73)</v>
      </c>
      <c r="AO17">
        <f>SUM($I$2:I17)/SUM($I$2:$I$49)</f>
        <v>0.63533088499999835</v>
      </c>
      <c r="AP17">
        <f>SUM($P$2:P17)/SUM($P$2:$P$49)</f>
        <v>0.68965292877851492</v>
      </c>
      <c r="AQ17">
        <f t="shared" si="9"/>
        <v>116.53957820532497</v>
      </c>
      <c r="AR17">
        <f t="shared" si="19"/>
        <v>0.23310414567457535</v>
      </c>
      <c r="AS17">
        <f t="shared" si="10"/>
        <v>1.3298444999955259E-2</v>
      </c>
      <c r="AT17">
        <f t="shared" si="11"/>
        <v>0.36807384106036745</v>
      </c>
      <c r="AU17">
        <f t="shared" si="12"/>
        <v>-0.44986618770303871</v>
      </c>
      <c r="AV17">
        <f t="shared" si="13"/>
        <v>1.3545586226324957</v>
      </c>
      <c r="AW17">
        <f t="shared" si="14"/>
        <v>0.251986169056232</v>
      </c>
      <c r="AX17">
        <f t="shared" si="15"/>
        <v>-0.19706503158419819</v>
      </c>
      <c r="AY17" t="str" cm="1">
        <f t="array" ref="AY17">_xlfn.IFS(Q17&gt;BG17, "Significant increase", R17&lt;BG17, "Significant decrease", AND(Q17&lt;=BG17, BG17&lt;=R17), "No significant change")</f>
        <v>Significant increase</v>
      </c>
      <c r="AZ17">
        <f>SUMIF($P$2:P17, "&gt;0")/SUMIF($P$2:$P$49, "&gt;0")</f>
        <v>0.68965292877851492</v>
      </c>
      <c r="BA17">
        <f t="shared" si="4"/>
        <v>2.5667200894295712E-2</v>
      </c>
      <c r="BB17">
        <f t="shared" si="16"/>
        <v>2.7030170022188629E-2</v>
      </c>
      <c r="BC17">
        <f t="shared" si="5"/>
        <v>0.12890923059712819</v>
      </c>
      <c r="BD17">
        <f t="shared" si="17"/>
        <v>0.44519036141018148</v>
      </c>
      <c r="BE17">
        <f t="shared" si="6"/>
        <v>0.2754716657522211</v>
      </c>
      <c r="BF17">
        <f t="shared" si="7"/>
        <v>9.7731371323983032E-2</v>
      </c>
      <c r="BG17">
        <f>VLOOKUP($A17,epa!$A$1:$H$49,2,FALSE)/25*1000</f>
        <v>488.99051399999996</v>
      </c>
      <c r="BH17">
        <f>VLOOKUP($A17,epa!$A$1:$H$49,3,FALSE)/25*1000</f>
        <v>140.45805720000001</v>
      </c>
      <c r="BI17">
        <f>VLOOKUP($A17,epa!$A$1:$H$49,4,FALSE)/25*1000</f>
        <v>73.538008160000004</v>
      </c>
      <c r="BJ17">
        <f>VLOOKUP($A17,epa!$A$1:$H$49,5,FALSE)/25*1000</f>
        <v>131.89794871999999</v>
      </c>
      <c r="BK17">
        <f>VLOOKUP($A17,epa!$A$1:$H$49,6,FALSE)/25*1000</f>
        <v>115.47089648000001</v>
      </c>
      <c r="BL17">
        <f>VLOOKUP($A17,epa!$A$1:$H$49,7,FALSE)/25*1000</f>
        <v>15.076440239999998</v>
      </c>
      <c r="BM17">
        <f>VLOOKUP($A17,epa!$A$1:$H$49,8,FALSE)/25*1000</f>
        <v>12.54916304</v>
      </c>
      <c r="BN17">
        <f t="shared" si="8"/>
        <v>127.49546313389601</v>
      </c>
      <c r="BO17">
        <f>SUM($BG$2:BG17)/SUM($BG$2:$BG$49)</f>
        <v>0.61540264112895027</v>
      </c>
      <c r="BP17">
        <f t="shared" si="18"/>
        <v>1.2607319763546498</v>
      </c>
    </row>
    <row r="18" spans="1:68" x14ac:dyDescent="0.2">
      <c r="A18" t="str">
        <f>[1]summ_states!A18</f>
        <v>Nebraska</v>
      </c>
      <c r="B18">
        <f>[1]summ_states!B18</f>
        <v>200297.47578692599</v>
      </c>
      <c r="C18">
        <f>[1]summ_states!C18</f>
        <v>3.28534991472951</v>
      </c>
      <c r="D18">
        <f>[1]summ_states!D18</f>
        <v>5.4452710513316003</v>
      </c>
      <c r="E18">
        <f>[1]summ_states!E18</f>
        <v>0</v>
      </c>
      <c r="F18">
        <f>[1]summ_states!F18</f>
        <v>40.638541321756598</v>
      </c>
      <c r="G18">
        <f>[1]summ_states!G18</f>
        <v>479.63331500082899</v>
      </c>
      <c r="H18">
        <f>[1]summ_states!H18</f>
        <v>21.959664885380601</v>
      </c>
      <c r="I18">
        <f>[1]summ_states!I18</f>
        <v>550.96214217402701</v>
      </c>
      <c r="J18">
        <f>[1]summ_states!J18</f>
        <v>3.4578189296845099</v>
      </c>
      <c r="K18">
        <f>[1]summ_states!K18</f>
        <v>4.8260246580856796</v>
      </c>
      <c r="L18">
        <f>[1]summ_states!L18</f>
        <v>0</v>
      </c>
      <c r="M18">
        <f>[1]summ_states!M18</f>
        <v>45.726200406173099</v>
      </c>
      <c r="N18">
        <f>[1]summ_states!N18</f>
        <v>532.76406647314695</v>
      </c>
      <c r="O18">
        <f>[1]summ_states!O18</f>
        <v>24.355524587215299</v>
      </c>
      <c r="P18">
        <f>[1]summ_states!P18</f>
        <v>611.12963505430503</v>
      </c>
      <c r="Q18">
        <f>[1]summ_states!Q18</f>
        <v>603.771622416279</v>
      </c>
      <c r="R18">
        <f>[1]summ_states!R18</f>
        <v>619.48685394575898</v>
      </c>
      <c r="S18">
        <f>[1]summ_states!S18</f>
        <v>1.1092044049394401</v>
      </c>
      <c r="T18">
        <f>[1]summ_states!T18</f>
        <v>1.09584956242886</v>
      </c>
      <c r="U18">
        <f>[1]summ_states!U18</f>
        <v>1.12437281353187</v>
      </c>
      <c r="V18">
        <f>[1]summ_states!V18</f>
        <v>60.167492880277699</v>
      </c>
      <c r="W18">
        <f>[1]summ_states!W18</f>
        <v>52.809480242251702</v>
      </c>
      <c r="X18">
        <f>[1]summ_states!X18</f>
        <v>68.524711771731901</v>
      </c>
      <c r="Y18">
        <f>[1]summ_states!Y18</f>
        <v>0.63232721697514205</v>
      </c>
      <c r="Z18">
        <f>[1]summ_states!Z18</f>
        <v>0.53706467005443204</v>
      </c>
      <c r="AA18">
        <f>[1]summ_states!AA18</f>
        <v>0.71880557625767305</v>
      </c>
      <c r="AB18">
        <f>[1]summ_states!AB18</f>
        <v>1934408</v>
      </c>
      <c r="AC18">
        <f>[1]summ_states!AC18</f>
        <v>650.28647928571399</v>
      </c>
      <c r="AD18">
        <f>[1]summ_states!AD18</f>
        <v>531.43694857142805</v>
      </c>
      <c r="AE18">
        <f>[1]summ_states!AE18</f>
        <v>45.399059142857098</v>
      </c>
      <c r="AF18">
        <f>[1]summ_states!AF18</f>
        <v>0</v>
      </c>
      <c r="AG18">
        <f>[1]summ_states!AG18</f>
        <v>47.461276821428498</v>
      </c>
      <c r="AH18">
        <f>[1]summ_states!AH18</f>
        <v>21.732771785714199</v>
      </c>
      <c r="AI18">
        <f>[1]summ_states!AI18</f>
        <v>4.2564230357142803</v>
      </c>
      <c r="AJ18">
        <f>[1]summ_states!AJ18</f>
        <v>3.1592592413508703E-4</v>
      </c>
      <c r="AK18" t="str">
        <f t="shared" si="0"/>
        <v>611 (604, 619)</v>
      </c>
      <c r="AL18" t="str">
        <f t="shared" si="1"/>
        <v>1.11 (1.10, 1.12)</v>
      </c>
      <c r="AM18" t="str">
        <f t="shared" si="2"/>
        <v>0.63 (0.54, 0.72)</v>
      </c>
      <c r="AN18" t="str">
        <f t="shared" si="3"/>
        <v>63 (54, 72)</v>
      </c>
      <c r="AO18">
        <f>SUM($I$2:I18)/SUM($I$2:$I$49)</f>
        <v>0.65480803050787817</v>
      </c>
      <c r="AP18">
        <f>SUM($P$2:P18)/SUM($P$2:$P$49)</f>
        <v>0.70974741327713575</v>
      </c>
      <c r="AQ18">
        <f t="shared" si="9"/>
        <v>-39.156844231408968</v>
      </c>
      <c r="AR18">
        <f t="shared" si="19"/>
        <v>-6.0214759923071952E-2</v>
      </c>
      <c r="AS18">
        <f t="shared" si="10"/>
        <v>0.43176991045838858</v>
      </c>
      <c r="AT18">
        <f t="shared" si="11"/>
        <v>4.0519707159713148E-2</v>
      </c>
      <c r="AU18">
        <f t="shared" si="12"/>
        <v>0</v>
      </c>
      <c r="AV18">
        <f t="shared" si="13"/>
        <v>4.4310935912032424E-2</v>
      </c>
      <c r="AW18">
        <f t="shared" si="14"/>
        <v>-3.3892361035938207E-2</v>
      </c>
      <c r="AX18">
        <f t="shared" si="15"/>
        <v>0.53741650964717169</v>
      </c>
      <c r="AY18" t="str" cm="1">
        <f t="array" ref="AY18">_xlfn.IFS(Q18&gt;BG18, "Significant increase", R18&lt;BG18, "Significant decrease", AND(Q18&lt;=BG18, BG18&lt;=R18), "No significant change")</f>
        <v>Significant decrease</v>
      </c>
      <c r="AZ18">
        <f>SUMIF($P$2:P18, "&gt;0")/SUMIF($P$2:$P$49, "&gt;0")</f>
        <v>0.70974741327713575</v>
      </c>
      <c r="BA18">
        <f t="shared" si="4"/>
        <v>5.6580776505417672E-3</v>
      </c>
      <c r="BB18">
        <f t="shared" si="16"/>
        <v>7.8968918888327813E-3</v>
      </c>
      <c r="BC18">
        <f t="shared" si="5"/>
        <v>0</v>
      </c>
      <c r="BD18">
        <f t="shared" si="17"/>
        <v>7.4822423563389889E-2</v>
      </c>
      <c r="BE18">
        <f t="shared" si="6"/>
        <v>0.87176932014728026</v>
      </c>
      <c r="BF18">
        <f t="shared" si="7"/>
        <v>3.9853286749956196E-2</v>
      </c>
      <c r="BG18">
        <f>VLOOKUP($A18,epa!$A$1:$H$49,2,FALSE)/25*1000</f>
        <v>649.17379879999999</v>
      </c>
      <c r="BH18">
        <f>VLOOKUP($A18,epa!$A$1:$H$49,3,FALSE)/25*1000</f>
        <v>531.43694840000001</v>
      </c>
      <c r="BI18">
        <f>VLOOKUP($A18,epa!$A$1:$H$49,4,FALSE)/25*1000</f>
        <v>45.213383680000007</v>
      </c>
      <c r="BJ18">
        <f>VLOOKUP($A18,epa!$A$1:$H$49,5,FALSE)/25*1000</f>
        <v>0</v>
      </c>
      <c r="BK18">
        <f>VLOOKUP($A18,epa!$A$1:$H$49,6,FALSE)/25*1000</f>
        <v>46.619048960000001</v>
      </c>
      <c r="BL18">
        <f>VLOOKUP($A18,epa!$A$1:$H$49,7,FALSE)/25*1000</f>
        <v>21.715948560000001</v>
      </c>
      <c r="BM18">
        <f>VLOOKUP($A18,epa!$A$1:$H$49,8,FALSE)/25*1000</f>
        <v>4.1884689200000009</v>
      </c>
      <c r="BN18">
        <f t="shared" si="8"/>
        <v>-38.044163745694959</v>
      </c>
      <c r="BO18">
        <f>SUM($BG$2:BG18)/SUM($BG$2:$BG$49)</f>
        <v>0.63997900132453522</v>
      </c>
      <c r="BP18">
        <f t="shared" si="18"/>
        <v>0.94139602704850422</v>
      </c>
    </row>
    <row r="19" spans="1:68" x14ac:dyDescent="0.2">
      <c r="A19" t="str">
        <f>[1]summ_states!A19</f>
        <v>West Virginia</v>
      </c>
      <c r="B19">
        <f>[1]summ_states!B19</f>
        <v>62787.377554144601</v>
      </c>
      <c r="C19">
        <f>[1]summ_states!C19</f>
        <v>6.2585775841540299</v>
      </c>
      <c r="D19">
        <f>[1]summ_states!D19</f>
        <v>2.1223172564877699</v>
      </c>
      <c r="E19">
        <f>[1]summ_states!E19</f>
        <v>815.64709753028501</v>
      </c>
      <c r="F19">
        <f>[1]summ_states!F19</f>
        <v>48.7559608689307</v>
      </c>
      <c r="G19">
        <f>[1]summ_states!G19</f>
        <v>30.507918065290198</v>
      </c>
      <c r="H19">
        <f>[1]summ_states!H19</f>
        <v>239.95192842651699</v>
      </c>
      <c r="I19">
        <f>[1]summ_states!I19</f>
        <v>1143.2437997316599</v>
      </c>
      <c r="J19">
        <f>[1]summ_states!J19</f>
        <v>4.46406296750932</v>
      </c>
      <c r="K19">
        <f>[1]summ_states!K19</f>
        <v>1.73829304004588</v>
      </c>
      <c r="L19">
        <f>[1]summ_states!L19</f>
        <v>360.497459274861</v>
      </c>
      <c r="M19">
        <f>[1]summ_states!M19</f>
        <v>32.282305982542603</v>
      </c>
      <c r="N19">
        <f>[1]summ_states!N19</f>
        <v>25.943982337197198</v>
      </c>
      <c r="O19">
        <f>[1]summ_states!O19</f>
        <v>182.06416687342301</v>
      </c>
      <c r="P19">
        <f>[1]summ_states!P19</f>
        <v>606.99027047558002</v>
      </c>
      <c r="Q19">
        <f>[1]summ_states!Q19</f>
        <v>484.71360297032697</v>
      </c>
      <c r="R19">
        <f>[1]summ_states!R19</f>
        <v>730.16807448788802</v>
      </c>
      <c r="S19">
        <f>[1]summ_states!S19</f>
        <v>0.53093685757845199</v>
      </c>
      <c r="T19">
        <f>[1]summ_states!T19</f>
        <v>0.423980959340514</v>
      </c>
      <c r="U19">
        <f>[1]summ_states!U19</f>
        <v>0.638680983583089</v>
      </c>
      <c r="V19">
        <f>[1]summ_states!V19</f>
        <v>-536.25352925608399</v>
      </c>
      <c r="W19">
        <f>[1]summ_states!W19</f>
        <v>-658.53019676133795</v>
      </c>
      <c r="X19">
        <f>[1]summ_states!X19</f>
        <v>-413.07572524377599</v>
      </c>
      <c r="Y19">
        <f>[1]summ_states!Y19</f>
        <v>0.64210909939425898</v>
      </c>
      <c r="Z19">
        <f>[1]summ_states!Z19</f>
        <v>0.49287797973015901</v>
      </c>
      <c r="AA19">
        <f>[1]summ_states!AA19</f>
        <v>0.83484925845195401</v>
      </c>
      <c r="AB19">
        <f>[1]summ_states!AB19</f>
        <v>1792147</v>
      </c>
      <c r="AC19">
        <f>[1]summ_states!AC19</f>
        <v>943.70942785714203</v>
      </c>
      <c r="AD19">
        <f>[1]summ_states!AD19</f>
        <v>28.053739071428499</v>
      </c>
      <c r="AE19">
        <f>[1]summ_states!AE19</f>
        <v>297.985305571428</v>
      </c>
      <c r="AF19">
        <f>[1]summ_states!AF19</f>
        <v>578.57567571428501</v>
      </c>
      <c r="AG19">
        <f>[1]summ_states!AG19</f>
        <v>30.167295214285701</v>
      </c>
      <c r="AH19">
        <f>[1]summ_states!AH19</f>
        <v>4.1977968571428503</v>
      </c>
      <c r="AI19">
        <f>[1]summ_states!AI19</f>
        <v>4.7296153214285699</v>
      </c>
      <c r="AJ19">
        <f>[1]summ_states!AJ19</f>
        <v>3.3869446561893599E-4</v>
      </c>
      <c r="AK19" t="str">
        <f t="shared" si="0"/>
        <v>607 (485, 730)</v>
      </c>
      <c r="AL19" t="str">
        <f t="shared" si="1"/>
        <v>0.53 (0.42, 0.64)</v>
      </c>
      <c r="AM19" t="str">
        <f t="shared" si="2"/>
        <v>0.64 (0.49, 0.83)</v>
      </c>
      <c r="AN19" t="str">
        <f t="shared" si="3"/>
        <v>64 (49, 83)</v>
      </c>
      <c r="AO19">
        <f>SUM($I$2:I19)/SUM($I$2:$I$49)</f>
        <v>0.69522301392305752</v>
      </c>
      <c r="AP19">
        <f>SUM($P$2:P19)/SUM($P$2:$P$49)</f>
        <v>0.72970579179661532</v>
      </c>
      <c r="AQ19">
        <f t="shared" si="9"/>
        <v>-336.71915738156201</v>
      </c>
      <c r="AR19">
        <f t="shared" si="19"/>
        <v>-0.35680385025520195</v>
      </c>
      <c r="AS19">
        <f t="shared" si="10"/>
        <v>7.3043180442208108E-3</v>
      </c>
      <c r="AT19">
        <f t="shared" si="11"/>
        <v>-0.37942083968526236</v>
      </c>
      <c r="AU19">
        <f t="shared" si="12"/>
        <v>0.64765610051792522</v>
      </c>
      <c r="AV19">
        <f t="shared" si="13"/>
        <v>-6.2812308771021969E-3</v>
      </c>
      <c r="AW19">
        <f t="shared" si="14"/>
        <v>6.2656272682476907E-3</v>
      </c>
      <c r="AX19">
        <f t="shared" si="15"/>
        <v>0.34426653832067522</v>
      </c>
      <c r="AY19" t="str" cm="1">
        <f t="array" ref="AY19">_xlfn.IFS(Q19&gt;BG19, "Significant increase", R19&lt;BG19, "Significant decrease", AND(Q19&lt;=BG19, BG19&lt;=R19), "No significant change")</f>
        <v>Significant decrease</v>
      </c>
      <c r="AZ19">
        <f>SUMIF($P$2:P19, "&gt;0")/SUMIF($P$2:$P$49, "&gt;0")</f>
        <v>0.72970579179661532</v>
      </c>
      <c r="BA19">
        <f t="shared" si="4"/>
        <v>7.3544226071559655E-3</v>
      </c>
      <c r="BB19">
        <f t="shared" si="16"/>
        <v>2.8637906151014881E-3</v>
      </c>
      <c r="BC19">
        <f t="shared" si="5"/>
        <v>0.59390978209981748</v>
      </c>
      <c r="BD19">
        <f t="shared" si="17"/>
        <v>5.3184223129720432E-2</v>
      </c>
      <c r="BE19">
        <f t="shared" si="6"/>
        <v>4.274200691366923E-2</v>
      </c>
      <c r="BF19">
        <f t="shared" si="7"/>
        <v>0.29994577463453376</v>
      </c>
      <c r="BG19">
        <f>VLOOKUP($A19,epa!$A$1:$H$49,2,FALSE)/25*1000</f>
        <v>1033.0615368000001</v>
      </c>
      <c r="BH19">
        <f>VLOOKUP($A19,epa!$A$1:$H$49,3,FALSE)/25*1000</f>
        <v>28.05373904</v>
      </c>
      <c r="BI19">
        <f>VLOOKUP($A19,epa!$A$1:$H$49,4,FALSE)/25*1000</f>
        <v>385.81947315999997</v>
      </c>
      <c r="BJ19">
        <f>VLOOKUP($A19,epa!$A$1:$H$49,5,FALSE)/25*1000</f>
        <v>581.54241319999994</v>
      </c>
      <c r="BK19">
        <f>VLOOKUP($A19,epa!$A$1:$H$49,6,FALSE)/25*1000</f>
        <v>30.135721880000002</v>
      </c>
      <c r="BL19">
        <f>VLOOKUP($A19,epa!$A$1:$H$49,7,FALSE)/25*1000</f>
        <v>2.8061337200000005</v>
      </c>
      <c r="BM19">
        <f>VLOOKUP($A19,epa!$A$1:$H$49,8,FALSE)/25*1000</f>
        <v>4.7040557200000004</v>
      </c>
      <c r="BN19">
        <f t="shared" si="8"/>
        <v>-426.07126632442009</v>
      </c>
      <c r="BO19">
        <f>SUM($BG$2:BG19)/SUM($BG$2:$BG$49)</f>
        <v>0.67908854714960221</v>
      </c>
      <c r="BP19">
        <f t="shared" si="18"/>
        <v>0.58756448561214103</v>
      </c>
    </row>
    <row r="20" spans="1:68" x14ac:dyDescent="0.2">
      <c r="A20" t="str">
        <f>[1]summ_states!A20</f>
        <v>Arkansas</v>
      </c>
      <c r="B20">
        <f>[1]summ_states!B20</f>
        <v>137917.37424069399</v>
      </c>
      <c r="C20">
        <f>[1]summ_states!C20</f>
        <v>188.800676549397</v>
      </c>
      <c r="D20">
        <f>[1]summ_states!D20</f>
        <v>8.2325242149700006</v>
      </c>
      <c r="E20">
        <f>[1]summ_states!E20</f>
        <v>8.8009520656543891</v>
      </c>
      <c r="F20">
        <f>[1]summ_states!F20</f>
        <v>92.665560121925907</v>
      </c>
      <c r="G20">
        <f>[1]summ_states!G20</f>
        <v>123.500025702432</v>
      </c>
      <c r="H20">
        <f>[1]summ_states!H20</f>
        <v>105.230823122987</v>
      </c>
      <c r="I20">
        <f>[1]summ_states!I20</f>
        <v>527.23056177736703</v>
      </c>
      <c r="J20">
        <f>[1]summ_states!J20</f>
        <v>218.00233773086001</v>
      </c>
      <c r="K20">
        <f>[1]summ_states!K20</f>
        <v>10.4809054425419</v>
      </c>
      <c r="L20">
        <f>[1]summ_states!L20</f>
        <v>13.421572968788301</v>
      </c>
      <c r="M20">
        <f>[1]summ_states!M20</f>
        <v>106.306937931397</v>
      </c>
      <c r="N20">
        <f>[1]summ_states!N20</f>
        <v>121.824039583661</v>
      </c>
      <c r="O20">
        <f>[1]summ_states!O20</f>
        <v>134.48820188846901</v>
      </c>
      <c r="P20">
        <f>[1]summ_states!P20</f>
        <v>604.52399554572003</v>
      </c>
      <c r="Q20">
        <f>[1]summ_states!Q20</f>
        <v>568.54786130669902</v>
      </c>
      <c r="R20">
        <f>[1]summ_states!R20</f>
        <v>636.40995756666803</v>
      </c>
      <c r="S20">
        <f>[1]summ_states!S20</f>
        <v>1.14660271875702</v>
      </c>
      <c r="T20">
        <f>[1]summ_states!T20</f>
        <v>1.0783666625660799</v>
      </c>
      <c r="U20">
        <f>[1]summ_states!U20</f>
        <v>1.2070809313884201</v>
      </c>
      <c r="V20">
        <f>[1]summ_states!V20</f>
        <v>77.293433768353495</v>
      </c>
      <c r="W20">
        <f>[1]summ_states!W20</f>
        <v>41.317299529332203</v>
      </c>
      <c r="X20">
        <f>[1]summ_states!X20</f>
        <v>109.179395789301</v>
      </c>
      <c r="Y20">
        <f>[1]summ_states!Y20</f>
        <v>0.746402578959936</v>
      </c>
      <c r="Z20">
        <f>[1]summ_states!Z20</f>
        <v>0.62947737901515599</v>
      </c>
      <c r="AA20">
        <f>[1]summ_states!AA20</f>
        <v>0.86137904500435702</v>
      </c>
      <c r="AB20">
        <f>[1]summ_states!AB20</f>
        <v>3017804</v>
      </c>
      <c r="AC20">
        <f>[1]summ_states!AC20</f>
        <v>607.48834571428495</v>
      </c>
      <c r="AD20">
        <f>[1]summ_states!AD20</f>
        <v>123.703162964285</v>
      </c>
      <c r="AE20">
        <f>[1]summ_states!AE20</f>
        <v>168.59133917857099</v>
      </c>
      <c r="AF20">
        <f>[1]summ_states!AF20</f>
        <v>0</v>
      </c>
      <c r="AG20">
        <f>[1]summ_states!AG20</f>
        <v>66.041003357142799</v>
      </c>
      <c r="AH20">
        <f>[1]summ_states!AH20</f>
        <v>16.312539857142799</v>
      </c>
      <c r="AI20">
        <f>[1]summ_states!AI20</f>
        <v>232.84030028571399</v>
      </c>
      <c r="AJ20">
        <f>[1]summ_states!AJ20</f>
        <v>2.00319171008362E-4</v>
      </c>
      <c r="AK20" t="str">
        <f t="shared" si="0"/>
        <v>605 (569, 636)</v>
      </c>
      <c r="AL20" t="str">
        <f t="shared" si="1"/>
        <v>1.15 (1.08, 1.21)</v>
      </c>
      <c r="AM20" t="str">
        <f t="shared" si="2"/>
        <v>0.75 (0.63, 0.86)</v>
      </c>
      <c r="AN20" t="str">
        <f t="shared" si="3"/>
        <v>75 (63, 86)</v>
      </c>
      <c r="AO20">
        <f>SUM($I$2:I20)/SUM($I$2:$I$49)</f>
        <v>0.71386122076503589</v>
      </c>
      <c r="AP20">
        <f>SUM($P$2:P20)/SUM($P$2:$P$49)</f>
        <v>0.74958307700871007</v>
      </c>
      <c r="AQ20">
        <f t="shared" si="9"/>
        <v>-2.9643501685649198</v>
      </c>
      <c r="AR20">
        <f t="shared" si="19"/>
        <v>-4.8796823667118031E-3</v>
      </c>
      <c r="AS20">
        <f t="shared" si="10"/>
        <v>1.9672555814902488</v>
      </c>
      <c r="AT20">
        <f t="shared" si="11"/>
        <v>0.12541497818732494</v>
      </c>
      <c r="AU20">
        <f t="shared" si="12"/>
        <v>-4.5276611080282247</v>
      </c>
      <c r="AV20">
        <f t="shared" si="13"/>
        <v>-13.583393419997835</v>
      </c>
      <c r="AW20">
        <f t="shared" si="14"/>
        <v>0.6339073570156869</v>
      </c>
      <c r="AX20">
        <f t="shared" si="15"/>
        <v>11.504422673051394</v>
      </c>
      <c r="AY20" t="str" cm="1">
        <f t="array" ref="AY20">_xlfn.IFS(Q20&gt;BG20, "Significant increase", R20&lt;BG20, "Significant decrease", AND(Q20&lt;=BG20, BG20&lt;=R20), "No significant change")</f>
        <v>Significant increase</v>
      </c>
      <c r="AZ20">
        <f>SUMIF($P$2:P20, "&gt;0")/SUMIF($P$2:$P$49, "&gt;0")</f>
        <v>0.74958307700871007</v>
      </c>
      <c r="BA20">
        <f t="shared" si="4"/>
        <v>0.36061817121760975</v>
      </c>
      <c r="BB20">
        <f t="shared" si="16"/>
        <v>1.7337451482104537E-2</v>
      </c>
      <c r="BC20">
        <f t="shared" si="5"/>
        <v>2.2201886224007181E-2</v>
      </c>
      <c r="BD20">
        <f t="shared" si="17"/>
        <v>0.17585230481286501</v>
      </c>
      <c r="BE20">
        <f t="shared" si="6"/>
        <v>0.20152060212876607</v>
      </c>
      <c r="BF20">
        <f t="shared" si="7"/>
        <v>0.22246958413464282</v>
      </c>
      <c r="BG20">
        <f>VLOOKUP($A20,epa!$A$1:$H$49,2,FALSE)/25*1000</f>
        <v>568.43334879999998</v>
      </c>
      <c r="BH20">
        <f>VLOOKUP($A20,epa!$A$1:$H$49,3,FALSE)/25*1000</f>
        <v>123.70316296</v>
      </c>
      <c r="BI20">
        <f>VLOOKUP($A20,epa!$A$1:$H$49,4,FALSE)/25*1000</f>
        <v>135.52094743999999</v>
      </c>
      <c r="BJ20">
        <f>VLOOKUP($A20,epa!$A$1:$H$49,5,FALSE)/25*1000</f>
        <v>0</v>
      </c>
      <c r="BK20">
        <f>VLOOKUP($A20,epa!$A$1:$H$49,6,FALSE)/25*1000</f>
        <v>61.425678680000004</v>
      </c>
      <c r="BL20">
        <f>VLOOKUP($A20,epa!$A$1:$H$49,7,FALSE)/25*1000</f>
        <v>15.012010799999999</v>
      </c>
      <c r="BM20">
        <f>VLOOKUP($A20,epa!$A$1:$H$49,8,FALSE)/25*1000</f>
        <v>232.77154895999999</v>
      </c>
      <c r="BN20">
        <f t="shared" si="8"/>
        <v>36.090646745720051</v>
      </c>
      <c r="BO20">
        <f>SUM($BG$2:BG20)/SUM($BG$2:$BG$49)</f>
        <v>0.70060824303553459</v>
      </c>
      <c r="BP20">
        <f t="shared" si="18"/>
        <v>1.0634914310040215</v>
      </c>
    </row>
    <row r="21" spans="1:68" x14ac:dyDescent="0.2">
      <c r="A21" t="str">
        <f>[1]summ_states!A21</f>
        <v>Georgia</v>
      </c>
      <c r="B21">
        <f>[1]summ_states!B21</f>
        <v>153690.073894114</v>
      </c>
      <c r="C21">
        <f>[1]summ_states!C21</f>
        <v>11.6706375734434</v>
      </c>
      <c r="D21">
        <f>[1]summ_states!D21</f>
        <v>5.3296791766028901</v>
      </c>
      <c r="E21">
        <f>[1]summ_states!E21</f>
        <v>2.0974944576993299E-2</v>
      </c>
      <c r="F21">
        <f>[1]summ_states!F21</f>
        <v>218.09084219491501</v>
      </c>
      <c r="G21">
        <f>[1]summ_states!G21</f>
        <v>108.663543991509</v>
      </c>
      <c r="H21">
        <f>[1]summ_states!H21</f>
        <v>32.313097655622798</v>
      </c>
      <c r="I21">
        <f>[1]summ_states!I21</f>
        <v>376.08877553667099</v>
      </c>
      <c r="J21">
        <f>[1]summ_states!J21</f>
        <v>17.880619201416199</v>
      </c>
      <c r="K21">
        <f>[1]summ_states!K21</f>
        <v>8.7006012076952803</v>
      </c>
      <c r="L21">
        <f>[1]summ_states!L21</f>
        <v>1.06780534132991E-2</v>
      </c>
      <c r="M21">
        <f>[1]summ_states!M21</f>
        <v>373.83444564884098</v>
      </c>
      <c r="N21">
        <f>[1]summ_states!N21</f>
        <v>126.77083365312799</v>
      </c>
      <c r="O21">
        <f>[1]summ_states!O21</f>
        <v>47.459514047907497</v>
      </c>
      <c r="P21">
        <f>[1]summ_states!P21</f>
        <v>574.65669181240196</v>
      </c>
      <c r="Q21">
        <f>[1]summ_states!Q21</f>
        <v>508.84556811210399</v>
      </c>
      <c r="R21">
        <f>[1]summ_states!R21</f>
        <v>655.04565509094095</v>
      </c>
      <c r="S21">
        <f>[1]summ_states!S21</f>
        <v>1.5279815011558799</v>
      </c>
      <c r="T21">
        <f>[1]summ_states!T21</f>
        <v>1.35299323247813</v>
      </c>
      <c r="U21">
        <f>[1]summ_states!U21</f>
        <v>1.74173146793919</v>
      </c>
      <c r="V21">
        <f>[1]summ_states!V21</f>
        <v>198.56791627573</v>
      </c>
      <c r="W21">
        <f>[1]summ_states!W21</f>
        <v>132.756792575432</v>
      </c>
      <c r="X21">
        <f>[1]summ_states!X21</f>
        <v>278.95687955426899</v>
      </c>
      <c r="Y21">
        <f>[1]summ_states!Y21</f>
        <v>0.57079149598163403</v>
      </c>
      <c r="Z21">
        <f>[1]summ_states!Z21</f>
        <v>0.43029102957256399</v>
      </c>
      <c r="AA21">
        <f>[1]summ_states!AA21</f>
        <v>0.729856923338838</v>
      </c>
      <c r="AB21">
        <f>[1]summ_states!AB21</f>
        <v>10617423</v>
      </c>
      <c r="AC21">
        <f>[1]summ_states!AC21</f>
        <v>466.18677714285701</v>
      </c>
      <c r="AD21">
        <f>[1]summ_states!AD21</f>
        <v>113.628775964285</v>
      </c>
      <c r="AE21">
        <f>[1]summ_states!AE21</f>
        <v>50.921894321428503</v>
      </c>
      <c r="AF21">
        <f>[1]summ_states!AF21</f>
        <v>0</v>
      </c>
      <c r="AG21">
        <f>[1]summ_states!AG21</f>
        <v>257.95540371428501</v>
      </c>
      <c r="AH21">
        <f>[1]summ_states!AH21</f>
        <v>29.6836664642857</v>
      </c>
      <c r="AI21">
        <f>[1]summ_states!AI21</f>
        <v>13.997036749999999</v>
      </c>
      <c r="AJ21">
        <f>[1]summ_states!AJ21</f>
        <v>5.4123933068542301E-5</v>
      </c>
      <c r="AK21" t="str">
        <f t="shared" si="0"/>
        <v>575 (509, 655)</v>
      </c>
      <c r="AL21" t="str">
        <f t="shared" si="1"/>
        <v>1.53 (1.35, 1.74)</v>
      </c>
      <c r="AM21" t="str">
        <f t="shared" si="2"/>
        <v>0.57 (0.43, 0.73)</v>
      </c>
      <c r="AN21" t="str">
        <f t="shared" si="3"/>
        <v>57 (43, 73)</v>
      </c>
      <c r="AO21">
        <f>SUM($I$2:I21)/SUM($I$2:$I$49)</f>
        <v>0.72715639160219014</v>
      </c>
      <c r="AP21">
        <f>SUM($P$2:P21)/SUM($P$2:$P$49)</f>
        <v>0.76847829878048179</v>
      </c>
      <c r="AQ21">
        <f t="shared" si="9"/>
        <v>108.46991466954495</v>
      </c>
      <c r="AR21">
        <f t="shared" si="19"/>
        <v>0.23267479900294497</v>
      </c>
      <c r="AS21">
        <f t="shared" si="10"/>
        <v>-0.19344594600738474</v>
      </c>
      <c r="AT21">
        <f t="shared" si="11"/>
        <v>0.44366402252768239</v>
      </c>
      <c r="AU21">
        <f t="shared" si="12"/>
        <v>9.84425353871618E-5</v>
      </c>
      <c r="AV21">
        <f t="shared" si="13"/>
        <v>1.0683058273585171</v>
      </c>
      <c r="AW21">
        <f t="shared" si="14"/>
        <v>0.12115855100357045</v>
      </c>
      <c r="AX21">
        <f t="shared" si="15"/>
        <v>-3.1920189889235132E-2</v>
      </c>
      <c r="AY21" t="str" cm="1">
        <f t="array" ref="AY21">_xlfn.IFS(Q21&gt;BG21, "Significant increase", R21&lt;BG21, "Significant decrease", AND(Q21&lt;=BG21, BG21&lt;=R21), "No significant change")</f>
        <v>Significant increase</v>
      </c>
      <c r="AZ21">
        <f>SUMIF($P$2:P21, "&gt;0")/SUMIF($P$2:$P$49, "&gt;0")</f>
        <v>0.76847829878048179</v>
      </c>
      <c r="BA21">
        <f t="shared" si="4"/>
        <v>3.1115306679928768E-2</v>
      </c>
      <c r="BB21">
        <f t="shared" si="16"/>
        <v>1.5140520125598071E-2</v>
      </c>
      <c r="BC21">
        <f t="shared" si="5"/>
        <v>1.8581621976108435E-5</v>
      </c>
      <c r="BD21">
        <f t="shared" si="17"/>
        <v>0.65053526910094717</v>
      </c>
      <c r="BE21">
        <f t="shared" si="6"/>
        <v>0.22060272760995295</v>
      </c>
      <c r="BF21">
        <f t="shared" si="7"/>
        <v>8.258759486159567E-2</v>
      </c>
      <c r="BG21">
        <f>VLOOKUP($A21,epa!$A$1:$H$49,2,FALSE)/25*1000</f>
        <v>462.04158200000001</v>
      </c>
      <c r="BH21">
        <f>VLOOKUP($A21,epa!$A$1:$H$49,3,FALSE)/25*1000</f>
        <v>113.62877596000001</v>
      </c>
      <c r="BI21">
        <f>VLOOKUP($A21,epa!$A$1:$H$49,4,FALSE)/25*1000</f>
        <v>50.716211360000003</v>
      </c>
      <c r="BJ21">
        <f>VLOOKUP($A21,epa!$A$1:$H$49,5,FALSE)/25*1000</f>
        <v>0</v>
      </c>
      <c r="BK21">
        <f>VLOOKUP($A21,epa!$A$1:$H$49,6,FALSE)/25*1000</f>
        <v>255.93874983999999</v>
      </c>
      <c r="BL21">
        <f>VLOOKUP($A21,epa!$A$1:$H$49,7,FALSE)/25*1000</f>
        <v>27.938580959999999</v>
      </c>
      <c r="BM21">
        <f>VLOOKUP($A21,epa!$A$1:$H$49,8,FALSE)/25*1000</f>
        <v>13.819263719999999</v>
      </c>
      <c r="BN21">
        <f t="shared" si="8"/>
        <v>112.61510981240195</v>
      </c>
      <c r="BO21">
        <f>SUM($BG$2:BG21)/SUM($BG$2:$BG$49)</f>
        <v>0.71810016948968336</v>
      </c>
      <c r="BP21">
        <f t="shared" si="18"/>
        <v>1.2437337118554017</v>
      </c>
    </row>
    <row r="22" spans="1:68" x14ac:dyDescent="0.2">
      <c r="A22" t="str">
        <f>[1]summ_states!A22</f>
        <v>Wisconsin</v>
      </c>
      <c r="B22">
        <f>[1]summ_states!B22</f>
        <v>153966.43334027001</v>
      </c>
      <c r="C22">
        <f>[1]summ_states!C22</f>
        <v>12.700572763358201</v>
      </c>
      <c r="D22">
        <f>[1]summ_states!D22</f>
        <v>8.5132322450109896</v>
      </c>
      <c r="E22">
        <f>[1]summ_states!E22</f>
        <v>0</v>
      </c>
      <c r="F22">
        <f>[1]summ_states!F22</f>
        <v>102.504235791177</v>
      </c>
      <c r="G22">
        <f>[1]summ_states!G22</f>
        <v>380.320958715811</v>
      </c>
      <c r="H22">
        <f>[1]summ_states!H22</f>
        <v>15.4524300754838</v>
      </c>
      <c r="I22">
        <f>[1]summ_states!I22</f>
        <v>519.49142959084099</v>
      </c>
      <c r="J22">
        <f>[1]summ_states!J22</f>
        <v>13.8275422230766</v>
      </c>
      <c r="K22">
        <f>[1]summ_states!K22</f>
        <v>8.0159243451277806</v>
      </c>
      <c r="L22">
        <f>[1]summ_states!L22</f>
        <v>0</v>
      </c>
      <c r="M22">
        <f>[1]summ_states!M22</f>
        <v>113.551232967454</v>
      </c>
      <c r="N22">
        <f>[1]summ_states!N22</f>
        <v>407.36047884614402</v>
      </c>
      <c r="O22">
        <f>[1]summ_states!O22</f>
        <v>15.9537067882397</v>
      </c>
      <c r="P22">
        <f>[1]summ_states!P22</f>
        <v>558.708885170043</v>
      </c>
      <c r="Q22">
        <f>[1]summ_states!Q22</f>
        <v>517.65406228439304</v>
      </c>
      <c r="R22">
        <f>[1]summ_states!R22</f>
        <v>595.16225786992004</v>
      </c>
      <c r="S22">
        <f>[1]summ_states!S22</f>
        <v>1.0754920165094699</v>
      </c>
      <c r="T22">
        <f>[1]summ_states!T22</f>
        <v>0.99646314221604004</v>
      </c>
      <c r="U22">
        <f>[1]summ_states!U22</f>
        <v>1.14566328522239</v>
      </c>
      <c r="V22">
        <f>[1]summ_states!V22</f>
        <v>39.217455579201598</v>
      </c>
      <c r="W22">
        <f>[1]summ_states!W22</f>
        <v>-1.83736730644841</v>
      </c>
      <c r="X22">
        <f>[1]summ_states!X22</f>
        <v>75.670828279078194</v>
      </c>
      <c r="Y22">
        <f>[1]summ_states!Y22</f>
        <v>0.45493030291862901</v>
      </c>
      <c r="Z22">
        <f>[1]summ_states!Z22</f>
        <v>0.19665124226628899</v>
      </c>
      <c r="AA22">
        <f>[1]summ_states!AA22</f>
        <v>0.69365208056567196</v>
      </c>
      <c r="AB22">
        <f>[1]summ_states!AB22</f>
        <v>5822434</v>
      </c>
      <c r="AC22">
        <f>[1]summ_states!AC22</f>
        <v>589.29113857142795</v>
      </c>
      <c r="AD22">
        <f>[1]summ_states!AD22</f>
        <v>423.84099928571402</v>
      </c>
      <c r="AE22">
        <f>[1]summ_states!AE22</f>
        <v>46.592572178571402</v>
      </c>
      <c r="AF22">
        <f>[1]summ_states!AF22</f>
        <v>0</v>
      </c>
      <c r="AG22">
        <f>[1]summ_states!AG22</f>
        <v>85.415491821428503</v>
      </c>
      <c r="AH22">
        <f>[1]summ_states!AH22</f>
        <v>16.606659000000001</v>
      </c>
      <c r="AI22">
        <f>[1]summ_states!AI22</f>
        <v>16.8354161785714</v>
      </c>
      <c r="AJ22">
        <f>[1]summ_states!AJ22</f>
        <v>9.5957959363737394E-5</v>
      </c>
      <c r="AK22" t="str">
        <f t="shared" si="0"/>
        <v>559 (518, 595)</v>
      </c>
      <c r="AL22" t="str">
        <f t="shared" si="1"/>
        <v>1.08 (1.00, 1.15)</v>
      </c>
      <c r="AM22" t="str">
        <f t="shared" si="2"/>
        <v>0.45 (0.20, 0.69)</v>
      </c>
      <c r="AN22" t="str">
        <f t="shared" si="3"/>
        <v>45 (20, 69)</v>
      </c>
      <c r="AO22">
        <f>SUM($I$2:I22)/SUM($I$2:$I$49)</f>
        <v>0.74552101121890668</v>
      </c>
      <c r="AP22">
        <f>SUM($P$2:P22)/SUM($P$2:$P$49)</f>
        <v>0.7868491425234686</v>
      </c>
      <c r="AQ22">
        <f t="shared" si="9"/>
        <v>-30.582253401384946</v>
      </c>
      <c r="AR22">
        <f t="shared" si="19"/>
        <v>-5.1896679586126294E-2</v>
      </c>
      <c r="AS22">
        <f t="shared" si="10"/>
        <v>0.28090587512047693</v>
      </c>
      <c r="AT22">
        <f t="shared" si="11"/>
        <v>6.6940398013613608E-2</v>
      </c>
      <c r="AU22">
        <f t="shared" si="12"/>
        <v>0</v>
      </c>
      <c r="AV22">
        <f t="shared" si="13"/>
        <v>-0.92000222405950449</v>
      </c>
      <c r="AW22">
        <f t="shared" si="14"/>
        <v>0.53889163179923372</v>
      </c>
      <c r="AX22">
        <f t="shared" si="15"/>
        <v>1.0018511385738564</v>
      </c>
      <c r="AY22" t="str" cm="1">
        <f t="array" ref="AY22">_xlfn.IFS(Q22&gt;BG22, "Significant increase", R22&lt;BG22, "Significant decrease", AND(Q22&lt;=BG22, BG22&lt;=R22), "No significant change")</f>
        <v>No significant change</v>
      </c>
      <c r="AZ22">
        <f>SUMIF($P$2:P22, "&gt;0")/SUMIF($P$2:$P$49, "&gt;0")</f>
        <v>0.7868491425234686</v>
      </c>
      <c r="BA22">
        <f t="shared" si="4"/>
        <v>2.4749100274050927E-2</v>
      </c>
      <c r="BB22">
        <f t="shared" si="16"/>
        <v>1.4347229045208642E-2</v>
      </c>
      <c r="BC22">
        <f t="shared" si="5"/>
        <v>0</v>
      </c>
      <c r="BD22">
        <f t="shared" si="17"/>
        <v>0.20323863819150592</v>
      </c>
      <c r="BE22">
        <f t="shared" si="6"/>
        <v>0.72911043596910741</v>
      </c>
      <c r="BF22">
        <f t="shared" si="7"/>
        <v>2.8554596520125486E-2</v>
      </c>
      <c r="BG22">
        <f>VLOOKUP($A22,epa!$A$1:$H$49,2,FALSE)/25*1000</f>
        <v>583.86453920000008</v>
      </c>
      <c r="BH22">
        <f>VLOOKUP($A22,epa!$A$1:$H$49,3,FALSE)/25*1000</f>
        <v>423.84099959999998</v>
      </c>
      <c r="BI22">
        <f>VLOOKUP($A22,epa!$A$1:$H$49,4,FALSE)/25*1000</f>
        <v>45.684036120000002</v>
      </c>
      <c r="BJ22">
        <f>VLOOKUP($A22,epa!$A$1:$H$49,5,FALSE)/25*1000</f>
        <v>0</v>
      </c>
      <c r="BK22">
        <f>VLOOKUP($A22,epa!$A$1:$H$49,6,FALSE)/25*1000</f>
        <v>82.584661720000014</v>
      </c>
      <c r="BL22">
        <f>VLOOKUP($A22,epa!$A$1:$H$49,7,FALSE)/25*1000</f>
        <v>15.037654840000002</v>
      </c>
      <c r="BM22">
        <f>VLOOKUP($A22,epa!$A$1:$H$49,8,FALSE)/25*1000</f>
        <v>16.717187160000002</v>
      </c>
      <c r="BN22">
        <f t="shared" si="8"/>
        <v>-25.155654029957077</v>
      </c>
      <c r="BO22">
        <f>SUM($BG$2:BG22)/SUM($BG$2:$BG$49)</f>
        <v>0.74020405792038269</v>
      </c>
      <c r="BP22">
        <f t="shared" si="18"/>
        <v>0.95691525629485075</v>
      </c>
    </row>
    <row r="23" spans="1:68" x14ac:dyDescent="0.2">
      <c r="A23" t="str">
        <f>[1]summ_states!A23</f>
        <v>Idaho</v>
      </c>
      <c r="B23">
        <f>[1]summ_states!B23</f>
        <v>216265.85819606201</v>
      </c>
      <c r="C23">
        <f>[1]summ_states!C23</f>
        <v>3.1701814914727802</v>
      </c>
      <c r="D23">
        <f>[1]summ_states!D23</f>
        <v>1.4595510200286801</v>
      </c>
      <c r="E23">
        <f>[1]summ_states!E23</f>
        <v>0</v>
      </c>
      <c r="F23">
        <f>[1]summ_states!F23</f>
        <v>164.98244175949301</v>
      </c>
      <c r="G23">
        <f>[1]summ_states!G23</f>
        <v>319.42011738368501</v>
      </c>
      <c r="H23">
        <f>[1]summ_states!H23</f>
        <v>9.5624936213038492</v>
      </c>
      <c r="I23">
        <f>[1]summ_states!I23</f>
        <v>498.59478527598401</v>
      </c>
      <c r="J23">
        <f>[1]summ_states!J23</f>
        <v>3.2783057834821698</v>
      </c>
      <c r="K23">
        <f>[1]summ_states!K23</f>
        <v>1.5200832223785501</v>
      </c>
      <c r="L23">
        <f>[1]summ_states!L23</f>
        <v>0</v>
      </c>
      <c r="M23">
        <f>[1]summ_states!M23</f>
        <v>219.46118726306901</v>
      </c>
      <c r="N23">
        <f>[1]summ_states!N23</f>
        <v>316.72103019814</v>
      </c>
      <c r="O23">
        <f>[1]summ_states!O23</f>
        <v>10.505427936316099</v>
      </c>
      <c r="P23">
        <f>[1]summ_states!P23</f>
        <v>551.48603440338604</v>
      </c>
      <c r="Q23">
        <f>[1]summ_states!Q23</f>
        <v>497.696195750973</v>
      </c>
      <c r="R23">
        <f>[1]summ_states!R23</f>
        <v>595.96279864048199</v>
      </c>
      <c r="S23">
        <f>[1]summ_states!S23</f>
        <v>1.1060806303822901</v>
      </c>
      <c r="T23">
        <f>[1]summ_states!T23</f>
        <v>0.99819775587000203</v>
      </c>
      <c r="U23">
        <f>[1]summ_states!U23</f>
        <v>1.19528486105325</v>
      </c>
      <c r="V23">
        <f>[1]summ_states!V23</f>
        <v>52.891249127402297</v>
      </c>
      <c r="W23">
        <f>[1]summ_states!W23</f>
        <v>-0.89858952501089095</v>
      </c>
      <c r="X23">
        <f>[1]summ_states!X23</f>
        <v>97.3680133644976</v>
      </c>
      <c r="Y23">
        <f>[1]summ_states!Y23</f>
        <v>0.60721526316580898</v>
      </c>
      <c r="Z23">
        <f>[1]summ_states!Z23</f>
        <v>0.49574402470316398</v>
      </c>
      <c r="AA23">
        <f>[1]summ_states!AA23</f>
        <v>0.74859878330097596</v>
      </c>
      <c r="AB23">
        <f>[1]summ_states!AB23</f>
        <v>1787065</v>
      </c>
      <c r="AC23">
        <f>[1]summ_states!AC23</f>
        <v>362.57268964285697</v>
      </c>
      <c r="AD23">
        <f>[1]summ_states!AD23</f>
        <v>316.18109185714201</v>
      </c>
      <c r="AE23">
        <f>[1]summ_states!AE23</f>
        <v>12.9116869642857</v>
      </c>
      <c r="AF23">
        <f>[1]summ_states!AF23</f>
        <v>0</v>
      </c>
      <c r="AG23">
        <f>[1]summ_states!AG23</f>
        <v>20.121642392857101</v>
      </c>
      <c r="AH23">
        <f>[1]summ_states!AH23</f>
        <v>5.0555373928571399</v>
      </c>
      <c r="AI23">
        <f>[1]summ_states!AI23</f>
        <v>8.3027309999999996</v>
      </c>
      <c r="AJ23">
        <f>[1]summ_states!AJ23</f>
        <v>3.0859875516748702E-4</v>
      </c>
      <c r="AK23" t="str">
        <f t="shared" si="0"/>
        <v>551 (498, 596)</v>
      </c>
      <c r="AL23" t="str">
        <f t="shared" si="1"/>
        <v>1.11 (1.00, 1.20)</v>
      </c>
      <c r="AM23" t="str">
        <f t="shared" si="2"/>
        <v>0.61 (0.50, 0.75)</v>
      </c>
      <c r="AN23" t="str">
        <f t="shared" si="3"/>
        <v>61 (50, 75)</v>
      </c>
      <c r="AO23">
        <f>SUM($I$2:I23)/SUM($I$2:$I$49)</f>
        <v>0.76314691042129346</v>
      </c>
      <c r="AP23">
        <f>SUM($P$2:P23)/SUM($P$2:$P$49)</f>
        <v>0.80498249252627119</v>
      </c>
      <c r="AQ23">
        <f t="shared" si="9"/>
        <v>188.91334476052907</v>
      </c>
      <c r="AR23">
        <f t="shared" si="19"/>
        <v>0.52103578167074127</v>
      </c>
      <c r="AS23">
        <f t="shared" si="10"/>
        <v>-1.87146872814105E-2</v>
      </c>
      <c r="AT23">
        <f t="shared" si="11"/>
        <v>1.3022738182098115E-2</v>
      </c>
      <c r="AU23">
        <f t="shared" si="12"/>
        <v>0</v>
      </c>
      <c r="AV23">
        <f t="shared" si="13"/>
        <v>1.0551903843685544</v>
      </c>
      <c r="AW23">
        <f t="shared" si="14"/>
        <v>2.8581270512278009E-3</v>
      </c>
      <c r="AX23">
        <f t="shared" si="15"/>
        <v>-1.273736924736487E-2</v>
      </c>
      <c r="AY23" t="str" cm="1">
        <f t="array" ref="AY23">_xlfn.IFS(Q23&gt;BG23, "Significant increase", R23&lt;BG23, "Significant decrease", AND(Q23&lt;=BG23, BG23&lt;=R23), "No significant change")</f>
        <v>Significant increase</v>
      </c>
      <c r="AZ23">
        <f>SUMIF($P$2:P23, "&gt;0")/SUMIF($P$2:$P$49, "&gt;0")</f>
        <v>0.80498249252627119</v>
      </c>
      <c r="BA23">
        <f t="shared" si="4"/>
        <v>5.9444946543909102E-3</v>
      </c>
      <c r="BB23">
        <f t="shared" si="16"/>
        <v>2.7563403741003543E-3</v>
      </c>
      <c r="BC23">
        <f t="shared" si="5"/>
        <v>0</v>
      </c>
      <c r="BD23">
        <f t="shared" si="17"/>
        <v>0.39794514017111715</v>
      </c>
      <c r="BE23">
        <f t="shared" si="6"/>
        <v>0.57430471569561725</v>
      </c>
      <c r="BF23">
        <f t="shared" si="7"/>
        <v>1.9049309104773947E-2</v>
      </c>
      <c r="BG23">
        <f>VLOOKUP($A23,epa!$A$1:$H$49,2,FALSE)/25*1000</f>
        <v>362.16240464000003</v>
      </c>
      <c r="BH23">
        <f>VLOOKUP($A23,epa!$A$1:$H$49,3,FALSE)/25*1000</f>
        <v>316.18109184000002</v>
      </c>
      <c r="BI23">
        <f>VLOOKUP($A23,epa!$A$1:$H$49,4,FALSE)/25*1000</f>
        <v>12.97176052</v>
      </c>
      <c r="BJ23">
        <f>VLOOKUP($A23,epa!$A$1:$H$49,5,FALSE)/25*1000</f>
        <v>0</v>
      </c>
      <c r="BK23">
        <f>VLOOKUP($A23,epa!$A$1:$H$49,6,FALSE)/25*1000</f>
        <v>19.698558079999998</v>
      </c>
      <c r="BL23">
        <f>VLOOKUP($A23,epa!$A$1:$H$49,7,FALSE)/25*1000</f>
        <v>5.0460621999999997</v>
      </c>
      <c r="BM23">
        <f>VLOOKUP($A23,epa!$A$1:$H$49,8,FALSE)/25*1000</f>
        <v>8.2649319600000002</v>
      </c>
      <c r="BN23">
        <f t="shared" si="8"/>
        <v>189.32362976338601</v>
      </c>
      <c r="BO23">
        <f>SUM($BG$2:BG23)/SUM($BG$2:$BG$49)</f>
        <v>0.75391476793699874</v>
      </c>
      <c r="BP23">
        <f t="shared" si="18"/>
        <v>1.5227589262104089</v>
      </c>
    </row>
    <row r="24" spans="1:68" x14ac:dyDescent="0.2">
      <c r="A24" t="str">
        <f>[1]summ_states!A24</f>
        <v>Minnesota</v>
      </c>
      <c r="B24">
        <f>[1]summ_states!B24</f>
        <v>220512.37964920799</v>
      </c>
      <c r="C24">
        <f>[1]summ_states!C24</f>
        <v>8.9023387567249195</v>
      </c>
      <c r="D24">
        <f>[1]summ_states!D24</f>
        <v>3.7756736391294301</v>
      </c>
      <c r="E24">
        <f>[1]summ_states!E24</f>
        <v>0</v>
      </c>
      <c r="F24">
        <f>[1]summ_states!F24</f>
        <v>76.293913261732001</v>
      </c>
      <c r="G24">
        <f>[1]summ_states!G24</f>
        <v>291.19111950168099</v>
      </c>
      <c r="H24">
        <f>[1]summ_states!H24</f>
        <v>29.8315812615288</v>
      </c>
      <c r="I24">
        <f>[1]summ_states!I24</f>
        <v>409.99462642079601</v>
      </c>
      <c r="J24">
        <f>[1]summ_states!J24</f>
        <v>9.6514283703846306</v>
      </c>
      <c r="K24">
        <f>[1]summ_states!K24</f>
        <v>3.7531212192062702</v>
      </c>
      <c r="L24">
        <f>[1]summ_states!L24</f>
        <v>0</v>
      </c>
      <c r="M24">
        <f>[1]summ_states!M24</f>
        <v>82.786789272579099</v>
      </c>
      <c r="N24">
        <f>[1]summ_states!N24</f>
        <v>381.42598859808999</v>
      </c>
      <c r="O24">
        <f>[1]summ_states!O24</f>
        <v>26.254948593724599</v>
      </c>
      <c r="P24">
        <f>[1]summ_states!P24</f>
        <v>503.87227605398499</v>
      </c>
      <c r="Q24">
        <f>[1]summ_states!Q24</f>
        <v>475.29856018885198</v>
      </c>
      <c r="R24">
        <f>[1]summ_states!R24</f>
        <v>533.79257798076503</v>
      </c>
      <c r="S24">
        <f>[1]summ_states!S24</f>
        <v>1.22897287813923</v>
      </c>
      <c r="T24">
        <f>[1]summ_states!T24</f>
        <v>1.1592799748088101</v>
      </c>
      <c r="U24">
        <f>[1]summ_states!U24</f>
        <v>1.3019501807638501</v>
      </c>
      <c r="V24">
        <f>[1]summ_states!V24</f>
        <v>93.877649633188796</v>
      </c>
      <c r="W24">
        <f>[1]summ_states!W24</f>
        <v>65.303933768055899</v>
      </c>
      <c r="X24">
        <f>[1]summ_states!X24</f>
        <v>123.797951559968</v>
      </c>
      <c r="Y24">
        <f>[1]summ_states!Y24</f>
        <v>0.53495762460159402</v>
      </c>
      <c r="Z24">
        <f>[1]summ_states!Z24</f>
        <v>0.33184374032977698</v>
      </c>
      <c r="AA24">
        <f>[1]summ_states!AA24</f>
        <v>0.69421461921379601</v>
      </c>
      <c r="AB24">
        <f>[1]summ_states!AB24</f>
        <v>5639632</v>
      </c>
      <c r="AC24">
        <f>[1]summ_states!AC24</f>
        <v>430.40139214285699</v>
      </c>
      <c r="AD24">
        <f>[1]summ_states!AD24</f>
        <v>294.83397085714199</v>
      </c>
      <c r="AE24">
        <f>[1]summ_states!AE24</f>
        <v>47.952358607142799</v>
      </c>
      <c r="AF24">
        <f>[1]summ_states!AF24</f>
        <v>0</v>
      </c>
      <c r="AG24">
        <f>[1]summ_states!AG24</f>
        <v>54.168701892857101</v>
      </c>
      <c r="AH24">
        <f>[1]summ_states!AH24</f>
        <v>17.897773428571401</v>
      </c>
      <c r="AI24">
        <f>[1]summ_states!AI24</f>
        <v>15.548587392857099</v>
      </c>
      <c r="AJ24">
        <f>[1]summ_states!AJ24</f>
        <v>8.9344885633315304E-5</v>
      </c>
      <c r="AK24" t="str">
        <f t="shared" si="0"/>
        <v>504 (475, 534)</v>
      </c>
      <c r="AL24" t="str">
        <f t="shared" si="1"/>
        <v>1.23 (1.16, 1.30)</v>
      </c>
      <c r="AM24" t="str">
        <f t="shared" si="2"/>
        <v>0.53 (0.33, 0.69)</v>
      </c>
      <c r="AN24" t="str">
        <f t="shared" si="3"/>
        <v>54 (33, 69)</v>
      </c>
      <c r="AO24">
        <f>SUM($I$2:I24)/SUM($I$2:$I$49)</f>
        <v>0.77764069208973419</v>
      </c>
      <c r="AP24">
        <f>SUM($P$2:P24)/SUM($P$2:$P$49)</f>
        <v>0.82155025991911235</v>
      </c>
      <c r="AQ24">
        <f t="shared" si="9"/>
        <v>73.470883911127999</v>
      </c>
      <c r="AR24">
        <f t="shared" si="19"/>
        <v>0.1707031744143194</v>
      </c>
      <c r="AS24">
        <f t="shared" si="10"/>
        <v>-0.19252051229538511</v>
      </c>
      <c r="AT24">
        <f t="shared" si="11"/>
        <v>4.8177342078280186E-2</v>
      </c>
      <c r="AU24">
        <f t="shared" si="12"/>
        <v>0</v>
      </c>
      <c r="AV24">
        <f t="shared" si="13"/>
        <v>0.38951603487361153</v>
      </c>
      <c r="AW24">
        <f t="shared" si="14"/>
        <v>1.1785895736015863</v>
      </c>
      <c r="AX24">
        <f t="shared" si="15"/>
        <v>-0.29531984452050236</v>
      </c>
      <c r="AY24" t="str" cm="1">
        <f t="array" ref="AY24">_xlfn.IFS(Q24&gt;BG24, "Significant increase", R24&lt;BG24, "Significant decrease", AND(Q24&lt;=BG24, BG24&lt;=R24), "No significant change")</f>
        <v>Significant increase</v>
      </c>
      <c r="AZ24">
        <f>SUMIF($P$2:P24, "&gt;0")/SUMIF($P$2:$P$49, "&gt;0")</f>
        <v>0.82155025991911235</v>
      </c>
      <c r="BA24">
        <f t="shared" si="4"/>
        <v>1.9154513611998322E-2</v>
      </c>
      <c r="BB24">
        <f t="shared" si="16"/>
        <v>7.4485567028977793E-3</v>
      </c>
      <c r="BC24">
        <f t="shared" si="5"/>
        <v>0</v>
      </c>
      <c r="BD24">
        <f t="shared" si="17"/>
        <v>0.16430113980652769</v>
      </c>
      <c r="BE24">
        <f t="shared" si="6"/>
        <v>0.75698943308645927</v>
      </c>
      <c r="BF24">
        <f t="shared" si="7"/>
        <v>5.2106356792116178E-2</v>
      </c>
      <c r="BG24">
        <f>VLOOKUP($A24,epa!$A$1:$H$49,2,FALSE)/25*1000</f>
        <v>425.79188760000005</v>
      </c>
      <c r="BH24">
        <f>VLOOKUP($A24,epa!$A$1:$H$49,3,FALSE)/25*1000</f>
        <v>294.83397088000004</v>
      </c>
      <c r="BI24">
        <f>VLOOKUP($A24,epa!$A$1:$H$49,4,FALSE)/25*1000</f>
        <v>47.512952320000004</v>
      </c>
      <c r="BJ24">
        <f>VLOOKUP($A24,epa!$A$1:$H$49,5,FALSE)/25*1000</f>
        <v>0</v>
      </c>
      <c r="BK24">
        <f>VLOOKUP($A24,epa!$A$1:$H$49,6,FALSE)/25*1000</f>
        <v>51.578558040000004</v>
      </c>
      <c r="BL24">
        <f>VLOOKUP($A24,epa!$A$1:$H$49,7,FALSE)/25*1000</f>
        <v>16.4403404</v>
      </c>
      <c r="BM24">
        <f>VLOOKUP($A24,epa!$A$1:$H$49,8,FALSE)/25*1000</f>
        <v>15.42606612</v>
      </c>
      <c r="BN24">
        <f t="shared" si="8"/>
        <v>78.080388453984938</v>
      </c>
      <c r="BO24">
        <f>SUM($BG$2:BG24)/SUM($BG$2:$BG$49)</f>
        <v>0.77003435689354505</v>
      </c>
      <c r="BP24">
        <f t="shared" si="18"/>
        <v>1.1833768813541503</v>
      </c>
    </row>
    <row r="25" spans="1:68" x14ac:dyDescent="0.2">
      <c r="A25" t="str">
        <f>[1]summ_states!A25</f>
        <v>Mississippi</v>
      </c>
      <c r="B25">
        <f>[1]summ_states!B25</f>
        <v>125688.65599978001</v>
      </c>
      <c r="C25">
        <f>[1]summ_states!C25</f>
        <v>17.279187995984898</v>
      </c>
      <c r="D25">
        <f>[1]summ_states!D25</f>
        <v>15.825021209706</v>
      </c>
      <c r="E25">
        <f>[1]summ_states!E25</f>
        <v>3.1726975747447699</v>
      </c>
      <c r="F25">
        <f>[1]summ_states!F25</f>
        <v>86.744358730320599</v>
      </c>
      <c r="G25">
        <f>[1]summ_states!G25</f>
        <v>86.299819337991593</v>
      </c>
      <c r="H25">
        <f>[1]summ_states!H25</f>
        <v>97.221431994964405</v>
      </c>
      <c r="I25">
        <f>[1]summ_states!I25</f>
        <v>306.54251684371201</v>
      </c>
      <c r="J25">
        <f>[1]summ_states!J25</f>
        <v>23.446745418297301</v>
      </c>
      <c r="K25">
        <f>[1]summ_states!K25</f>
        <v>24.0761791158431</v>
      </c>
      <c r="L25">
        <f>[1]summ_states!L25</f>
        <v>5.8468177271598201</v>
      </c>
      <c r="M25">
        <f>[1]summ_states!M25</f>
        <v>133.72168438992401</v>
      </c>
      <c r="N25">
        <f>[1]summ_states!N25</f>
        <v>104.239416753565</v>
      </c>
      <c r="O25">
        <f>[1]summ_states!O25</f>
        <v>131.604149431769</v>
      </c>
      <c r="P25">
        <f>[1]summ_states!P25</f>
        <v>422.93499283655899</v>
      </c>
      <c r="Q25">
        <f>[1]summ_states!Q25</f>
        <v>379.75735199839801</v>
      </c>
      <c r="R25">
        <f>[1]summ_states!R25</f>
        <v>477.90940794081001</v>
      </c>
      <c r="S25">
        <f>[1]summ_states!S25</f>
        <v>1.3796943966901301</v>
      </c>
      <c r="T25">
        <f>[1]summ_states!T25</f>
        <v>1.23884071909024</v>
      </c>
      <c r="U25">
        <f>[1]summ_states!U25</f>
        <v>1.5590313959106299</v>
      </c>
      <c r="V25">
        <f>[1]summ_states!V25</f>
        <v>116.392475992847</v>
      </c>
      <c r="W25">
        <f>[1]summ_states!W25</f>
        <v>73.214835154685701</v>
      </c>
      <c r="X25">
        <f>[1]summ_states!X25</f>
        <v>171.36689109709801</v>
      </c>
      <c r="Y25">
        <f>[1]summ_states!Y25</f>
        <v>0.55818885056461698</v>
      </c>
      <c r="Z25">
        <f>[1]summ_states!Z25</f>
        <v>0.35100863797711501</v>
      </c>
      <c r="AA25">
        <f>[1]summ_states!AA25</f>
        <v>0.75443581954778205</v>
      </c>
      <c r="AB25">
        <f>[1]summ_states!AB25</f>
        <v>2976149</v>
      </c>
      <c r="AC25">
        <f>[1]summ_states!AC25</f>
        <v>297.62287946428501</v>
      </c>
      <c r="AD25">
        <f>[1]summ_states!AD25</f>
        <v>76.593951571428505</v>
      </c>
      <c r="AE25">
        <f>[1]summ_states!AE25</f>
        <v>90.9444611071428</v>
      </c>
      <c r="AF25">
        <f>[1]summ_states!AF25</f>
        <v>2.9106664642857099</v>
      </c>
      <c r="AG25">
        <f>[1]summ_states!AG25</f>
        <v>74.153472357142803</v>
      </c>
      <c r="AH25">
        <f>[1]summ_states!AH25</f>
        <v>12.863056357142799</v>
      </c>
      <c r="AI25">
        <f>[1]summ_states!AI25</f>
        <v>40.157271642857097</v>
      </c>
      <c r="AJ25">
        <f>[1]summ_states!AJ25</f>
        <v>1.42108138012095E-4</v>
      </c>
      <c r="AK25" t="str">
        <f t="shared" si="0"/>
        <v>423 (380, 478)</v>
      </c>
      <c r="AL25" t="str">
        <f t="shared" si="1"/>
        <v>1.38 (1.24, 1.56)</v>
      </c>
      <c r="AM25" t="str">
        <f t="shared" si="2"/>
        <v>0.56 (0.35, 0.75)</v>
      </c>
      <c r="AN25" t="str">
        <f t="shared" si="3"/>
        <v>56 (35, 75)</v>
      </c>
      <c r="AO25">
        <f>SUM($I$2:I25)/SUM($I$2:$I$49)</f>
        <v>0.78847732268173365</v>
      </c>
      <c r="AP25">
        <f>SUM($P$2:P25)/SUM($P$2:$P$49)</f>
        <v>0.83545673764494433</v>
      </c>
      <c r="AQ25">
        <f t="shared" si="9"/>
        <v>125.31211337227398</v>
      </c>
      <c r="AR25">
        <f t="shared" si="19"/>
        <v>0.42104327999861163</v>
      </c>
      <c r="AS25">
        <f t="shared" si="10"/>
        <v>8.9481554950626735E-2</v>
      </c>
      <c r="AT25">
        <f t="shared" si="11"/>
        <v>0.15358507114637221</v>
      </c>
      <c r="AU25">
        <f t="shared" si="12"/>
        <v>2.3430705810151553E-2</v>
      </c>
      <c r="AV25">
        <f t="shared" si="13"/>
        <v>0.47535876963320778</v>
      </c>
      <c r="AW25">
        <f t="shared" si="14"/>
        <v>0.220612871638419</v>
      </c>
      <c r="AX25">
        <f t="shared" si="15"/>
        <v>0.32446734182700637</v>
      </c>
      <c r="AY25" t="str" cm="1">
        <f t="array" ref="AY25">_xlfn.IFS(Q25&gt;BG25, "Significant increase", R25&lt;BG25, "Significant decrease", AND(Q25&lt;=BG25, BG25&lt;=R25), "No significant change")</f>
        <v>Significant increase</v>
      </c>
      <c r="AZ25">
        <f>SUMIF($P$2:P25, "&gt;0")/SUMIF($P$2:$P$49, "&gt;0")</f>
        <v>0.83545673764494433</v>
      </c>
      <c r="BA25">
        <f t="shared" si="4"/>
        <v>5.5438178007082457E-2</v>
      </c>
      <c r="BB25">
        <f t="shared" si="16"/>
        <v>5.6926429649076619E-2</v>
      </c>
      <c r="BC25">
        <f t="shared" si="5"/>
        <v>1.382438867956072E-2</v>
      </c>
      <c r="BD25">
        <f t="shared" si="17"/>
        <v>0.31617550369401581</v>
      </c>
      <c r="BE25">
        <f t="shared" si="6"/>
        <v>0.2464667585305427</v>
      </c>
      <c r="BF25">
        <f t="shared" si="7"/>
        <v>0.3111687414397199</v>
      </c>
      <c r="BG25">
        <f>VLOOKUP($A25,epa!$A$1:$H$49,2,FALSE)/25*1000</f>
        <v>290.8345324</v>
      </c>
      <c r="BH25">
        <f>VLOOKUP($A25,epa!$A$1:$H$49,3,FALSE)/25*1000</f>
        <v>76.593951559999994</v>
      </c>
      <c r="BI25">
        <f>VLOOKUP($A25,epa!$A$1:$H$49,4,FALSE)/25*1000</f>
        <v>87.128650719999996</v>
      </c>
      <c r="BJ25">
        <f>VLOOKUP($A25,epa!$A$1:$H$49,5,FALSE)/25*1000</f>
        <v>2.9106664399999995</v>
      </c>
      <c r="BK25">
        <f>VLOOKUP($A25,epa!$A$1:$H$49,6,FALSE)/25*1000</f>
        <v>73.450307359999996</v>
      </c>
      <c r="BL25">
        <f>VLOOKUP($A25,epa!$A$1:$H$49,7,FALSE)/25*1000</f>
        <v>10.662325479999998</v>
      </c>
      <c r="BM25">
        <f>VLOOKUP($A25,epa!$A$1:$H$49,8,FALSE)/25*1000</f>
        <v>40.088630880000004</v>
      </c>
      <c r="BN25">
        <f t="shared" si="8"/>
        <v>132.10046043655899</v>
      </c>
      <c r="BO25">
        <f>SUM($BG$2:BG25)/SUM($BG$2:$BG$49)</f>
        <v>0.78104474307793725</v>
      </c>
      <c r="BP25">
        <f t="shared" si="18"/>
        <v>1.4542117448930525</v>
      </c>
    </row>
    <row r="26" spans="1:68" x14ac:dyDescent="0.2">
      <c r="A26" t="str">
        <f>[1]summ_states!A26</f>
        <v>New York</v>
      </c>
      <c r="B26">
        <f>[1]summ_states!B26</f>
        <v>136705.27298633501</v>
      </c>
      <c r="C26">
        <f>[1]summ_states!C26</f>
        <v>19.104207773860701</v>
      </c>
      <c r="D26">
        <f>[1]summ_states!D26</f>
        <v>35.239558693693503</v>
      </c>
      <c r="E26">
        <f>[1]summ_states!E26</f>
        <v>0</v>
      </c>
      <c r="F26">
        <f>[1]summ_states!F26</f>
        <v>139.53376634859001</v>
      </c>
      <c r="G26">
        <f>[1]summ_states!G26</f>
        <v>169.63474080921401</v>
      </c>
      <c r="H26">
        <f>[1]summ_states!H26</f>
        <v>84.100819648826302</v>
      </c>
      <c r="I26">
        <f>[1]summ_states!I26</f>
        <v>447.61309327418502</v>
      </c>
      <c r="J26">
        <f>[1]summ_states!J26</f>
        <v>22.944049262694101</v>
      </c>
      <c r="K26">
        <f>[1]summ_states!K26</f>
        <v>43.0610814970128</v>
      </c>
      <c r="L26">
        <f>[1]summ_states!L26</f>
        <v>0</v>
      </c>
      <c r="M26">
        <f>[1]summ_states!M26</f>
        <v>153.50042449249699</v>
      </c>
      <c r="N26">
        <f>[1]summ_states!N26</f>
        <v>139.193530441717</v>
      </c>
      <c r="O26">
        <f>[1]summ_states!O26</f>
        <v>46.755472423310401</v>
      </c>
      <c r="P26">
        <f>[1]summ_states!P26</f>
        <v>405.45455811723298</v>
      </c>
      <c r="Q26">
        <f>[1]summ_states!Q26</f>
        <v>351.96195738390298</v>
      </c>
      <c r="R26">
        <f>[1]summ_states!R26</f>
        <v>444.847604425317</v>
      </c>
      <c r="S26">
        <f>[1]summ_states!S26</f>
        <v>0.90581478560295703</v>
      </c>
      <c r="T26">
        <f>[1]summ_states!T26</f>
        <v>0.78630844957948698</v>
      </c>
      <c r="U26">
        <f>[1]summ_states!U26</f>
        <v>0.99382169804587295</v>
      </c>
      <c r="V26">
        <f>[1]summ_states!V26</f>
        <v>-42.158535156952503</v>
      </c>
      <c r="W26">
        <f>[1]summ_states!W26</f>
        <v>-95.651135890282305</v>
      </c>
      <c r="X26">
        <f>[1]summ_states!X26</f>
        <v>-2.7654888488685199</v>
      </c>
      <c r="Y26">
        <f>[1]summ_states!Y26</f>
        <v>0.29915100094493202</v>
      </c>
      <c r="Z26">
        <f>[1]summ_states!Z26</f>
        <v>0.13857213282540601</v>
      </c>
      <c r="AA26">
        <f>[1]summ_states!AA26</f>
        <v>0.50049790474203604</v>
      </c>
      <c r="AB26">
        <f>[1]summ_states!AB26</f>
        <v>19453561</v>
      </c>
      <c r="AC26">
        <f>[1]summ_states!AC26</f>
        <v>533.93187821428501</v>
      </c>
      <c r="AD26">
        <f>[1]summ_states!AD26</f>
        <v>230.1066165</v>
      </c>
      <c r="AE26">
        <f>[1]summ_states!AE26</f>
        <v>138.917468428571</v>
      </c>
      <c r="AF26">
        <f>[1]summ_states!AF26</f>
        <v>0</v>
      </c>
      <c r="AG26">
        <f>[1]summ_states!AG26</f>
        <v>108.519220035714</v>
      </c>
      <c r="AH26">
        <f>[1]summ_states!AH26</f>
        <v>29.743526535714199</v>
      </c>
      <c r="AI26">
        <f>[1]summ_states!AI26</f>
        <v>26.645046821428501</v>
      </c>
      <c r="AJ26">
        <f>[1]summ_states!AJ26</f>
        <v>2.0842176818795901E-5</v>
      </c>
      <c r="AK26" t="str">
        <f t="shared" si="0"/>
        <v>405 (352, 445)</v>
      </c>
      <c r="AL26" t="str">
        <f t="shared" si="1"/>
        <v>0.91 (0.79, 0.99)</v>
      </c>
      <c r="AM26" t="str">
        <f t="shared" si="2"/>
        <v>0.30 (0.14, 0.50)</v>
      </c>
      <c r="AN26" t="str">
        <f t="shared" si="3"/>
        <v>30 (14, 50)</v>
      </c>
      <c r="AO26">
        <f>SUM($I$2:I26)/SUM($I$2:$I$49)</f>
        <v>0.80430096042666555</v>
      </c>
      <c r="AP26">
        <f>SUM($P$2:P26)/SUM($P$2:$P$49)</f>
        <v>0.84878844317131419</v>
      </c>
      <c r="AQ26">
        <f t="shared" si="9"/>
        <v>-128.47732009705203</v>
      </c>
      <c r="AR26">
        <f t="shared" si="19"/>
        <v>-0.24062492864584067</v>
      </c>
      <c r="AS26">
        <f t="shared" si="10"/>
        <v>-0.10365685516508667</v>
      </c>
      <c r="AT26">
        <f t="shared" si="11"/>
        <v>0.14411089290131476</v>
      </c>
      <c r="AU26">
        <f t="shared" si="12"/>
        <v>0</v>
      </c>
      <c r="AV26">
        <f t="shared" si="13"/>
        <v>-0.35011007719342291</v>
      </c>
      <c r="AW26">
        <f t="shared" si="14"/>
        <v>0.70761972610891222</v>
      </c>
      <c r="AX26">
        <f t="shared" si="15"/>
        <v>0.71734058537056367</v>
      </c>
      <c r="AY26" t="str" cm="1">
        <f t="array" ref="AY26">_xlfn.IFS(Q26&gt;BG26, "Significant increase", R26&lt;BG26, "Significant decrease", AND(Q26&lt;=BG26, BG26&lt;=R26), "No significant change")</f>
        <v>Significant decrease</v>
      </c>
      <c r="AZ26">
        <f>SUMIF($P$2:P26, "&gt;0")/SUMIF($P$2:$P$49, "&gt;0")</f>
        <v>0.84878844317131419</v>
      </c>
      <c r="BA26">
        <f t="shared" si="4"/>
        <v>5.6588460539787708E-2</v>
      </c>
      <c r="BB26">
        <f t="shared" si="16"/>
        <v>0.10620445777443235</v>
      </c>
      <c r="BC26">
        <f t="shared" si="5"/>
        <v>0</v>
      </c>
      <c r="BD26">
        <f t="shared" si="17"/>
        <v>0.37858847907713972</v>
      </c>
      <c r="BE26">
        <f t="shared" si="6"/>
        <v>0.34330241861893346</v>
      </c>
      <c r="BF26">
        <f t="shared" si="7"/>
        <v>0.11531618398970259</v>
      </c>
      <c r="BG26">
        <f>VLOOKUP($A26,epa!$A$1:$H$49,2,FALSE)/25*1000</f>
        <v>523.63395479999997</v>
      </c>
      <c r="BH26">
        <f>VLOOKUP($A26,epa!$A$1:$H$49,3,FALSE)/25*1000</f>
        <v>230.10661651999999</v>
      </c>
      <c r="BI26">
        <f>VLOOKUP($A26,epa!$A$1:$H$49,4,FALSE)/25*1000</f>
        <v>131.22784643999998</v>
      </c>
      <c r="BJ26">
        <f>VLOOKUP($A26,epa!$A$1:$H$49,5,FALSE)/25*1000</f>
        <v>0</v>
      </c>
      <c r="BK26">
        <f>VLOOKUP($A26,epa!$A$1:$H$49,6,FALSE)/25*1000</f>
        <v>106.520195</v>
      </c>
      <c r="BL26">
        <f>VLOOKUP($A26,epa!$A$1:$H$49,7,FALSE)/25*1000</f>
        <v>29.169698239999999</v>
      </c>
      <c r="BM26">
        <f>VLOOKUP($A26,epa!$A$1:$H$49,8,FALSE)/25*1000</f>
        <v>26.609598559999998</v>
      </c>
      <c r="BN26">
        <f t="shared" si="8"/>
        <v>-118.17939668276699</v>
      </c>
      <c r="BO26">
        <f>SUM($BG$2:BG26)/SUM($BG$2:$BG$49)</f>
        <v>0.80086842774850142</v>
      </c>
      <c r="BP26">
        <f t="shared" si="18"/>
        <v>0.77430914172113763</v>
      </c>
    </row>
    <row r="27" spans="1:68" x14ac:dyDescent="0.2">
      <c r="A27" t="str">
        <f>[1]summ_states!A27</f>
        <v>Kentucky</v>
      </c>
      <c r="B27">
        <f>[1]summ_states!B27</f>
        <v>104663.22921866299</v>
      </c>
      <c r="C27">
        <f>[1]summ_states!C27</f>
        <v>7.3938928996895203</v>
      </c>
      <c r="D27">
        <f>[1]summ_states!D27</f>
        <v>4.2867569312094496</v>
      </c>
      <c r="E27">
        <f>[1]summ_states!E27</f>
        <v>201.77990482347499</v>
      </c>
      <c r="F27">
        <f>[1]summ_states!F27</f>
        <v>107.702595182824</v>
      </c>
      <c r="G27">
        <f>[1]summ_states!G27</f>
        <v>152.41847321410901</v>
      </c>
      <c r="H27">
        <f>[1]summ_states!H27</f>
        <v>92.351065806359301</v>
      </c>
      <c r="I27">
        <f>[1]summ_states!I27</f>
        <v>565.93268885766804</v>
      </c>
      <c r="J27">
        <f>[1]summ_states!J27</f>
        <v>6.9076772560942503</v>
      </c>
      <c r="K27">
        <f>[1]summ_states!K27</f>
        <v>3.8880615063264701</v>
      </c>
      <c r="L27">
        <f>[1]summ_states!L27</f>
        <v>69.150986924073294</v>
      </c>
      <c r="M27">
        <f>[1]summ_states!M27</f>
        <v>104.734326964473</v>
      </c>
      <c r="N27">
        <f>[1]summ_states!N27</f>
        <v>142.95563290750201</v>
      </c>
      <c r="O27">
        <f>[1]summ_states!O27</f>
        <v>67.8564487558899</v>
      </c>
      <c r="P27">
        <f>[1]summ_states!P27</f>
        <v>395.49313431436002</v>
      </c>
      <c r="Q27">
        <f>[1]summ_states!Q27</f>
        <v>347.14857067636899</v>
      </c>
      <c r="R27">
        <f>[1]summ_states!R27</f>
        <v>448.73261181303798</v>
      </c>
      <c r="S27">
        <f>[1]summ_states!S27</f>
        <v>0.69883422905409498</v>
      </c>
      <c r="T27">
        <f>[1]summ_states!T27</f>
        <v>0.61340964660847896</v>
      </c>
      <c r="U27">
        <f>[1]summ_states!U27</f>
        <v>0.79290809781424998</v>
      </c>
      <c r="V27">
        <f>[1]summ_states!V27</f>
        <v>-170.43955454330799</v>
      </c>
      <c r="W27">
        <f>[1]summ_states!W27</f>
        <v>-218.78411818129899</v>
      </c>
      <c r="X27">
        <f>[1]summ_states!X27</f>
        <v>-117.20007704463001</v>
      </c>
      <c r="Y27">
        <f>[1]summ_states!Y27</f>
        <v>0.61742992734379498</v>
      </c>
      <c r="Z27">
        <f>[1]summ_states!Z27</f>
        <v>0.44560788609809399</v>
      </c>
      <c r="AA27">
        <f>[1]summ_states!AA27</f>
        <v>0.81619638858446297</v>
      </c>
      <c r="AB27">
        <f>[1]summ_states!AB27</f>
        <v>4467673</v>
      </c>
      <c r="AC27">
        <f>[1]summ_states!AC27</f>
        <v>511.77812178571401</v>
      </c>
      <c r="AD27">
        <f>[1]summ_states!AD27</f>
        <v>154.445323357142</v>
      </c>
      <c r="AE27">
        <f>[1]summ_states!AE27</f>
        <v>114.522882178571</v>
      </c>
      <c r="AF27">
        <f>[1]summ_states!AF27</f>
        <v>60.955722285714202</v>
      </c>
      <c r="AG27">
        <f>[1]summ_states!AG27</f>
        <v>159.768547928571</v>
      </c>
      <c r="AH27">
        <f>[1]summ_states!AH27</f>
        <v>12.6124751428571</v>
      </c>
      <c r="AI27">
        <f>[1]summ_states!AI27</f>
        <v>9.4731709285714292</v>
      </c>
      <c r="AJ27">
        <f>[1]summ_states!AJ27</f>
        <v>8.8523294859395505E-5</v>
      </c>
      <c r="AK27" t="str">
        <f t="shared" si="0"/>
        <v>395 (347, 449)</v>
      </c>
      <c r="AL27" t="str">
        <f t="shared" si="1"/>
        <v>0.70 (0.61, 0.79)</v>
      </c>
      <c r="AM27" t="str">
        <f t="shared" si="2"/>
        <v>0.62 (0.45, 0.82)</v>
      </c>
      <c r="AN27" t="str">
        <f t="shared" si="3"/>
        <v>62 (45, 82)</v>
      </c>
      <c r="AO27">
        <f>SUM($I$2:I27)/SUM($I$2:$I$49)</f>
        <v>0.82430733198071127</v>
      </c>
      <c r="AP27">
        <f>SUM($P$2:P27)/SUM($P$2:$P$49)</f>
        <v>0.86179260824683812</v>
      </c>
      <c r="AQ27">
        <f t="shared" si="9"/>
        <v>-116.28498747135399</v>
      </c>
      <c r="AR27">
        <f t="shared" si="19"/>
        <v>-0.22721758223194138</v>
      </c>
      <c r="AS27">
        <f t="shared" si="10"/>
        <v>7.5026139024866226E-2</v>
      </c>
      <c r="AT27">
        <f t="shared" si="11"/>
        <v>-5.1325543185210126E-2</v>
      </c>
      <c r="AU27">
        <f t="shared" si="12"/>
        <v>-7.0475689223236479E-2</v>
      </c>
      <c r="AV27">
        <f t="shared" si="13"/>
        <v>0.47327021450344398</v>
      </c>
      <c r="AW27">
        <f t="shared" si="14"/>
        <v>9.8806309391144764E-2</v>
      </c>
      <c r="AX27">
        <f t="shared" si="15"/>
        <v>0.40131090381875006</v>
      </c>
      <c r="AY27" t="str" cm="1">
        <f t="array" ref="AY27">_xlfn.IFS(Q27&gt;BG27, "Significant increase", R27&lt;BG27, "Significant decrease", AND(Q27&lt;=BG27, BG27&lt;=R27), "No significant change")</f>
        <v>Significant decrease</v>
      </c>
      <c r="AZ27">
        <f>SUMIF($P$2:P27, "&gt;0")/SUMIF($P$2:$P$49, "&gt;0")</f>
        <v>0.86179260824683812</v>
      </c>
      <c r="BA27">
        <f t="shared" si="4"/>
        <v>1.7465985264370338E-2</v>
      </c>
      <c r="BB27">
        <f t="shared" si="16"/>
        <v>9.8309203598867575E-3</v>
      </c>
      <c r="BC27">
        <f t="shared" si="5"/>
        <v>0.17484750283707384</v>
      </c>
      <c r="BD27">
        <f t="shared" si="17"/>
        <v>0.2648195831415478</v>
      </c>
      <c r="BE27">
        <f t="shared" si="6"/>
        <v>0.36146173094846418</v>
      </c>
      <c r="BF27">
        <f t="shared" si="7"/>
        <v>0.17157427744865428</v>
      </c>
      <c r="BG27">
        <f>VLOOKUP($A27,epa!$A$1:$H$49,2,FALSE)/25*1000</f>
        <v>536.38779920000002</v>
      </c>
      <c r="BH27">
        <f>VLOOKUP($A27,epa!$A$1:$H$49,3,FALSE)/25*1000</f>
        <v>154.44532336</v>
      </c>
      <c r="BI27">
        <f>VLOOKUP($A27,epa!$A$1:$H$49,4,FALSE)/25*1000</f>
        <v>148.34721152</v>
      </c>
      <c r="BJ27">
        <f>VLOOKUP($A27,epa!$A$1:$H$49,5,FALSE)/25*1000</f>
        <v>60.95572232</v>
      </c>
      <c r="BK27">
        <f>VLOOKUP($A27,epa!$A$1:$H$49,6,FALSE)/25*1000</f>
        <v>152.2124068</v>
      </c>
      <c r="BL27">
        <f>VLOOKUP($A27,epa!$A$1:$H$49,7,FALSE)/25*1000</f>
        <v>10.9940978</v>
      </c>
      <c r="BM27">
        <f>VLOOKUP($A27,epa!$A$1:$H$49,8,FALSE)/25*1000</f>
        <v>9.4330376000000005</v>
      </c>
      <c r="BN27">
        <f t="shared" si="8"/>
        <v>-140.89466488564</v>
      </c>
      <c r="BO27">
        <f>SUM($BG$2:BG27)/SUM($BG$2:$BG$49)</f>
        <v>0.82117494625252019</v>
      </c>
      <c r="BP27">
        <f t="shared" si="18"/>
        <v>0.73732686482470611</v>
      </c>
    </row>
    <row r="28" spans="1:68" x14ac:dyDescent="0.2">
      <c r="A28" t="str">
        <f>[1]summ_states!A28</f>
        <v>South Dakota</v>
      </c>
      <c r="B28">
        <f>[1]summ_states!B28</f>
        <v>199563.29622530701</v>
      </c>
      <c r="C28">
        <f>[1]summ_states!C28</f>
        <v>1.9624438042029799</v>
      </c>
      <c r="D28">
        <f>[1]summ_states!D28</f>
        <v>5.4037021832498402</v>
      </c>
      <c r="E28">
        <f>[1]summ_states!E28</f>
        <v>0</v>
      </c>
      <c r="F28">
        <f>[1]summ_states!F28</f>
        <v>13.4788066562251</v>
      </c>
      <c r="G28">
        <f>[1]summ_states!G28</f>
        <v>292.48715249360703</v>
      </c>
      <c r="H28">
        <f>[1]summ_states!H28</f>
        <v>8.5745901071961299</v>
      </c>
      <c r="I28">
        <f>[1]summ_states!I28</f>
        <v>321.906695244481</v>
      </c>
      <c r="J28">
        <f>[1]summ_states!J28</f>
        <v>2.49421862033401</v>
      </c>
      <c r="K28">
        <f>[1]summ_states!K28</f>
        <v>11.808672767263801</v>
      </c>
      <c r="L28">
        <f>[1]summ_states!L28</f>
        <v>0</v>
      </c>
      <c r="M28">
        <f>[1]summ_states!M28</f>
        <v>18.4457936340896</v>
      </c>
      <c r="N28">
        <f>[1]summ_states!N28</f>
        <v>347.40684484902698</v>
      </c>
      <c r="O28">
        <f>[1]summ_states!O28</f>
        <v>11.560673041964501</v>
      </c>
      <c r="P28">
        <f>[1]summ_states!P28</f>
        <v>391.71620291267999</v>
      </c>
      <c r="Q28">
        <f>[1]summ_states!Q28</f>
        <v>376.35637221932097</v>
      </c>
      <c r="R28">
        <f>[1]summ_states!R28</f>
        <v>401.258243555332</v>
      </c>
      <c r="S28">
        <f>[1]summ_states!S28</f>
        <v>1.2168625527194401</v>
      </c>
      <c r="T28">
        <f>[1]summ_states!T28</f>
        <v>1.16914738891493</v>
      </c>
      <c r="U28">
        <f>[1]summ_states!U28</f>
        <v>1.24650480863899</v>
      </c>
      <c r="V28">
        <f>[1]summ_states!V28</f>
        <v>69.809507668198705</v>
      </c>
      <c r="W28">
        <f>[1]summ_states!W28</f>
        <v>54.449676974839797</v>
      </c>
      <c r="X28">
        <f>[1]summ_states!X28</f>
        <v>79.351548310850703</v>
      </c>
      <c r="Y28">
        <f>[1]summ_states!Y28</f>
        <v>0.40076500720189701</v>
      </c>
      <c r="Z28">
        <f>[1]summ_states!Z28</f>
        <v>0.27071520937228899</v>
      </c>
      <c r="AA28">
        <f>[1]summ_states!AA28</f>
        <v>0.52533673052362995</v>
      </c>
      <c r="AB28">
        <f>[1]summ_states!AB28</f>
        <v>884659</v>
      </c>
      <c r="AC28">
        <f>[1]summ_states!AC28</f>
        <v>362.13448892857099</v>
      </c>
      <c r="AD28">
        <f>[1]summ_states!AD28</f>
        <v>332.070043607142</v>
      </c>
      <c r="AE28">
        <f>[1]summ_states!AE28</f>
        <v>12.2320835714285</v>
      </c>
      <c r="AF28">
        <f>[1]summ_states!AF28</f>
        <v>0</v>
      </c>
      <c r="AG28">
        <f>[1]summ_states!AG28</f>
        <v>11.172137107142801</v>
      </c>
      <c r="AH28">
        <f>[1]summ_states!AH28</f>
        <v>4.7304706428571404</v>
      </c>
      <c r="AI28">
        <f>[1]summ_states!AI28</f>
        <v>1.92975396428571</v>
      </c>
      <c r="AJ28">
        <f>[1]summ_states!AJ28</f>
        <v>4.4278778932072102E-4</v>
      </c>
      <c r="AK28" t="str">
        <f t="shared" si="0"/>
        <v>392 (376, 401)</v>
      </c>
      <c r="AL28" t="str">
        <f t="shared" si="1"/>
        <v>1.22 (1.17, 1.25)</v>
      </c>
      <c r="AM28" t="str">
        <f t="shared" si="2"/>
        <v>0.40 (0.27, 0.53)</v>
      </c>
      <c r="AN28" t="str">
        <f t="shared" si="3"/>
        <v>40 (27, 53)</v>
      </c>
      <c r="AO28">
        <f>SUM($I$2:I28)/SUM($I$2:$I$49)</f>
        <v>0.83568710395287904</v>
      </c>
      <c r="AP28">
        <f>SUM($P$2:P28)/SUM($P$2:$P$49)</f>
        <v>0.87467258446757568</v>
      </c>
      <c r="AQ28">
        <f t="shared" si="9"/>
        <v>29.581713984109001</v>
      </c>
      <c r="AR28">
        <f t="shared" si="19"/>
        <v>8.1687093851875101E-2</v>
      </c>
      <c r="AS28">
        <f t="shared" si="10"/>
        <v>0.23927626804210869</v>
      </c>
      <c r="AT28">
        <f t="shared" si="11"/>
        <v>0.27556612188531721</v>
      </c>
      <c r="AU28">
        <f t="shared" si="12"/>
        <v>0</v>
      </c>
      <c r="AV28">
        <f t="shared" si="13"/>
        <v>0.24588353909628546</v>
      </c>
      <c r="AW28">
        <f t="shared" si="14"/>
        <v>0.51845546374100426</v>
      </c>
      <c r="AX28">
        <f t="shared" si="15"/>
        <v>-2.2696809583943465E-2</v>
      </c>
      <c r="AY28" t="str" cm="1">
        <f t="array" ref="AY28">_xlfn.IFS(Q28&gt;BG28, "Significant increase", R28&lt;BG28, "Significant decrease", AND(Q28&lt;=BG28, BG28&lt;=R28), "No significant change")</f>
        <v>Significant increase</v>
      </c>
      <c r="AZ28">
        <f>SUMIF($P$2:P28, "&gt;0")/SUMIF($P$2:$P$49, "&gt;0")</f>
        <v>0.87467258446757568</v>
      </c>
      <c r="BA28">
        <f t="shared" si="4"/>
        <v>6.3674124322348046E-3</v>
      </c>
      <c r="BB28">
        <f t="shared" si="16"/>
        <v>3.0145990080211588E-2</v>
      </c>
      <c r="BC28">
        <f t="shared" si="5"/>
        <v>0</v>
      </c>
      <c r="BD28">
        <f t="shared" si="17"/>
        <v>4.7089687628268651E-2</v>
      </c>
      <c r="BE28">
        <f t="shared" si="6"/>
        <v>0.88688403049406084</v>
      </c>
      <c r="BF28">
        <f t="shared" si="7"/>
        <v>2.9512879365221369E-2</v>
      </c>
      <c r="BG28">
        <f>VLOOKUP($A28,epa!$A$1:$H$49,2,FALSE)/25*1000</f>
        <v>362.44857567999998</v>
      </c>
      <c r="BH28">
        <f>VLOOKUP($A28,epa!$A$1:$H$49,3,FALSE)/25*1000</f>
        <v>332.07004359999996</v>
      </c>
      <c r="BI28">
        <f>VLOOKUP($A28,epa!$A$1:$H$49,4,FALSE)/25*1000</f>
        <v>12.852072759999999</v>
      </c>
      <c r="BJ28">
        <f>VLOOKUP($A28,epa!$A$1:$H$49,5,FALSE)/25*1000</f>
        <v>0</v>
      </c>
      <c r="BK28">
        <f>VLOOKUP($A28,epa!$A$1:$H$49,6,FALSE)/25*1000</f>
        <v>10.981355280000001</v>
      </c>
      <c r="BL28">
        <f>VLOOKUP($A28,epa!$A$1:$H$49,7,FALSE)/25*1000</f>
        <v>4.6417633200000008</v>
      </c>
      <c r="BM28">
        <f>VLOOKUP($A28,epa!$A$1:$H$49,8,FALSE)/25*1000</f>
        <v>1.9033406799999999</v>
      </c>
      <c r="BN28">
        <f t="shared" si="8"/>
        <v>29.267627232680013</v>
      </c>
      <c r="BO28">
        <f>SUM($BG$2:BG28)/SUM($BG$2:$BG$49)</f>
        <v>0.83489649010526701</v>
      </c>
      <c r="BP28">
        <f t="shared" si="18"/>
        <v>1.0807497371944976</v>
      </c>
    </row>
    <row r="29" spans="1:68" x14ac:dyDescent="0.2">
      <c r="A29" t="str">
        <f>[1]summ_states!A29</f>
        <v>Missouri</v>
      </c>
      <c r="B29">
        <f>[1]summ_states!B29</f>
        <v>180714.91526503899</v>
      </c>
      <c r="C29">
        <f>[1]summ_states!C29</f>
        <v>38.5931103716607</v>
      </c>
      <c r="D29">
        <f>[1]summ_states!D29</f>
        <v>10.388743200238901</v>
      </c>
      <c r="E29">
        <f>[1]summ_states!E29</f>
        <v>0.31061001563861801</v>
      </c>
      <c r="F29">
        <f>[1]summ_states!F29</f>
        <v>81.964799786707999</v>
      </c>
      <c r="G29">
        <f>[1]summ_states!G29</f>
        <v>291.549561469124</v>
      </c>
      <c r="H29">
        <f>[1]summ_states!H29</f>
        <v>16.245706975907101</v>
      </c>
      <c r="I29">
        <f>[1]summ_states!I29</f>
        <v>439.05253181927702</v>
      </c>
      <c r="J29">
        <f>[1]summ_states!J29</f>
        <v>24.4517056424191</v>
      </c>
      <c r="K29">
        <f>[1]summ_states!K29</f>
        <v>8.6944831558914704</v>
      </c>
      <c r="L29">
        <f>[1]summ_states!L29</f>
        <v>0.26602535668817701</v>
      </c>
      <c r="M29">
        <f>[1]summ_states!M29</f>
        <v>53.546425394484899</v>
      </c>
      <c r="N29">
        <f>[1]summ_states!N29</f>
        <v>266.20679272912798</v>
      </c>
      <c r="O29">
        <f>[1]summ_states!O29</f>
        <v>13.5483194393251</v>
      </c>
      <c r="P29">
        <f>[1]summ_states!P29</f>
        <v>366.71375171793699</v>
      </c>
      <c r="Q29">
        <f>[1]summ_states!Q29</f>
        <v>339.31553655232602</v>
      </c>
      <c r="R29">
        <f>[1]summ_states!R29</f>
        <v>394.482610863969</v>
      </c>
      <c r="S29">
        <f>[1]summ_states!S29</f>
        <v>0.83523889544243402</v>
      </c>
      <c r="T29">
        <f>[1]summ_states!T29</f>
        <v>0.77283584983856701</v>
      </c>
      <c r="U29">
        <f>[1]summ_states!U29</f>
        <v>0.89848613155554202</v>
      </c>
      <c r="V29">
        <f>[1]summ_states!V29</f>
        <v>-72.338780101340006</v>
      </c>
      <c r="W29">
        <f>[1]summ_states!W29</f>
        <v>-99.736995266951396</v>
      </c>
      <c r="X29">
        <f>[1]summ_states!X29</f>
        <v>-44.569920955308199</v>
      </c>
      <c r="Y29">
        <f>[1]summ_states!Y29</f>
        <v>0.548316513376925</v>
      </c>
      <c r="Z29">
        <f>[1]summ_states!Z29</f>
        <v>0.43149689011783599</v>
      </c>
      <c r="AA29">
        <f>[1]summ_states!AA29</f>
        <v>0.69352950572423899</v>
      </c>
      <c r="AB29">
        <f>[1]summ_states!AB29</f>
        <v>6137428</v>
      </c>
      <c r="AC29">
        <f>[1]summ_states!AC29</f>
        <v>497.87020428571401</v>
      </c>
      <c r="AD29">
        <f>[1]summ_states!AD29</f>
        <v>331.16923392857097</v>
      </c>
      <c r="AE29">
        <f>[1]summ_states!AE29</f>
        <v>41.188154428571401</v>
      </c>
      <c r="AF29">
        <f>[1]summ_states!AF29</f>
        <v>0.22819314285714201</v>
      </c>
      <c r="AG29">
        <f>[1]summ_states!AG29</f>
        <v>65.401209249999994</v>
      </c>
      <c r="AH29">
        <f>[1]summ_states!AH29</f>
        <v>15.93274225</v>
      </c>
      <c r="AI29">
        <f>[1]summ_states!AI29</f>
        <v>43.950671321428501</v>
      </c>
      <c r="AJ29">
        <f>[1]summ_states!AJ29</f>
        <v>5.9750395722432499E-5</v>
      </c>
      <c r="AK29" t="str">
        <f t="shared" si="0"/>
        <v>367 (339, 394)</v>
      </c>
      <c r="AL29" t="str">
        <f t="shared" si="1"/>
        <v>0.84 (0.77, 0.90)</v>
      </c>
      <c r="AM29" t="str">
        <f t="shared" si="2"/>
        <v>0.55 (0.43, 0.69)</v>
      </c>
      <c r="AN29" t="str">
        <f t="shared" si="3"/>
        <v>55 (43, 69)</v>
      </c>
      <c r="AO29">
        <f>SUM($I$2:I29)/SUM($I$2:$I$49)</f>
        <v>0.8512081160030065</v>
      </c>
      <c r="AP29">
        <f>SUM($P$2:P29)/SUM($P$2:$P$49)</f>
        <v>0.8867304579147901</v>
      </c>
      <c r="AQ29">
        <f t="shared" si="9"/>
        <v>-131.15645256777702</v>
      </c>
      <c r="AR29">
        <f t="shared" si="19"/>
        <v>-0.26343503073445612</v>
      </c>
      <c r="AS29">
        <f t="shared" si="10"/>
        <v>5.518797552387332E-2</v>
      </c>
      <c r="AT29">
        <f t="shared" si="11"/>
        <v>-0.32175628503646642</v>
      </c>
      <c r="AU29">
        <f t="shared" si="12"/>
        <v>-2.8845102997494267E-4</v>
      </c>
      <c r="AV29">
        <f t="shared" si="13"/>
        <v>9.0386585054890542E-2</v>
      </c>
      <c r="AW29">
        <f t="shared" si="14"/>
        <v>0.4953049577631165</v>
      </c>
      <c r="AX29">
        <f t="shared" si="15"/>
        <v>0.21073942187452052</v>
      </c>
      <c r="AY29" t="str" cm="1">
        <f t="array" ref="AY29">_xlfn.IFS(Q29&gt;BG29, "Significant increase", R29&lt;BG29, "Significant decrease", AND(Q29&lt;=BG29, BG29&lt;=R29), "No significant change")</f>
        <v>Significant decrease</v>
      </c>
      <c r="AZ29">
        <f>SUMIF($P$2:P29, "&gt;0")/SUMIF($P$2:$P$49, "&gt;0")</f>
        <v>0.8867304579147901</v>
      </c>
      <c r="BA29">
        <f t="shared" si="4"/>
        <v>6.6677907571970382E-2</v>
      </c>
      <c r="BB29">
        <f t="shared" si="16"/>
        <v>2.3709182203177789E-2</v>
      </c>
      <c r="BC29">
        <f t="shared" si="5"/>
        <v>7.2543054478304409E-4</v>
      </c>
      <c r="BD29">
        <f t="shared" si="17"/>
        <v>0.14601695503273868</v>
      </c>
      <c r="BE29">
        <f t="shared" si="6"/>
        <v>0.72592530681501322</v>
      </c>
      <c r="BF29">
        <f t="shared" si="7"/>
        <v>3.6945217832316198E-2</v>
      </c>
      <c r="BG29">
        <f>VLOOKUP($A29,epa!$A$1:$H$49,2,FALSE)/25*1000</f>
        <v>497.489372</v>
      </c>
      <c r="BH29">
        <f>VLOOKUP($A29,epa!$A$1:$H$49,3,FALSE)/25*1000</f>
        <v>331.16923391999995</v>
      </c>
      <c r="BI29">
        <f>VLOOKUP($A29,epa!$A$1:$H$49,4,FALSE)/25*1000</f>
        <v>41.894469079999993</v>
      </c>
      <c r="BJ29">
        <f>VLOOKUP($A29,epa!$A$1:$H$49,5,FALSE)/25*1000</f>
        <v>0.22819316000000001</v>
      </c>
      <c r="BK29">
        <f>VLOOKUP($A29,epa!$A$1:$H$49,6,FALSE)/25*1000</f>
        <v>64.166499599999995</v>
      </c>
      <c r="BL29">
        <f>VLOOKUP($A29,epa!$A$1:$H$49,7,FALSE)/25*1000</f>
        <v>16.216313759999998</v>
      </c>
      <c r="BM29">
        <f>VLOOKUP($A29,epa!$A$1:$H$49,8,FALSE)/25*1000</f>
        <v>43.814662599999998</v>
      </c>
      <c r="BN29">
        <f t="shared" si="8"/>
        <v>-130.77562028206302</v>
      </c>
      <c r="BO29">
        <f>SUM($BG$2:BG29)/SUM($BG$2:$BG$49)</f>
        <v>0.85373039563618658</v>
      </c>
      <c r="BP29">
        <f t="shared" si="18"/>
        <v>0.7371288159256133</v>
      </c>
    </row>
    <row r="30" spans="1:68" x14ac:dyDescent="0.2">
      <c r="A30" t="str">
        <f>[1]summ_states!A30</f>
        <v>Virginia</v>
      </c>
      <c r="B30">
        <f>[1]summ_states!B30</f>
        <v>110591.492190473</v>
      </c>
      <c r="C30">
        <f>[1]summ_states!C30</f>
        <v>11.6977089804572</v>
      </c>
      <c r="D30">
        <f>[1]summ_states!D30</f>
        <v>22.631464265653499</v>
      </c>
      <c r="E30">
        <f>[1]summ_states!E30</f>
        <v>172.444942108421</v>
      </c>
      <c r="F30">
        <f>[1]summ_states!F30</f>
        <v>170.85074763115401</v>
      </c>
      <c r="G30">
        <f>[1]summ_states!G30</f>
        <v>111.757451540933</v>
      </c>
      <c r="H30">
        <f>[1]summ_states!H30</f>
        <v>60.891241462106699</v>
      </c>
      <c r="I30">
        <f>[1]summ_states!I30</f>
        <v>550.273555988726</v>
      </c>
      <c r="J30">
        <f>[1]summ_states!J30</f>
        <v>10.5796346914659</v>
      </c>
      <c r="K30">
        <f>[1]summ_states!K30</f>
        <v>22.242581248474</v>
      </c>
      <c r="L30">
        <f>[1]summ_states!L30</f>
        <v>19.986254453186799</v>
      </c>
      <c r="M30">
        <f>[1]summ_states!M30</f>
        <v>169.10405034676501</v>
      </c>
      <c r="N30">
        <f>[1]summ_states!N30</f>
        <v>108.84119991460599</v>
      </c>
      <c r="O30">
        <f>[1]summ_states!O30</f>
        <v>31.192838906830801</v>
      </c>
      <c r="P30">
        <f>[1]summ_states!P30</f>
        <v>361.94655956132902</v>
      </c>
      <c r="Q30">
        <f>[1]summ_states!Q30</f>
        <v>298.87629100248398</v>
      </c>
      <c r="R30">
        <f>[1]summ_states!R30</f>
        <v>428.03373907548701</v>
      </c>
      <c r="S30">
        <f>[1]summ_states!S30</f>
        <v>0.65775750192281601</v>
      </c>
      <c r="T30">
        <f>[1]summ_states!T30</f>
        <v>0.54314129354347396</v>
      </c>
      <c r="U30">
        <f>[1]summ_states!U30</f>
        <v>0.77785627605964103</v>
      </c>
      <c r="V30">
        <f>[1]summ_states!V30</f>
        <v>-188.32699642739601</v>
      </c>
      <c r="W30">
        <f>[1]summ_states!W30</f>
        <v>-251.39726498624199</v>
      </c>
      <c r="X30">
        <f>[1]summ_states!X30</f>
        <v>-122.239816913239</v>
      </c>
      <c r="Y30">
        <f>[1]summ_states!Y30</f>
        <v>0.54580128119881499</v>
      </c>
      <c r="Z30">
        <f>[1]summ_states!Z30</f>
        <v>0.38922808093802103</v>
      </c>
      <c r="AA30">
        <f>[1]summ_states!AA30</f>
        <v>0.75047103750172595</v>
      </c>
      <c r="AB30">
        <f>[1]summ_states!AB30</f>
        <v>8535519</v>
      </c>
      <c r="AC30">
        <f>[1]summ_states!AC30</f>
        <v>516.97492749999901</v>
      </c>
      <c r="AD30">
        <f>[1]summ_states!AD30</f>
        <v>112.21727210714199</v>
      </c>
      <c r="AE30">
        <f>[1]summ_states!AE30</f>
        <v>78.936625642857095</v>
      </c>
      <c r="AF30">
        <f>[1]summ_states!AF30</f>
        <v>152.53962678571401</v>
      </c>
      <c r="AG30">
        <f>[1]summ_states!AG30</f>
        <v>138.19447146428499</v>
      </c>
      <c r="AH30">
        <f>[1]summ_states!AH30</f>
        <v>20.6980430357142</v>
      </c>
      <c r="AI30">
        <f>[1]summ_states!AI30</f>
        <v>14.3888885357142</v>
      </c>
      <c r="AJ30">
        <f>[1]summ_states!AJ30</f>
        <v>4.2404751200404997E-5</v>
      </c>
      <c r="AK30" t="str">
        <f t="shared" si="0"/>
        <v>362 (299, 428)</v>
      </c>
      <c r="AL30" t="str">
        <f t="shared" si="1"/>
        <v>0.66 (0.54, 0.78)</v>
      </c>
      <c r="AM30" t="str">
        <f t="shared" si="2"/>
        <v>0.55 (0.39, 0.75)</v>
      </c>
      <c r="AN30" t="str">
        <f t="shared" si="3"/>
        <v>55 (39, 75)</v>
      </c>
      <c r="AO30">
        <f>SUM($I$2:I30)/SUM($I$2:$I$49)</f>
        <v>0.87066091919714239</v>
      </c>
      <c r="AP30">
        <f>SUM($P$2:P30)/SUM($P$2:$P$49)</f>
        <v>0.89863158185519265</v>
      </c>
      <c r="AQ30">
        <f t="shared" si="9"/>
        <v>-155.02836793866999</v>
      </c>
      <c r="AR30">
        <f t="shared" si="19"/>
        <v>-0.29987598951531413</v>
      </c>
      <c r="AS30">
        <f t="shared" si="10"/>
        <v>-9.9629392561935981E-3</v>
      </c>
      <c r="AT30">
        <f t="shared" si="11"/>
        <v>-7.7704006547563681E-2</v>
      </c>
      <c r="AU30">
        <f t="shared" si="12"/>
        <v>0.8550265612353346</v>
      </c>
      <c r="AV30">
        <f t="shared" si="13"/>
        <v>-0.19938014760439204</v>
      </c>
      <c r="AW30">
        <f t="shared" si="14"/>
        <v>2.1777125292782491E-2</v>
      </c>
      <c r="AX30">
        <f t="shared" si="15"/>
        <v>0.30796806656001163</v>
      </c>
      <c r="AY30" t="str" cm="1">
        <f t="array" ref="AY30">_xlfn.IFS(Q30&gt;BG30, "Significant increase", R30&lt;BG30, "Significant decrease", AND(Q30&lt;=BG30, BG30&lt;=R30), "No significant change")</f>
        <v>Significant decrease</v>
      </c>
      <c r="AZ30">
        <f>SUMIF($P$2:P30, "&gt;0")/SUMIF($P$2:$P$49, "&gt;0")</f>
        <v>0.89863158185519265</v>
      </c>
      <c r="BA30">
        <f t="shared" si="4"/>
        <v>2.9229825265608758E-2</v>
      </c>
      <c r="BB30">
        <f t="shared" si="16"/>
        <v>6.1452666590978242E-2</v>
      </c>
      <c r="BC30">
        <f t="shared" si="5"/>
        <v>5.5218799364772753E-2</v>
      </c>
      <c r="BD30">
        <f t="shared" si="17"/>
        <v>0.46720723233760048</v>
      </c>
      <c r="BE30">
        <f t="shared" si="6"/>
        <v>0.30071069067908546</v>
      </c>
      <c r="BF30">
        <f t="shared" si="7"/>
        <v>8.6180785761952844E-2</v>
      </c>
      <c r="BG30">
        <f>VLOOKUP($A30,epa!$A$1:$H$49,2,FALSE)/25*1000</f>
        <v>506.59263919999995</v>
      </c>
      <c r="BH30">
        <f>VLOOKUP($A30,epa!$A$1:$H$49,3,FALSE)/25*1000</f>
        <v>112.21727208000001</v>
      </c>
      <c r="BI30">
        <f>VLOOKUP($A30,epa!$A$1:$H$49,4,FALSE)/25*1000</f>
        <v>88.494310080000005</v>
      </c>
      <c r="BJ30">
        <f>VLOOKUP($A30,epa!$A$1:$H$49,5,FALSE)/25*1000</f>
        <v>152.53962676</v>
      </c>
      <c r="BK30">
        <f>VLOOKUP($A30,epa!$A$1:$H$49,6,FALSE)/25*1000</f>
        <v>119.27940375999999</v>
      </c>
      <c r="BL30">
        <f>VLOOKUP($A30,epa!$A$1:$H$49,7,FALSE)/25*1000</f>
        <v>19.876141439999998</v>
      </c>
      <c r="BM30">
        <f>VLOOKUP($A30,epa!$A$1:$H$49,8,FALSE)/25*1000</f>
        <v>14.185884920000001</v>
      </c>
      <c r="BN30">
        <f t="shared" si="8"/>
        <v>-144.64607963867093</v>
      </c>
      <c r="BO30">
        <f>SUM($BG$2:BG30)/SUM($BG$2:$BG$49)</f>
        <v>0.87290893179464757</v>
      </c>
      <c r="BP30">
        <f t="shared" si="18"/>
        <v>0.7144725989957279</v>
      </c>
    </row>
    <row r="31" spans="1:68" x14ac:dyDescent="0.2">
      <c r="A31" t="str">
        <f>[1]summ_states!A31</f>
        <v>Tennessee</v>
      </c>
      <c r="B31">
        <f>[1]summ_states!B31</f>
        <v>109280.640841987</v>
      </c>
      <c r="C31">
        <f>[1]summ_states!C31</f>
        <v>8.4218013531550895</v>
      </c>
      <c r="D31">
        <f>[1]summ_states!D31</f>
        <v>22.561621809731399</v>
      </c>
      <c r="E31">
        <f>[1]summ_states!E31</f>
        <v>2.9548167818032001</v>
      </c>
      <c r="F31">
        <f>[1]summ_states!F31</f>
        <v>155.77497983639199</v>
      </c>
      <c r="G31">
        <f>[1]summ_states!G31</f>
        <v>135.68968579009999</v>
      </c>
      <c r="H31">
        <f>[1]summ_states!H31</f>
        <v>38.3612740690157</v>
      </c>
      <c r="I31">
        <f>[1]summ_states!I31</f>
        <v>363.76417964019799</v>
      </c>
      <c r="J31">
        <f>[1]summ_states!J31</f>
        <v>7.3614088391559003</v>
      </c>
      <c r="K31">
        <f>[1]summ_states!K31</f>
        <v>19.508974893422199</v>
      </c>
      <c r="L31">
        <f>[1]summ_states!L31</f>
        <v>2.3687132206890098</v>
      </c>
      <c r="M31">
        <f>[1]summ_states!M31</f>
        <v>131.92825328117399</v>
      </c>
      <c r="N31">
        <f>[1]summ_states!N31</f>
        <v>121.64490813402</v>
      </c>
      <c r="O31">
        <f>[1]summ_states!O31</f>
        <v>39.650684687168798</v>
      </c>
      <c r="P31">
        <f>[1]summ_states!P31</f>
        <v>322.46294305562998</v>
      </c>
      <c r="Q31">
        <f>[1]summ_states!Q31</f>
        <v>301.49152908868501</v>
      </c>
      <c r="R31">
        <f>[1]summ_states!R31</f>
        <v>349.12690970324701</v>
      </c>
      <c r="S31">
        <f>[1]summ_states!S31</f>
        <v>0.88646150749251895</v>
      </c>
      <c r="T31">
        <f>[1]summ_states!T31</f>
        <v>0.82881038310834398</v>
      </c>
      <c r="U31">
        <f>[1]summ_states!U31</f>
        <v>0.95976165121197798</v>
      </c>
      <c r="V31">
        <f>[1]summ_states!V31</f>
        <v>-41.3012365845685</v>
      </c>
      <c r="W31">
        <f>[1]summ_states!W31</f>
        <v>-62.272650551512903</v>
      </c>
      <c r="X31">
        <f>[1]summ_states!X31</f>
        <v>-14.637269936950901</v>
      </c>
      <c r="Y31">
        <f>[1]summ_states!Y31</f>
        <v>0.58939974499949899</v>
      </c>
      <c r="Z31">
        <f>[1]summ_states!Z31</f>
        <v>0.42255128705728301</v>
      </c>
      <c r="AA31">
        <f>[1]summ_states!AA31</f>
        <v>0.77436443849140402</v>
      </c>
      <c r="AB31">
        <f>[1]summ_states!AB31</f>
        <v>6829174</v>
      </c>
      <c r="AC31">
        <f>[1]summ_states!AC31</f>
        <v>327.318800964285</v>
      </c>
      <c r="AD31">
        <f>[1]summ_states!AD31</f>
        <v>131.665867535714</v>
      </c>
      <c r="AE31">
        <f>[1]summ_states!AE31</f>
        <v>53.336626392857099</v>
      </c>
      <c r="AF31">
        <f>[1]summ_states!AF31</f>
        <v>1.74313007142857</v>
      </c>
      <c r="AG31">
        <f>[1]summ_states!AG31</f>
        <v>115.51817357142799</v>
      </c>
      <c r="AH31">
        <f>[1]summ_states!AH31</f>
        <v>15.496528</v>
      </c>
      <c r="AI31">
        <f>[1]summ_states!AI31</f>
        <v>9.55847535714285</v>
      </c>
      <c r="AJ31">
        <f>[1]summ_states!AJ31</f>
        <v>4.7218440042035797E-5</v>
      </c>
      <c r="AK31" t="str">
        <f t="shared" si="0"/>
        <v>322 (301, 349)</v>
      </c>
      <c r="AL31" t="str">
        <f t="shared" si="1"/>
        <v>0.89 (0.83, 0.96)</v>
      </c>
      <c r="AM31" t="str">
        <f t="shared" si="2"/>
        <v>0.59 (0.42, 0.77)</v>
      </c>
      <c r="AN31" t="str">
        <f t="shared" si="3"/>
        <v>59 (42, 77)</v>
      </c>
      <c r="AO31">
        <f>SUM($I$2:I31)/SUM($I$2:$I$49)</f>
        <v>0.88352040139214372</v>
      </c>
      <c r="AP31">
        <f>SUM($P$2:P31)/SUM($P$2:$P$49)</f>
        <v>0.9092344494612371</v>
      </c>
      <c r="AQ31">
        <f t="shared" si="9"/>
        <v>-4.8558579086550253</v>
      </c>
      <c r="AR31">
        <f t="shared" si="19"/>
        <v>-1.4835255091823664E-2</v>
      </c>
      <c r="AS31">
        <f t="shared" si="10"/>
        <v>-0.82631060646780041</v>
      </c>
      <c r="AT31">
        <f t="shared" si="11"/>
        <v>-0.1109374114990818</v>
      </c>
      <c r="AU31">
        <f t="shared" si="12"/>
        <v>-0.12883061263909876</v>
      </c>
      <c r="AV31">
        <f t="shared" si="13"/>
        <v>-3.3794398473845093</v>
      </c>
      <c r="AW31">
        <f t="shared" si="14"/>
        <v>2.0636846444441379</v>
      </c>
      <c r="AX31">
        <f t="shared" si="15"/>
        <v>2.818439493728726</v>
      </c>
      <c r="AY31" t="str" cm="1">
        <f t="array" ref="AY31">_xlfn.IFS(Q31&gt;BG31, "Significant increase", R31&lt;BG31, "Significant decrease", AND(Q31&lt;=BG31, BG31&lt;=R31), "No significant change")</f>
        <v>No significant change</v>
      </c>
      <c r="AZ31">
        <f>SUMIF($P$2:P31, "&gt;0")/SUMIF($P$2:$P$49, "&gt;0")</f>
        <v>0.9092344494612371</v>
      </c>
      <c r="BA31">
        <f t="shared" si="4"/>
        <v>2.2828697057093908E-2</v>
      </c>
      <c r="BB31">
        <f t="shared" si="16"/>
        <v>6.0499897162002242E-2</v>
      </c>
      <c r="BC31">
        <f t="shared" si="5"/>
        <v>7.345691254453288E-3</v>
      </c>
      <c r="BD31">
        <f t="shared" si="17"/>
        <v>0.40912686596181774</v>
      </c>
      <c r="BE31">
        <f t="shared" si="6"/>
        <v>0.3772368600910348</v>
      </c>
      <c r="BF31">
        <f t="shared" si="7"/>
        <v>0.12296198847359781</v>
      </c>
      <c r="BG31">
        <f>VLOOKUP($A31,epa!$A$1:$H$49,2,FALSE)/25*1000</f>
        <v>323.65861875999997</v>
      </c>
      <c r="BH31">
        <f>VLOOKUP($A31,epa!$A$1:$H$49,3,FALSE)/25*1000</f>
        <v>131.66586755999998</v>
      </c>
      <c r="BI31">
        <f>VLOOKUP($A31,epa!$A$1:$H$49,4,FALSE)/25*1000</f>
        <v>53.909293240000004</v>
      </c>
      <c r="BJ31">
        <f>VLOOKUP($A31,epa!$A$1:$H$49,5,FALSE)/25*1000</f>
        <v>1.74313008</v>
      </c>
      <c r="BK31">
        <f>VLOOKUP($A31,epa!$A$1:$H$49,6,FALSE)/25*1000</f>
        <v>113.74697808000001</v>
      </c>
      <c r="BL31">
        <f>VLOOKUP($A31,epa!$A$1:$H$49,7,FALSE)/25*1000</f>
        <v>13.122678160000001</v>
      </c>
      <c r="BM31">
        <f>VLOOKUP($A31,epa!$A$1:$H$49,8,FALSE)/25*1000</f>
        <v>9.4706716400000008</v>
      </c>
      <c r="BN31">
        <f t="shared" si="8"/>
        <v>-1.1956757043699895</v>
      </c>
      <c r="BO31">
        <f>SUM($BG$2:BG31)/SUM($BG$2:$BG$49)</f>
        <v>0.88516196913188283</v>
      </c>
      <c r="BP31">
        <f t="shared" si="18"/>
        <v>0.99630575045722292</v>
      </c>
    </row>
    <row r="32" spans="1:68" x14ac:dyDescent="0.2">
      <c r="A32" t="str">
        <f>[1]summ_states!A32</f>
        <v>Montana</v>
      </c>
      <c r="B32">
        <f>[1]summ_states!B32</f>
        <v>380284.42003316601</v>
      </c>
      <c r="C32">
        <f>[1]summ_states!C32</f>
        <v>2.7477255780448102</v>
      </c>
      <c r="D32">
        <f>[1]summ_states!D32</f>
        <v>0.67631429110840702</v>
      </c>
      <c r="E32">
        <f>[1]summ_states!E32</f>
        <v>19.9421599641929</v>
      </c>
      <c r="F32">
        <f>[1]summ_states!F32</f>
        <v>18.708288329804699</v>
      </c>
      <c r="G32">
        <f>[1]summ_states!G32</f>
        <v>211.697778507473</v>
      </c>
      <c r="H32">
        <f>[1]summ_states!H32</f>
        <v>69.6111359522518</v>
      </c>
      <c r="I32">
        <f>[1]summ_states!I32</f>
        <v>323.38340262287602</v>
      </c>
      <c r="J32">
        <f>[1]summ_states!J32</f>
        <v>2.7180194732562502</v>
      </c>
      <c r="K32">
        <f>[1]summ_states!K32</f>
        <v>0.67566328687543697</v>
      </c>
      <c r="L32">
        <f>[1]summ_states!L32</f>
        <v>10.4158957033205</v>
      </c>
      <c r="M32">
        <f>[1]summ_states!M32</f>
        <v>18.712377189039799</v>
      </c>
      <c r="N32">
        <f>[1]summ_states!N32</f>
        <v>211.085433224837</v>
      </c>
      <c r="O32">
        <f>[1]summ_states!O32</f>
        <v>62.754932823133302</v>
      </c>
      <c r="P32">
        <f>[1]summ_states!P32</f>
        <v>306.36232170046299</v>
      </c>
      <c r="Q32">
        <f>[1]summ_states!Q32</f>
        <v>291.89210677394101</v>
      </c>
      <c r="R32">
        <f>[1]summ_states!R32</f>
        <v>322.09122182785302</v>
      </c>
      <c r="S32">
        <f>[1]summ_states!S32</f>
        <v>0.94736563229788595</v>
      </c>
      <c r="T32">
        <f>[1]summ_states!T32</f>
        <v>0.90261931937904805</v>
      </c>
      <c r="U32">
        <f>[1]summ_states!U32</f>
        <v>0.99600418331756602</v>
      </c>
      <c r="V32">
        <f>[1]summ_states!V32</f>
        <v>-17.021080922412999</v>
      </c>
      <c r="W32">
        <f>[1]summ_states!W32</f>
        <v>-31.491295848934801</v>
      </c>
      <c r="X32">
        <f>[1]summ_states!X32</f>
        <v>-1.29218079502271</v>
      </c>
      <c r="Y32">
        <f>[1]summ_states!Y32</f>
        <v>0.29787734052946702</v>
      </c>
      <c r="Z32">
        <f>[1]summ_states!Z32</f>
        <v>0.22639959005053001</v>
      </c>
      <c r="AA32">
        <f>[1]summ_states!AA32</f>
        <v>0.382094322046446</v>
      </c>
      <c r="AB32">
        <f>[1]summ_states!AB32</f>
        <v>1068778</v>
      </c>
      <c r="AC32">
        <f>[1]summ_states!AC32</f>
        <v>333.41797550000001</v>
      </c>
      <c r="AD32">
        <f>[1]summ_states!AD32</f>
        <v>214.65000189285701</v>
      </c>
      <c r="AE32">
        <f>[1]summ_states!AE32</f>
        <v>75.947826821428507</v>
      </c>
      <c r="AF32">
        <f>[1]summ_states!AF32</f>
        <v>19.9901775714285</v>
      </c>
      <c r="AG32">
        <f>[1]summ_states!AG32</f>
        <v>13.311863071428499</v>
      </c>
      <c r="AH32">
        <f>[1]summ_states!AH32</f>
        <v>1.64130503571428</v>
      </c>
      <c r="AI32">
        <f>[1]summ_states!AI32</f>
        <v>7.8768010357142799</v>
      </c>
      <c r="AJ32">
        <f>[1]summ_states!AJ32</f>
        <v>2.8664729410641198E-4</v>
      </c>
      <c r="AK32" t="str">
        <f t="shared" si="0"/>
        <v>306 (292, 322)</v>
      </c>
      <c r="AL32" t="str">
        <f t="shared" si="1"/>
        <v>0.95 (0.90, 1.00)</v>
      </c>
      <c r="AM32" t="str">
        <f t="shared" si="2"/>
        <v>0.30 (0.23, 0.38)</v>
      </c>
      <c r="AN32" t="str">
        <f t="shared" si="3"/>
        <v>30 (23, 38)</v>
      </c>
      <c r="AO32">
        <f>SUM($I$2:I32)/SUM($I$2:$I$49)</f>
        <v>0.89495237666882177</v>
      </c>
      <c r="AP32">
        <f>SUM($P$2:P32)/SUM($P$2:$P$49)</f>
        <v>0.91930791435518622</v>
      </c>
      <c r="AQ32">
        <f t="shared" si="9"/>
        <v>-27.055653799537026</v>
      </c>
      <c r="AR32">
        <f t="shared" si="19"/>
        <v>-8.1146356188396399E-2</v>
      </c>
      <c r="AS32">
        <f t="shared" si="10"/>
        <v>3.5690941198226266E-2</v>
      </c>
      <c r="AT32">
        <f t="shared" si="11"/>
        <v>-3.7713412658094731E-3</v>
      </c>
      <c r="AU32">
        <f t="shared" si="12"/>
        <v>0.35387360952526065</v>
      </c>
      <c r="AV32">
        <f t="shared" si="13"/>
        <v>-0.19960759986157542</v>
      </c>
      <c r="AW32">
        <f t="shared" si="14"/>
        <v>0.13174949289456822</v>
      </c>
      <c r="AX32">
        <f t="shared" si="15"/>
        <v>0.48762059479490233</v>
      </c>
      <c r="AY32" t="str" cm="1">
        <f t="array" ref="AY32">_xlfn.IFS(Q32&gt;BG32, "Significant increase", R32&lt;BG32, "Significant decrease", AND(Q32&lt;=BG32, BG32&lt;=R32), "No significant change")</f>
        <v>Significant decrease</v>
      </c>
      <c r="AZ32">
        <f>SUMIF($P$2:P32, "&gt;0")/SUMIF($P$2:$P$49, "&gt;0")</f>
        <v>0.91930791435518622</v>
      </c>
      <c r="BA32">
        <f t="shared" si="4"/>
        <v>8.8719117225966055E-3</v>
      </c>
      <c r="BB32">
        <f t="shared" si="16"/>
        <v>2.2054385902455964E-3</v>
      </c>
      <c r="BC32">
        <f t="shared" si="5"/>
        <v>3.3998618516490893E-2</v>
      </c>
      <c r="BD32">
        <f t="shared" si="17"/>
        <v>6.1079238090300449E-2</v>
      </c>
      <c r="BE32">
        <f t="shared" si="6"/>
        <v>0.68900585441841555</v>
      </c>
      <c r="BF32">
        <f t="shared" si="7"/>
        <v>0.20483893866194861</v>
      </c>
      <c r="BG32">
        <f>VLOOKUP($A32,epa!$A$1:$H$49,2,FALSE)/25*1000</f>
        <v>344.01020572000004</v>
      </c>
      <c r="BH32">
        <f>VLOOKUP($A32,epa!$A$1:$H$49,3,FALSE)/25*1000</f>
        <v>214.65000192000002</v>
      </c>
      <c r="BI32">
        <f>VLOOKUP($A32,epa!$A$1:$H$49,4,FALSE)/25*1000</f>
        <v>86.636497759999997</v>
      </c>
      <c r="BJ32">
        <f>VLOOKUP($A32,epa!$A$1:$H$49,5,FALSE)/25*1000</f>
        <v>19.990177559999999</v>
      </c>
      <c r="BK32">
        <f>VLOOKUP($A32,epa!$A$1:$H$49,6,FALSE)/25*1000</f>
        <v>13.217755479999999</v>
      </c>
      <c r="BL32">
        <f>VLOOKUP($A32,epa!$A$1:$H$49,7,FALSE)/25*1000</f>
        <v>1.6339251599999998</v>
      </c>
      <c r="BM32">
        <f>VLOOKUP($A32,epa!$A$1:$H$49,8,FALSE)/25*1000</f>
        <v>7.8818478400000007</v>
      </c>
      <c r="BN32">
        <f t="shared" si="8"/>
        <v>-37.647884019537059</v>
      </c>
      <c r="BO32">
        <f>SUM($BG$2:BG32)/SUM($BG$2:$BG$49)</f>
        <v>0.8981854749208722</v>
      </c>
      <c r="BP32">
        <f t="shared" si="18"/>
        <v>0.89056172347927443</v>
      </c>
    </row>
    <row r="33" spans="1:68" x14ac:dyDescent="0.2">
      <c r="A33" t="str">
        <f>[1]summ_states!A33</f>
        <v>North Dakota</v>
      </c>
      <c r="B33">
        <f>[1]summ_states!B33</f>
        <v>182822.71916501701</v>
      </c>
      <c r="C33">
        <f>[1]summ_states!C33</f>
        <v>2.3636492117863401</v>
      </c>
      <c r="D33">
        <f>[1]summ_states!D33</f>
        <v>1.5245160782212599</v>
      </c>
      <c r="E33">
        <f>[1]summ_states!E33</f>
        <v>5.57440118321162</v>
      </c>
      <c r="F33">
        <f>[1]summ_states!F33</f>
        <v>24.682432009097401</v>
      </c>
      <c r="G33">
        <f>[1]summ_states!G33</f>
        <v>123.00922562189299</v>
      </c>
      <c r="H33">
        <f>[1]summ_states!H33</f>
        <v>136.81515190106799</v>
      </c>
      <c r="I33">
        <f>[1]summ_states!I33</f>
        <v>293.96937600527798</v>
      </c>
      <c r="J33">
        <f>[1]summ_states!J33</f>
        <v>2.3821403221937598</v>
      </c>
      <c r="K33">
        <f>[1]summ_states!K33</f>
        <v>1.5286333045759599</v>
      </c>
      <c r="L33">
        <f>[1]summ_states!L33</f>
        <v>5.8675962703318802</v>
      </c>
      <c r="M33">
        <f>[1]summ_states!M33</f>
        <v>25.542081228456201</v>
      </c>
      <c r="N33">
        <f>[1]summ_states!N33</f>
        <v>123.766137552307</v>
      </c>
      <c r="O33">
        <f>[1]summ_states!O33</f>
        <v>140.689406802013</v>
      </c>
      <c r="P33">
        <f>[1]summ_states!P33</f>
        <v>299.77599547987802</v>
      </c>
      <c r="Q33">
        <f>[1]summ_states!Q33</f>
        <v>286.23333602059</v>
      </c>
      <c r="R33">
        <f>[1]summ_states!R33</f>
        <v>317.498068162945</v>
      </c>
      <c r="S33">
        <f>[1]summ_states!S33</f>
        <v>1.0197524638569599</v>
      </c>
      <c r="T33">
        <f>[1]summ_states!T33</f>
        <v>0.97368419768816605</v>
      </c>
      <c r="U33">
        <f>[1]summ_states!U33</f>
        <v>1.08003790216993</v>
      </c>
      <c r="V33">
        <f>[1]summ_states!V33</f>
        <v>5.80661947459968</v>
      </c>
      <c r="W33">
        <f>[1]summ_states!W33</f>
        <v>-7.7360399846880901</v>
      </c>
      <c r="X33">
        <f>[1]summ_states!X33</f>
        <v>23.528692157666601</v>
      </c>
      <c r="Y33">
        <f>[1]summ_states!Y33</f>
        <v>0.579814223680163</v>
      </c>
      <c r="Z33">
        <f>[1]summ_states!Z33</f>
        <v>0.46718707346367699</v>
      </c>
      <c r="AA33">
        <f>[1]summ_states!AA33</f>
        <v>0.70026770237661695</v>
      </c>
      <c r="AB33">
        <f>[1]summ_states!AB33</f>
        <v>762062</v>
      </c>
      <c r="AC33">
        <f>[1]summ_states!AC33</f>
        <v>307.07611903571399</v>
      </c>
      <c r="AD33">
        <f>[1]summ_states!AD33</f>
        <v>135.584248607142</v>
      </c>
      <c r="AE33">
        <f>[1]summ_states!AE33</f>
        <v>143.48071957142801</v>
      </c>
      <c r="AF33">
        <f>[1]summ_states!AF33</f>
        <v>5.3139944999999997</v>
      </c>
      <c r="AG33">
        <f>[1]summ_states!AG33</f>
        <v>18.278781964285699</v>
      </c>
      <c r="AH33">
        <f>[1]summ_states!AH33</f>
        <v>1.53474982142857</v>
      </c>
      <c r="AI33">
        <f>[1]summ_states!AI33</f>
        <v>2.8836245357142798</v>
      </c>
      <c r="AJ33">
        <f>[1]summ_states!AJ33</f>
        <v>3.9337481134064998E-4</v>
      </c>
      <c r="AK33" t="str">
        <f t="shared" si="0"/>
        <v>300 (286, 317)</v>
      </c>
      <c r="AL33" t="str">
        <f t="shared" si="1"/>
        <v>1.02 (0.97, 1.08)</v>
      </c>
      <c r="AM33" t="str">
        <f t="shared" si="2"/>
        <v>0.58 (0.47, 0.70)</v>
      </c>
      <c r="AN33" t="str">
        <f t="shared" si="3"/>
        <v>58 (47, 70)</v>
      </c>
      <c r="AO33">
        <f>SUM($I$2:I33)/SUM($I$2:$I$49)</f>
        <v>0.90534453226906442</v>
      </c>
      <c r="AP33">
        <f>SUM($P$2:P33)/SUM($P$2:$P$49)</f>
        <v>0.92916481500065029</v>
      </c>
      <c r="AQ33">
        <f t="shared" si="9"/>
        <v>-7.3001235558359667</v>
      </c>
      <c r="AR33">
        <f t="shared" si="19"/>
        <v>-2.3773009697920983E-2</v>
      </c>
      <c r="AS33">
        <f t="shared" si="10"/>
        <v>8.3786483966018677E-4</v>
      </c>
      <c r="AT33">
        <f t="shared" si="11"/>
        <v>6.4124542492975424E-3</v>
      </c>
      <c r="AU33">
        <f t="shared" si="12"/>
        <v>-7.5834575414728767E-2</v>
      </c>
      <c r="AV33">
        <f t="shared" si="13"/>
        <v>-0.99495566186191109</v>
      </c>
      <c r="AW33">
        <f t="shared" si="14"/>
        <v>1.6188919220945515</v>
      </c>
      <c r="AX33">
        <f t="shared" si="15"/>
        <v>0.38236514054389459</v>
      </c>
      <c r="AY33" t="str" cm="1">
        <f t="array" ref="AY33">_xlfn.IFS(Q33&gt;BG33, "Significant increase", R33&lt;BG33, "Significant decrease", AND(Q33&lt;=BG33, BG33&lt;=R33), "No significant change")</f>
        <v>No significant change</v>
      </c>
      <c r="AZ33">
        <f>SUMIF($P$2:P33, "&gt;0")/SUMIF($P$2:$P$49, "&gt;0")</f>
        <v>0.92916481500065029</v>
      </c>
      <c r="BA33">
        <f t="shared" si="4"/>
        <v>7.946401173250902E-3</v>
      </c>
      <c r="BB33">
        <f t="shared" si="16"/>
        <v>5.09925186681122E-3</v>
      </c>
      <c r="BC33">
        <f t="shared" si="5"/>
        <v>1.9573269237048479E-2</v>
      </c>
      <c r="BD33">
        <f t="shared" si="17"/>
        <v>8.5203890950537001E-2</v>
      </c>
      <c r="BE33">
        <f t="shared" si="6"/>
        <v>0.41286206840605622</v>
      </c>
      <c r="BF33">
        <f t="shared" si="7"/>
        <v>0.46931511836629541</v>
      </c>
      <c r="BG33">
        <f>VLOOKUP($A33,epa!$A$1:$H$49,2,FALSE)/25*1000</f>
        <v>302.00696348000002</v>
      </c>
      <c r="BH33">
        <f>VLOOKUP($A33,epa!$A$1:$H$49,3,FALSE)/25*1000</f>
        <v>135.58424860000002</v>
      </c>
      <c r="BI33">
        <f>VLOOKUP($A33,epa!$A$1:$H$49,4,FALSE)/25*1000</f>
        <v>138.63076528000002</v>
      </c>
      <c r="BJ33">
        <f>VLOOKUP($A33,epa!$A$1:$H$49,5,FALSE)/25*1000</f>
        <v>5.3139945200000005</v>
      </c>
      <c r="BK33">
        <f>VLOOKUP($A33,epa!$A$1:$H$49,6,FALSE)/25*1000</f>
        <v>18.120921200000002</v>
      </c>
      <c r="BL33">
        <f>VLOOKUP($A33,epa!$A$1:$H$49,7,FALSE)/25*1000</f>
        <v>1.5238116400000001</v>
      </c>
      <c r="BM33">
        <f>VLOOKUP($A33,epa!$A$1:$H$49,8,FALSE)/25*1000</f>
        <v>2.83322224</v>
      </c>
      <c r="BN33">
        <f t="shared" si="8"/>
        <v>-2.2309680001220045</v>
      </c>
      <c r="BO33">
        <f>SUM($BG$2:BG33)/SUM($BG$2:$BG$49)</f>
        <v>0.90961882594301657</v>
      </c>
      <c r="BP33">
        <f t="shared" si="18"/>
        <v>0.99261285907313279</v>
      </c>
    </row>
    <row r="34" spans="1:68" x14ac:dyDescent="0.2">
      <c r="A34" t="str">
        <f>[1]summ_states!A34</f>
        <v>Washington</v>
      </c>
      <c r="B34">
        <f>[1]summ_states!B34</f>
        <v>183739.45101275199</v>
      </c>
      <c r="C34">
        <f>[1]summ_states!C34</f>
        <v>13.1823846045236</v>
      </c>
      <c r="D34">
        <f>[1]summ_states!D34</f>
        <v>13.288864229403099</v>
      </c>
      <c r="E34">
        <f>[1]summ_states!E34</f>
        <v>0</v>
      </c>
      <c r="F34">
        <f>[1]summ_states!F34</f>
        <v>83.960624385249005</v>
      </c>
      <c r="G34">
        <f>[1]summ_states!G34</f>
        <v>142.85004699999101</v>
      </c>
      <c r="H34">
        <f>[1]summ_states!H34</f>
        <v>19.690198795648602</v>
      </c>
      <c r="I34">
        <f>[1]summ_states!I34</f>
        <v>272.97211901481597</v>
      </c>
      <c r="J34">
        <f>[1]summ_states!J34</f>
        <v>13.0105083133055</v>
      </c>
      <c r="K34">
        <f>[1]summ_states!K34</f>
        <v>13.628673497665099</v>
      </c>
      <c r="L34">
        <f>[1]summ_states!L34</f>
        <v>0</v>
      </c>
      <c r="M34">
        <f>[1]summ_states!M34</f>
        <v>97.515335426735007</v>
      </c>
      <c r="N34">
        <f>[1]summ_states!N34</f>
        <v>148.90163226505399</v>
      </c>
      <c r="O34">
        <f>[1]summ_states!O34</f>
        <v>20.1580252515136</v>
      </c>
      <c r="P34">
        <f>[1]summ_states!P34</f>
        <v>293.21417475427302</v>
      </c>
      <c r="Q34">
        <f>[1]summ_states!Q34</f>
        <v>269.11315605529302</v>
      </c>
      <c r="R34">
        <f>[1]summ_states!R34</f>
        <v>336.717091941528</v>
      </c>
      <c r="S34">
        <f>[1]summ_states!S34</f>
        <v>1.07415429756164</v>
      </c>
      <c r="T34">
        <f>[1]summ_states!T34</f>
        <v>0.98586316077462299</v>
      </c>
      <c r="U34">
        <f>[1]summ_states!U34</f>
        <v>1.2335219184903301</v>
      </c>
      <c r="V34">
        <f>[1]summ_states!V34</f>
        <v>20.2420557394573</v>
      </c>
      <c r="W34">
        <f>[1]summ_states!W34</f>
        <v>-3.85896295952289</v>
      </c>
      <c r="X34">
        <f>[1]summ_states!X34</f>
        <v>63.744972926711696</v>
      </c>
      <c r="Y34">
        <f>[1]summ_states!Y34</f>
        <v>8.8970295695464399E-2</v>
      </c>
      <c r="Z34">
        <f>[1]summ_states!Z34</f>
        <v>4.8245965907064002E-2</v>
      </c>
      <c r="AA34">
        <f>[1]summ_states!AA34</f>
        <v>0.13992342124896501</v>
      </c>
      <c r="AB34">
        <f>[1]summ_states!AB34</f>
        <v>7614893</v>
      </c>
      <c r="AC34">
        <f>[1]summ_states!AC34</f>
        <v>283.61251692857098</v>
      </c>
      <c r="AD34">
        <f>[1]summ_states!AD34</f>
        <v>147.28777485714201</v>
      </c>
      <c r="AE34">
        <f>[1]summ_states!AE34</f>
        <v>25.5845877142857</v>
      </c>
      <c r="AF34">
        <f>[1]summ_states!AF34</f>
        <v>0</v>
      </c>
      <c r="AG34">
        <f>[1]summ_states!AG34</f>
        <v>71.019829499999901</v>
      </c>
      <c r="AH34">
        <f>[1]summ_states!AH34</f>
        <v>18.224232749999999</v>
      </c>
      <c r="AI34">
        <f>[1]summ_states!AI34</f>
        <v>21.4960921071428</v>
      </c>
      <c r="AJ34">
        <f>[1]summ_states!AJ34</f>
        <v>3.8505357167103102E-5</v>
      </c>
      <c r="AK34" t="str">
        <f t="shared" si="0"/>
        <v>293 (269, 337)</v>
      </c>
      <c r="AL34" t="str">
        <f t="shared" si="1"/>
        <v>1.07 (0.99, 1.23)</v>
      </c>
      <c r="AM34" t="str">
        <f t="shared" si="2"/>
        <v>0.09 (0.05, 0.14)</v>
      </c>
      <c r="AN34" t="str">
        <f t="shared" si="3"/>
        <v>9 (5, 14)</v>
      </c>
      <c r="AO34">
        <f>SUM($I$2:I34)/SUM($I$2:$I$49)</f>
        <v>0.91499441068115772</v>
      </c>
      <c r="AP34">
        <f>SUM($P$2:P34)/SUM($P$2:$P$49)</f>
        <v>0.93880595716004189</v>
      </c>
      <c r="AQ34">
        <f t="shared" si="9"/>
        <v>9.6016578257020342</v>
      </c>
      <c r="AR34">
        <f t="shared" si="19"/>
        <v>3.3854845088237953E-2</v>
      </c>
      <c r="AS34">
        <f t="shared" si="10"/>
        <v>-0.47862143556432046</v>
      </c>
      <c r="AT34">
        <f t="shared" si="11"/>
        <v>-7.9956994211514316E-3</v>
      </c>
      <c r="AU34">
        <f t="shared" si="12"/>
        <v>0</v>
      </c>
      <c r="AV34">
        <f t="shared" si="13"/>
        <v>2.7594720003259292</v>
      </c>
      <c r="AW34">
        <f t="shared" si="14"/>
        <v>0.16808112069896436</v>
      </c>
      <c r="AX34">
        <f t="shared" si="15"/>
        <v>-0.56516932401466125</v>
      </c>
      <c r="AY34" t="str" cm="1">
        <f t="array" ref="AY34">_xlfn.IFS(Q34&gt;BG34, "Significant increase", R34&lt;BG34, "Significant decrease", AND(Q34&lt;=BG34, BG34&lt;=R34), "No significant change")</f>
        <v>No significant change</v>
      </c>
      <c r="AZ34">
        <f>SUMIF($P$2:P34, "&gt;0")/SUMIF($P$2:$P$49, "&gt;0")</f>
        <v>0.93880595716004189</v>
      </c>
      <c r="BA34">
        <f t="shared" si="4"/>
        <v>4.4372030527544945E-2</v>
      </c>
      <c r="BB34">
        <f t="shared" si="16"/>
        <v>4.6480268251310006E-2</v>
      </c>
      <c r="BC34">
        <f t="shared" si="5"/>
        <v>0</v>
      </c>
      <c r="BD34">
        <f t="shared" si="17"/>
        <v>0.33257374241356968</v>
      </c>
      <c r="BE34">
        <f t="shared" si="6"/>
        <v>0.50782549100786278</v>
      </c>
      <c r="BF34">
        <f t="shared" si="7"/>
        <v>6.8748467799713137E-2</v>
      </c>
      <c r="BG34">
        <f>VLOOKUP($A34,epa!$A$1:$H$49,2,FALSE)/25*1000</f>
        <v>279.70959932</v>
      </c>
      <c r="BH34">
        <f>VLOOKUP($A34,epa!$A$1:$H$49,3,FALSE)/25*1000</f>
        <v>147.28777488</v>
      </c>
      <c r="BI34">
        <f>VLOOKUP($A34,epa!$A$1:$H$49,4,FALSE)/25*1000</f>
        <v>25.242905879999999</v>
      </c>
      <c r="BJ34">
        <f>VLOOKUP($A34,epa!$A$1:$H$49,5,FALSE)/25*1000</f>
        <v>0</v>
      </c>
      <c r="BK34">
        <f>VLOOKUP($A34,epa!$A$1:$H$49,6,FALSE)/25*1000</f>
        <v>69.819509920000002</v>
      </c>
      <c r="BL34">
        <f>VLOOKUP($A34,epa!$A$1:$H$49,7,FALSE)/25*1000</f>
        <v>16.146231840000002</v>
      </c>
      <c r="BM34">
        <f>VLOOKUP($A34,epa!$A$1:$H$49,8,FALSE)/25*1000</f>
        <v>21.213176839999999</v>
      </c>
      <c r="BN34">
        <f t="shared" si="8"/>
        <v>13.504575434273022</v>
      </c>
      <c r="BO34">
        <f>SUM($BG$2:BG34)/SUM($BG$2:$BG$49)</f>
        <v>0.92020804546444224</v>
      </c>
      <c r="BP34">
        <f t="shared" si="18"/>
        <v>1.0482807006520474</v>
      </c>
    </row>
    <row r="35" spans="1:68" x14ac:dyDescent="0.2">
      <c r="A35" t="str">
        <f>[1]summ_states!A35</f>
        <v>Utah</v>
      </c>
      <c r="B35">
        <f>[1]summ_states!B35</f>
        <v>219962.34016571101</v>
      </c>
      <c r="C35">
        <f>[1]summ_states!C35</f>
        <v>2.6200244965522801</v>
      </c>
      <c r="D35">
        <f>[1]summ_states!D35</f>
        <v>0.25629743297142099</v>
      </c>
      <c r="E35">
        <f>[1]summ_states!E35</f>
        <v>118.806618454689</v>
      </c>
      <c r="F35">
        <f>[1]summ_states!F35</f>
        <v>50.532958469674398</v>
      </c>
      <c r="G35">
        <f>[1]summ_states!G35</f>
        <v>102.03247842090801</v>
      </c>
      <c r="H35">
        <f>[1]summ_states!H35</f>
        <v>134.039986536318</v>
      </c>
      <c r="I35">
        <f>[1]summ_states!I35</f>
        <v>408.28836381111302</v>
      </c>
      <c r="J35">
        <f>[1]summ_states!J35</f>
        <v>2.5664835989335701</v>
      </c>
      <c r="K35">
        <f>[1]summ_states!K35</f>
        <v>0.23708716820148901</v>
      </c>
      <c r="L35">
        <f>[1]summ_states!L35</f>
        <v>79.157438984509298</v>
      </c>
      <c r="M35">
        <f>[1]summ_states!M35</f>
        <v>49.101194746161802</v>
      </c>
      <c r="N35">
        <f>[1]summ_states!N35</f>
        <v>104.97422260605801</v>
      </c>
      <c r="O35">
        <f>[1]summ_states!O35</f>
        <v>48.7305198213922</v>
      </c>
      <c r="P35">
        <f>[1]summ_states!P35</f>
        <v>284.766946925257</v>
      </c>
      <c r="Q35">
        <f>[1]summ_states!Q35</f>
        <v>248.30038190700699</v>
      </c>
      <c r="R35">
        <f>[1]summ_states!R35</f>
        <v>336.46804314187102</v>
      </c>
      <c r="S35">
        <f>[1]summ_states!S35</f>
        <v>0.69746525290884498</v>
      </c>
      <c r="T35">
        <f>[1]summ_states!T35</f>
        <v>0.60814954310546698</v>
      </c>
      <c r="U35">
        <f>[1]summ_states!U35</f>
        <v>0.824094127986297</v>
      </c>
      <c r="V35">
        <f>[1]summ_states!V35</f>
        <v>-123.521416885856</v>
      </c>
      <c r="W35">
        <f>[1]summ_states!W35</f>
        <v>-159.98798190410599</v>
      </c>
      <c r="X35">
        <f>[1]summ_states!X35</f>
        <v>-71.820320669241696</v>
      </c>
      <c r="Y35">
        <f>[1]summ_states!Y35</f>
        <v>0.719315418396411</v>
      </c>
      <c r="Z35">
        <f>[1]summ_states!Z35</f>
        <v>0.58636837676321196</v>
      </c>
      <c r="AA35">
        <f>[1]summ_states!AA35</f>
        <v>0.86828813555609896</v>
      </c>
      <c r="AB35">
        <f>[1]summ_states!AB35</f>
        <v>3205958</v>
      </c>
      <c r="AC35">
        <f>[1]summ_states!AC35</f>
        <v>292.21572646428501</v>
      </c>
      <c r="AD35">
        <f>[1]summ_states!AD35</f>
        <v>91.820475857142796</v>
      </c>
      <c r="AE35">
        <f>[1]summ_states!AE35</f>
        <v>129.274446821428</v>
      </c>
      <c r="AF35">
        <f>[1]summ_states!AF35</f>
        <v>27.8316096785714</v>
      </c>
      <c r="AG35">
        <f>[1]summ_states!AG35</f>
        <v>32.066995428571403</v>
      </c>
      <c r="AH35">
        <f>[1]summ_states!AH35</f>
        <v>5.7726801428571397</v>
      </c>
      <c r="AI35">
        <f>[1]summ_states!AI35</f>
        <v>5.4495185357142804</v>
      </c>
      <c r="AJ35">
        <f>[1]summ_states!AJ35</f>
        <v>8.8824291186989006E-5</v>
      </c>
      <c r="AK35" t="str">
        <f t="shared" si="0"/>
        <v>285 (248, 336)</v>
      </c>
      <c r="AL35" t="str">
        <f t="shared" si="1"/>
        <v>0.70 (0.61, 0.82)</v>
      </c>
      <c r="AM35" t="str">
        <f t="shared" si="2"/>
        <v>0.72 (0.59, 0.87)</v>
      </c>
      <c r="AN35" t="str">
        <f t="shared" si="3"/>
        <v>72 (59, 87)</v>
      </c>
      <c r="AO35">
        <f>SUM($I$2:I35)/SUM($I$2:$I$49)</f>
        <v>0.92942787400360038</v>
      </c>
      <c r="AP35">
        <f>SUM($P$2:P35)/SUM($P$2:$P$49)</f>
        <v>0.94816934697536426</v>
      </c>
      <c r="AQ35">
        <f t="shared" si="9"/>
        <v>-7.4487795390280098</v>
      </c>
      <c r="AR35">
        <f>AQ35/AC35</f>
        <v>-2.5490686723660675E-2</v>
      </c>
      <c r="AS35">
        <f t="shared" si="10"/>
        <v>0.7431543577913422</v>
      </c>
      <c r="AT35">
        <f t="shared" si="11"/>
        <v>-9.8248858624521082E-3</v>
      </c>
      <c r="AU35">
        <f t="shared" si="12"/>
        <v>-6.8905018650391421</v>
      </c>
      <c r="AV35">
        <f t="shared" si="13"/>
        <v>-2.2868443385039678</v>
      </c>
      <c r="AW35">
        <f t="shared" si="14"/>
        <v>-1.7658928794973627</v>
      </c>
      <c r="AX35">
        <f t="shared" si="15"/>
        <v>10.813036763677124</v>
      </c>
      <c r="AY35" t="str" cm="1">
        <f t="array" ref="AY35">_xlfn.IFS(Q35&gt;BG35, "Significant increase", R35&lt;BG35, "Significant decrease", AND(Q35&lt;=BG35, BG35&lt;=R35), "No significant change")</f>
        <v>No significant change</v>
      </c>
      <c r="AZ35">
        <f>SUMIF($P$2:P35, "&gt;0")/SUMIF($P$2:$P$49, "&gt;0")</f>
        <v>0.94816934697536426</v>
      </c>
      <c r="BA35">
        <f t="shared" si="4"/>
        <v>9.012575464410191E-3</v>
      </c>
      <c r="BB35">
        <f t="shared" si="16"/>
        <v>8.3256561465933564E-4</v>
      </c>
      <c r="BC35">
        <f t="shared" si="5"/>
        <v>0.27797270659114032</v>
      </c>
      <c r="BD35">
        <f t="shared" si="17"/>
        <v>0.17242589168555938</v>
      </c>
      <c r="BE35">
        <f t="shared" si="6"/>
        <v>0.36863204715121195</v>
      </c>
      <c r="BF35">
        <f t="shared" si="7"/>
        <v>0.17112421349301657</v>
      </c>
      <c r="BG35">
        <f>VLOOKUP($A35,epa!$A$1:$H$49,2,FALSE)/25*1000</f>
        <v>264.52548539999998</v>
      </c>
      <c r="BH35">
        <f>VLOOKUP($A35,epa!$A$1:$H$49,3,FALSE)/25*1000</f>
        <v>91.820475880000004</v>
      </c>
      <c r="BI35">
        <f>VLOOKUP($A35,epa!$A$1:$H$49,4,FALSE)/25*1000</f>
        <v>103.12514392000001</v>
      </c>
      <c r="BJ35">
        <f>VLOOKUP($A35,epa!$A$1:$H$49,5,FALSE)/25*1000</f>
        <v>27.831609679999996</v>
      </c>
      <c r="BK35">
        <f>VLOOKUP($A35,epa!$A$1:$H$49,6,FALSE)/25*1000</f>
        <v>30.39382208</v>
      </c>
      <c r="BL35">
        <f>VLOOKUP($A35,epa!$A$1:$H$49,7,FALSE)/25*1000</f>
        <v>5.9339477599999997</v>
      </c>
      <c r="BM35">
        <f>VLOOKUP($A35,epa!$A$1:$H$49,8,FALSE)/25*1000</f>
        <v>5.4204861199999996</v>
      </c>
      <c r="BN35">
        <f t="shared" si="8"/>
        <v>20.241461525257023</v>
      </c>
      <c r="BO35">
        <f>SUM($BG$2:BG35)/SUM($BG$2:$BG$49)</f>
        <v>0.93022242623908169</v>
      </c>
      <c r="BP35">
        <f t="shared" si="18"/>
        <v>1.0765198918155241</v>
      </c>
    </row>
    <row r="36" spans="1:68" x14ac:dyDescent="0.2">
      <c r="A36" t="str">
        <f>[1]summ_states!A36</f>
        <v>Oregon</v>
      </c>
      <c r="B36">
        <f>[1]summ_states!B36</f>
        <v>254233.55982091901</v>
      </c>
      <c r="C36">
        <f>[1]summ_states!C36</f>
        <v>7.5047147888711603</v>
      </c>
      <c r="D36">
        <f>[1]summ_states!D36</f>
        <v>2.4810112788264802</v>
      </c>
      <c r="E36">
        <f>[1]summ_states!E36</f>
        <v>0</v>
      </c>
      <c r="F36">
        <f>[1]summ_states!F36</f>
        <v>87.146952457837202</v>
      </c>
      <c r="G36">
        <f>[1]summ_states!G36</f>
        <v>125.94276176210199</v>
      </c>
      <c r="H36">
        <f>[1]summ_states!H36</f>
        <v>17.8122883015841</v>
      </c>
      <c r="I36">
        <f>[1]summ_states!I36</f>
        <v>240.88772858922101</v>
      </c>
      <c r="J36">
        <f>[1]summ_states!J36</f>
        <v>7.8376119879093302</v>
      </c>
      <c r="K36">
        <f>[1]summ_states!K36</f>
        <v>2.5327873080456098</v>
      </c>
      <c r="L36">
        <f>[1]summ_states!L36</f>
        <v>0</v>
      </c>
      <c r="M36">
        <f>[1]summ_states!M36</f>
        <v>111.099014802947</v>
      </c>
      <c r="N36">
        <f>[1]summ_states!N36</f>
        <v>131.509809758812</v>
      </c>
      <c r="O36">
        <f>[1]summ_states!O36</f>
        <v>22.648238741377199</v>
      </c>
      <c r="P36">
        <f>[1]summ_states!P36</f>
        <v>275.62746259909198</v>
      </c>
      <c r="Q36">
        <f>[1]summ_states!Q36</f>
        <v>255.790823530859</v>
      </c>
      <c r="R36">
        <f>[1]summ_states!R36</f>
        <v>303.879031294627</v>
      </c>
      <c r="S36">
        <f>[1]summ_states!S36</f>
        <v>1.1442154576047801</v>
      </c>
      <c r="T36">
        <f>[1]summ_states!T36</f>
        <v>1.0618673895466499</v>
      </c>
      <c r="U36">
        <f>[1]summ_states!U36</f>
        <v>1.2614965198697301</v>
      </c>
      <c r="V36">
        <f>[1]summ_states!V36</f>
        <v>34.739734009871199</v>
      </c>
      <c r="W36">
        <f>[1]summ_states!W36</f>
        <v>14.9030949416385</v>
      </c>
      <c r="X36">
        <f>[1]summ_states!X36</f>
        <v>62.991302705406497</v>
      </c>
      <c r="Y36">
        <f>[1]summ_states!Y36</f>
        <v>7.5063141080887602E-2</v>
      </c>
      <c r="Z36">
        <f>[1]summ_states!Z36</f>
        <v>5.4632990405320797E-2</v>
      </c>
      <c r="AA36">
        <f>[1]summ_states!AA36</f>
        <v>0.106267440317299</v>
      </c>
      <c r="AB36">
        <f>[1]summ_states!AB36</f>
        <v>4217737</v>
      </c>
      <c r="AC36">
        <f>[1]summ_states!AC36</f>
        <v>217.398671464285</v>
      </c>
      <c r="AD36">
        <f>[1]summ_states!AD36</f>
        <v>114.694642428571</v>
      </c>
      <c r="AE36">
        <f>[1]summ_states!AE36</f>
        <v>23.98252325</v>
      </c>
      <c r="AF36">
        <f>[1]summ_states!AF36</f>
        <v>0</v>
      </c>
      <c r="AG36">
        <f>[1]summ_states!AG36</f>
        <v>56.3929461785714</v>
      </c>
      <c r="AH36">
        <f>[1]summ_states!AH36</f>
        <v>8.3772057499999999</v>
      </c>
      <c r="AI36">
        <f>[1]summ_states!AI36</f>
        <v>13.9513538571428</v>
      </c>
      <c r="AJ36">
        <f>[1]summ_states!AJ36</f>
        <v>6.5349608711755196E-5</v>
      </c>
      <c r="AK36" t="str">
        <f t="shared" si="0"/>
        <v>276 (256, 304)</v>
      </c>
      <c r="AL36" t="str">
        <f t="shared" si="1"/>
        <v>1.14 (1.06, 1.26)</v>
      </c>
      <c r="AM36" t="str">
        <f t="shared" si="2"/>
        <v>0.08 (0.05, 0.11)</v>
      </c>
      <c r="AN36" t="str">
        <f t="shared" si="3"/>
        <v>8 (5, 11)</v>
      </c>
      <c r="AO36">
        <f>SUM($I$2:I36)/SUM($I$2:$I$49)</f>
        <v>0.93794353230687622</v>
      </c>
      <c r="AP36">
        <f>SUM($P$2:P36)/SUM($P$2:$P$49)</f>
        <v>0.95723222243893014</v>
      </c>
      <c r="AQ36">
        <f t="shared" si="9"/>
        <v>58.228791134806983</v>
      </c>
      <c r="AR36">
        <f t="shared" si="19"/>
        <v>0.26784336234719358</v>
      </c>
      <c r="AS36">
        <f t="shared" si="10"/>
        <v>-0.10036990856333984</v>
      </c>
      <c r="AT36">
        <f t="shared" si="11"/>
        <v>2.386128274337573E-2</v>
      </c>
      <c r="AU36">
        <f t="shared" si="12"/>
        <v>0</v>
      </c>
      <c r="AV36">
        <f t="shared" si="13"/>
        <v>0.93950204972870144</v>
      </c>
      <c r="AW36">
        <f t="shared" si="14"/>
        <v>0.28877754462241484</v>
      </c>
      <c r="AX36">
        <f t="shared" si="15"/>
        <v>-2.2914515012577959E-2</v>
      </c>
      <c r="AY36" t="str" cm="1">
        <f t="array" ref="AY36">_xlfn.IFS(Q36&gt;BG36, "Significant increase", R36&lt;BG36, "Significant decrease", AND(Q36&lt;=BG36, BG36&lt;=R36), "No significant change")</f>
        <v>Significant increase</v>
      </c>
      <c r="AZ36">
        <f>SUMIF($P$2:P36, "&gt;0")/SUMIF($P$2:$P$49, "&gt;0")</f>
        <v>0.95723222243893014</v>
      </c>
      <c r="BA36">
        <f t="shared" si="4"/>
        <v>2.8435526394949114E-2</v>
      </c>
      <c r="BB36">
        <f t="shared" si="16"/>
        <v>9.1891689026997337E-3</v>
      </c>
      <c r="BC36">
        <f t="shared" si="5"/>
        <v>0</v>
      </c>
      <c r="BD36">
        <f t="shared" si="17"/>
        <v>0.4030767244864264</v>
      </c>
      <c r="BE36">
        <f t="shared" si="6"/>
        <v>0.47712883367539022</v>
      </c>
      <c r="BF36">
        <f t="shared" si="7"/>
        <v>8.2169746540531441E-2</v>
      </c>
      <c r="BG36">
        <f>VLOOKUP($A36,epa!$A$1:$H$49,2,FALSE)/25*1000</f>
        <v>215.37265768000003</v>
      </c>
      <c r="BH36">
        <f>VLOOKUP($A36,epa!$A$1:$H$49,3,FALSE)/25*1000</f>
        <v>114.69464240000001</v>
      </c>
      <c r="BI36">
        <f>VLOOKUP($A36,epa!$A$1:$H$49,4,FALSE)/25*1000</f>
        <v>24.319913400000001</v>
      </c>
      <c r="BJ36">
        <f>VLOOKUP($A36,epa!$A$1:$H$49,5,FALSE)/25*1000</f>
        <v>0</v>
      </c>
      <c r="BK36">
        <f>VLOOKUP($A36,epa!$A$1:$H$49,6,FALSE)/25*1000</f>
        <v>55.394128959999996</v>
      </c>
      <c r="BL36">
        <f>VLOOKUP($A36,epa!$A$1:$H$49,7,FALSE)/25*1000</f>
        <v>7.1034546399999998</v>
      </c>
      <c r="BM36">
        <f>VLOOKUP($A36,epa!$A$1:$H$49,8,FALSE)/25*1000</f>
        <v>13.860518239999999</v>
      </c>
      <c r="BN36">
        <f t="shared" si="8"/>
        <v>60.254804919091953</v>
      </c>
      <c r="BO36">
        <f>SUM($BG$2:BG36)/SUM($BG$2:$BG$49)</f>
        <v>0.93837598391686905</v>
      </c>
      <c r="BP36">
        <f t="shared" si="18"/>
        <v>1.2797699836560421</v>
      </c>
    </row>
    <row r="37" spans="1:68" x14ac:dyDescent="0.2">
      <c r="A37" t="str">
        <f>[1]summ_states!A37</f>
        <v>Arizona</v>
      </c>
      <c r="B37">
        <f>[1]summ_states!B37</f>
        <v>295655.10204535298</v>
      </c>
      <c r="C37">
        <f>[1]summ_states!C37</f>
        <v>3.505648933337</v>
      </c>
      <c r="D37">
        <f>[1]summ_states!D37</f>
        <v>4.2308811869520397</v>
      </c>
      <c r="E37">
        <f>[1]summ_states!E37</f>
        <v>1.9149304026028899</v>
      </c>
      <c r="F37">
        <f>[1]summ_states!F37</f>
        <v>85.676915492899695</v>
      </c>
      <c r="G37">
        <f>[1]summ_states!G37</f>
        <v>141.91689153495</v>
      </c>
      <c r="H37">
        <f>[1]summ_states!H37</f>
        <v>41.287951160720098</v>
      </c>
      <c r="I37">
        <f>[1]summ_states!I37</f>
        <v>278.53321871146198</v>
      </c>
      <c r="J37">
        <f>[1]summ_states!J37</f>
        <v>3.13421475896978</v>
      </c>
      <c r="K37">
        <f>[1]summ_states!K37</f>
        <v>4.2876819314458396</v>
      </c>
      <c r="L37">
        <f>[1]summ_states!L37</f>
        <v>1.9149304026028899</v>
      </c>
      <c r="M37">
        <f>[1]summ_states!M37</f>
        <v>71.956631850495</v>
      </c>
      <c r="N37">
        <f>[1]summ_states!N37</f>
        <v>141.075243080256</v>
      </c>
      <c r="O37">
        <f>[1]summ_states!O37</f>
        <v>40.680274088441898</v>
      </c>
      <c r="P37">
        <f>[1]summ_states!P37</f>
        <v>263.04897611221202</v>
      </c>
      <c r="Q37">
        <f>[1]summ_states!Q37</f>
        <v>260.824155311857</v>
      </c>
      <c r="R37">
        <f>[1]summ_states!R37</f>
        <v>265.62654381497703</v>
      </c>
      <c r="S37">
        <f>[1]summ_states!S37</f>
        <v>0.94440791417669101</v>
      </c>
      <c r="T37">
        <f>[1]summ_states!T37</f>
        <v>0.93642028235795505</v>
      </c>
      <c r="U37">
        <f>[1]summ_states!U37</f>
        <v>0.95366199063726398</v>
      </c>
      <c r="V37">
        <f>[1]summ_states!V37</f>
        <v>-15.484242599250001</v>
      </c>
      <c r="W37">
        <f>[1]summ_states!W37</f>
        <v>-17.709063399604499</v>
      </c>
      <c r="X37">
        <f>[1]summ_states!X37</f>
        <v>-12.906674896484599</v>
      </c>
      <c r="Y37">
        <f>[1]summ_states!Y37</f>
        <v>0.78904406069323496</v>
      </c>
      <c r="Z37">
        <f>[1]summ_states!Z37</f>
        <v>0.74220532583099696</v>
      </c>
      <c r="AA37">
        <f>[1]summ_states!AA37</f>
        <v>0.83984380188221197</v>
      </c>
      <c r="AB37">
        <f>[1]summ_states!AB37</f>
        <v>7278717</v>
      </c>
      <c r="AC37">
        <f>[1]summ_states!AC37</f>
        <v>258.74145700000003</v>
      </c>
      <c r="AD37">
        <f>[1]summ_states!AD37</f>
        <v>120.614488142857</v>
      </c>
      <c r="AE37">
        <f>[1]summ_states!AE37</f>
        <v>49.109382250000003</v>
      </c>
      <c r="AF37">
        <f>[1]summ_states!AF37</f>
        <v>0.98595582142857097</v>
      </c>
      <c r="AG37">
        <f>[1]summ_states!AG37</f>
        <v>70.3986649642857</v>
      </c>
      <c r="AH37">
        <f>[1]summ_states!AH37</f>
        <v>11.3244455714285</v>
      </c>
      <c r="AI37">
        <f>[1]summ_states!AI37</f>
        <v>6.3085202142857097</v>
      </c>
      <c r="AJ37">
        <f>[1]summ_states!AJ37</f>
        <v>3.6139470199516198E-5</v>
      </c>
      <c r="AK37" t="str">
        <f t="shared" si="0"/>
        <v>263 (261, 266)</v>
      </c>
      <c r="AL37" t="str">
        <f t="shared" si="1"/>
        <v>0.94 (0.94, 0.95)</v>
      </c>
      <c r="AM37" t="str">
        <f t="shared" si="2"/>
        <v>0.79 (0.74, 0.84)</v>
      </c>
      <c r="AN37" t="str">
        <f t="shared" si="3"/>
        <v>79 (74, 84)</v>
      </c>
      <c r="AO37">
        <f>SUM($I$2:I37)/SUM($I$2:$I$49)</f>
        <v>0.94779000199028274</v>
      </c>
      <c r="AP37">
        <f>SUM($P$2:P37)/SUM($P$2:$P$49)</f>
        <v>0.9658815061091538</v>
      </c>
      <c r="AQ37">
        <f t="shared" si="9"/>
        <v>4.3075191122119918</v>
      </c>
      <c r="AR37">
        <f t="shared" si="19"/>
        <v>1.6647966515130164E-2</v>
      </c>
      <c r="AS37">
        <f t="shared" si="10"/>
        <v>-1.6336000971030284</v>
      </c>
      <c r="AT37">
        <f t="shared" si="11"/>
        <v>-5.8878177726387163E-2</v>
      </c>
      <c r="AU37">
        <f t="shared" si="12"/>
        <v>0.21566348447314795</v>
      </c>
      <c r="AV37">
        <f t="shared" si="13"/>
        <v>0.36168542625670558</v>
      </c>
      <c r="AW37">
        <f t="shared" si="14"/>
        <v>4.7500090897779028</v>
      </c>
      <c r="AX37">
        <f t="shared" si="15"/>
        <v>-1.9568359285188639</v>
      </c>
      <c r="AY37" t="str" cm="1">
        <f t="array" ref="AY37">_xlfn.IFS(Q37&gt;BG37, "Significant increase", R37&lt;BG37, "Significant decrease", AND(Q37&lt;=BG37, BG37&lt;=R37), "No significant change")</f>
        <v>Significant increase</v>
      </c>
      <c r="AZ37">
        <f>SUMIF($P$2:P37, "&gt;0")/SUMIF($P$2:$P$49, "&gt;0")</f>
        <v>0.9658815061091538</v>
      </c>
      <c r="BA37">
        <f t="shared" si="4"/>
        <v>1.1914947570952641E-2</v>
      </c>
      <c r="BB37">
        <f t="shared" si="16"/>
        <v>1.629993773333218E-2</v>
      </c>
      <c r="BC37">
        <f t="shared" si="5"/>
        <v>7.2797485506501825E-3</v>
      </c>
      <c r="BD37">
        <f t="shared" si="17"/>
        <v>0.27354842019913272</v>
      </c>
      <c r="BE37">
        <f t="shared" si="6"/>
        <v>0.5363078965951793</v>
      </c>
      <c r="BF37">
        <f t="shared" si="7"/>
        <v>0.15464904935075063</v>
      </c>
      <c r="BG37">
        <f>VLOOKUP($A37,epa!$A$1:$H$49,2,FALSE)/25*1000</f>
        <v>259.38873352000002</v>
      </c>
      <c r="BH37">
        <f>VLOOKUP($A37,epa!$A$1:$H$49,3,FALSE)/25*1000</f>
        <v>120.61448812</v>
      </c>
      <c r="BI37">
        <f>VLOOKUP($A37,epa!$A$1:$H$49,4,FALSE)/25*1000</f>
        <v>50.062818599999993</v>
      </c>
      <c r="BJ37">
        <f>VLOOKUP($A37,epa!$A$1:$H$49,5,FALSE)/25*1000</f>
        <v>0.98595584000000003</v>
      </c>
      <c r="BK37">
        <f>VLOOKUP($A37,epa!$A$1:$H$49,6,FALSE)/25*1000</f>
        <v>70.172700239999998</v>
      </c>
      <c r="BL37">
        <f>VLOOKUP($A37,epa!$A$1:$H$49,7,FALSE)/25*1000</f>
        <v>11.307242399999998</v>
      </c>
      <c r="BM37">
        <f>VLOOKUP($A37,epa!$A$1:$H$49,8,FALSE)/25*1000</f>
        <v>6.2455282800000003</v>
      </c>
      <c r="BN37">
        <f t="shared" si="8"/>
        <v>3.6602425922120005</v>
      </c>
      <c r="BO37">
        <f>SUM($BG$2:BG37)/SUM($BG$2:$BG$49)</f>
        <v>0.94819589802530668</v>
      </c>
      <c r="BP37">
        <f t="shared" si="18"/>
        <v>1.0141110315106643</v>
      </c>
    </row>
    <row r="38" spans="1:68" x14ac:dyDescent="0.2">
      <c r="A38" t="str">
        <f>[1]summ_states!A38</f>
        <v>South Carolina</v>
      </c>
      <c r="B38">
        <f>[1]summ_states!B38</f>
        <v>82629.414030485699</v>
      </c>
      <c r="C38">
        <f>[1]summ_states!C38</f>
        <v>5.9213507621220698</v>
      </c>
      <c r="D38">
        <f>[1]summ_states!D38</f>
        <v>15.5792608718703</v>
      </c>
      <c r="E38">
        <f>[1]summ_states!E38</f>
        <v>0</v>
      </c>
      <c r="F38">
        <f>[1]summ_states!F38</f>
        <v>102.311561583952</v>
      </c>
      <c r="G38">
        <f>[1]summ_states!G38</f>
        <v>42.391541003177203</v>
      </c>
      <c r="H38">
        <f>[1]summ_states!H38</f>
        <v>9.0953994423909599</v>
      </c>
      <c r="I38">
        <f>[1]summ_states!I38</f>
        <v>175.299113663512</v>
      </c>
      <c r="J38">
        <f>[1]summ_states!J38</f>
        <v>7.8924257463931999</v>
      </c>
      <c r="K38">
        <f>[1]summ_states!K38</f>
        <v>20.831489300560602</v>
      </c>
      <c r="L38">
        <f>[1]summ_states!L38</f>
        <v>0</v>
      </c>
      <c r="M38">
        <f>[1]summ_states!M38</f>
        <v>144.778520189255</v>
      </c>
      <c r="N38">
        <f>[1]summ_states!N38</f>
        <v>52.7058826100061</v>
      </c>
      <c r="O38">
        <f>[1]summ_states!O38</f>
        <v>11.1713634077708</v>
      </c>
      <c r="P38">
        <f>[1]summ_states!P38</f>
        <v>237.37968125398601</v>
      </c>
      <c r="Q38">
        <f>[1]summ_states!Q38</f>
        <v>219.713940111223</v>
      </c>
      <c r="R38">
        <f>[1]summ_states!R38</f>
        <v>248.974034507396</v>
      </c>
      <c r="S38">
        <f>[1]summ_states!S38</f>
        <v>1.35414079565534</v>
      </c>
      <c r="T38">
        <f>[1]summ_states!T38</f>
        <v>1.25336594988703</v>
      </c>
      <c r="U38">
        <f>[1]summ_states!U38</f>
        <v>1.4202811942637801</v>
      </c>
      <c r="V38">
        <f>[1]summ_states!V38</f>
        <v>62.080567590473798</v>
      </c>
      <c r="W38">
        <f>[1]summ_states!W38</f>
        <v>44.414826447710396</v>
      </c>
      <c r="X38">
        <f>[1]summ_states!X38</f>
        <v>73.674920843884195</v>
      </c>
      <c r="Y38">
        <f>[1]summ_states!Y38</f>
        <v>0.545998168071817</v>
      </c>
      <c r="Z38">
        <f>[1]summ_states!Z38</f>
        <v>0.398359461546204</v>
      </c>
      <c r="AA38">
        <f>[1]summ_states!AA38</f>
        <v>0.69943568950878898</v>
      </c>
      <c r="AB38">
        <f>[1]summ_states!AB38</f>
        <v>5148714</v>
      </c>
      <c r="AC38">
        <f>[1]summ_states!AC38</f>
        <v>152.89103257142801</v>
      </c>
      <c r="AD38">
        <f>[1]summ_states!AD38</f>
        <v>37.386206321428503</v>
      </c>
      <c r="AE38">
        <f>[1]summ_states!AE38</f>
        <v>26.15544375</v>
      </c>
      <c r="AF38">
        <f>[1]summ_states!AF38</f>
        <v>0</v>
      </c>
      <c r="AG38">
        <f>[1]summ_states!AG38</f>
        <v>68.207435178571401</v>
      </c>
      <c r="AH38">
        <f>[1]summ_states!AH38</f>
        <v>12.7917737142857</v>
      </c>
      <c r="AI38">
        <f>[1]summ_states!AI38</f>
        <v>8.3501736071428496</v>
      </c>
      <c r="AJ38">
        <f>[1]summ_states!AJ38</f>
        <v>4.6104654726206598E-5</v>
      </c>
      <c r="AK38" t="str">
        <f t="shared" si="0"/>
        <v>237 (220, 249)</v>
      </c>
      <c r="AL38" t="str">
        <f t="shared" si="1"/>
        <v>1.35 (1.25, 1.42)</v>
      </c>
      <c r="AM38" t="str">
        <f t="shared" si="2"/>
        <v>0.55 (0.40, 0.70)</v>
      </c>
      <c r="AN38" t="str">
        <f t="shared" si="3"/>
        <v>55 (40, 70)</v>
      </c>
      <c r="AO38">
        <f>SUM($I$2:I38)/SUM($I$2:$I$49)</f>
        <v>0.9539870273081279</v>
      </c>
      <c r="AP38">
        <f>SUM($P$2:P38)/SUM($P$2:$P$49)</f>
        <v>0.97368676059468029</v>
      </c>
      <c r="AQ38">
        <f t="shared" si="9"/>
        <v>84.488648682557994</v>
      </c>
      <c r="AR38">
        <f t="shared" si="19"/>
        <v>0.55260695975145813</v>
      </c>
      <c r="AS38">
        <f t="shared" si="10"/>
        <v>9.5157346124469813E-2</v>
      </c>
      <c r="AT38">
        <f t="shared" si="11"/>
        <v>0.23605197652238588</v>
      </c>
      <c r="AU38">
        <f t="shared" si="12"/>
        <v>0</v>
      </c>
      <c r="AV38">
        <f t="shared" si="13"/>
        <v>0.90628843288022776</v>
      </c>
      <c r="AW38">
        <f t="shared" si="14"/>
        <v>0.18132230219632123</v>
      </c>
      <c r="AX38">
        <f t="shared" si="15"/>
        <v>-0.17735021894512254</v>
      </c>
      <c r="AY38" t="str" cm="1">
        <f t="array" ref="AY38">_xlfn.IFS(Q38&gt;BG38, "Significant increase", R38&lt;BG38, "Significant decrease", AND(Q38&lt;=BG38, BG38&lt;=R38), "No significant change")</f>
        <v>Significant increase</v>
      </c>
      <c r="AZ38">
        <f>SUMIF($P$2:P38, "&gt;0")/SUMIF($P$2:$P$49, "&gt;0")</f>
        <v>0.97368676059468029</v>
      </c>
      <c r="BA38">
        <f t="shared" si="4"/>
        <v>3.3248109967544549E-2</v>
      </c>
      <c r="BB38">
        <f t="shared" si="16"/>
        <v>8.7755991542813674E-2</v>
      </c>
      <c r="BC38">
        <f t="shared" si="5"/>
        <v>0</v>
      </c>
      <c r="BD38">
        <f t="shared" si="17"/>
        <v>0.60990274915041376</v>
      </c>
      <c r="BE38">
        <f t="shared" si="6"/>
        <v>0.22203198829647547</v>
      </c>
      <c r="BF38">
        <f t="shared" si="7"/>
        <v>4.7061161042751265E-2</v>
      </c>
      <c r="BG38">
        <f>VLOOKUP($A38,epa!$A$1:$H$49,2,FALSE)/25*1000</f>
        <v>151.10759179999999</v>
      </c>
      <c r="BH38">
        <f>VLOOKUP($A38,epa!$A$1:$H$49,3,FALSE)/25*1000</f>
        <v>37.386206319999999</v>
      </c>
      <c r="BI38">
        <f>VLOOKUP($A38,epa!$A$1:$H$49,4,FALSE)/25*1000</f>
        <v>26.162262479999995</v>
      </c>
      <c r="BJ38">
        <f>VLOOKUP($A38,epa!$A$1:$H$49,5,FALSE)/25*1000</f>
        <v>0</v>
      </c>
      <c r="BK38">
        <f>VLOOKUP($A38,epa!$A$1:$H$49,6,FALSE)/25*1000</f>
        <v>67.718445919999994</v>
      </c>
      <c r="BL38">
        <f>VLOOKUP($A38,epa!$A$1:$H$49,7,FALSE)/25*1000</f>
        <v>11.603443520000001</v>
      </c>
      <c r="BM38">
        <f>VLOOKUP($A38,epa!$A$1:$H$49,8,FALSE)/25*1000</f>
        <v>8.2372335999999997</v>
      </c>
      <c r="BN38">
        <f t="shared" si="8"/>
        <v>86.272089453986013</v>
      </c>
      <c r="BO38">
        <f>SUM($BG$2:BG38)/SUM($BG$2:$BG$49)</f>
        <v>0.95391651492517071</v>
      </c>
      <c r="BP38">
        <f t="shared" si="18"/>
        <v>1.5709315357773177</v>
      </c>
    </row>
    <row r="39" spans="1:68" x14ac:dyDescent="0.2">
      <c r="A39" t="str">
        <f>[1]summ_states!A39</f>
        <v>New Jersey</v>
      </c>
      <c r="B39">
        <f>[1]summ_states!B39</f>
        <v>22529.273454668699</v>
      </c>
      <c r="C39">
        <f>[1]summ_states!C39</f>
        <v>18.558621103750902</v>
      </c>
      <c r="D39">
        <f>[1]summ_states!D39</f>
        <v>20.831243089968702</v>
      </c>
      <c r="E39">
        <f>[1]summ_states!E39</f>
        <v>0</v>
      </c>
      <c r="F39">
        <f>[1]summ_states!F39</f>
        <v>73.666140045816505</v>
      </c>
      <c r="G39">
        <f>[1]summ_states!G39</f>
        <v>3.8722813624121901</v>
      </c>
      <c r="H39">
        <f>[1]summ_states!H39</f>
        <v>34.4834679723633</v>
      </c>
      <c r="I39">
        <f>[1]summ_states!I39</f>
        <v>151.41175357431101</v>
      </c>
      <c r="J39">
        <f>[1]summ_states!J39</f>
        <v>27.306311439589301</v>
      </c>
      <c r="K39">
        <f>[1]summ_states!K39</f>
        <v>35.273282287266298</v>
      </c>
      <c r="L39">
        <f>[1]summ_states!L39</f>
        <v>0</v>
      </c>
      <c r="M39">
        <f>[1]summ_states!M39</f>
        <v>115.7173730861</v>
      </c>
      <c r="N39">
        <f>[1]summ_states!N39</f>
        <v>4.4230240338388001</v>
      </c>
      <c r="O39">
        <f>[1]summ_states!O39</f>
        <v>50.708331859153702</v>
      </c>
      <c r="P39">
        <f>[1]summ_states!P39</f>
        <v>233.42832270594801</v>
      </c>
      <c r="Q39">
        <f>[1]summ_states!Q39</f>
        <v>186.40813939368201</v>
      </c>
      <c r="R39">
        <f>[1]summ_states!R39</f>
        <v>294.255719580039</v>
      </c>
      <c r="S39">
        <f>[1]summ_states!S39</f>
        <v>1.5416790123323101</v>
      </c>
      <c r="T39">
        <f>[1]summ_states!T39</f>
        <v>1.2311338782705099</v>
      </c>
      <c r="U39">
        <f>[1]summ_states!U39</f>
        <v>1.94341398625715</v>
      </c>
      <c r="V39">
        <f>[1]summ_states!V39</f>
        <v>82.016569131636501</v>
      </c>
      <c r="W39">
        <f>[1]summ_states!W39</f>
        <v>34.996385819370502</v>
      </c>
      <c r="X39">
        <f>[1]summ_states!X39</f>
        <v>142.843966005727</v>
      </c>
      <c r="Y39">
        <f>[1]summ_states!Y39</f>
        <v>0.27792230567157999</v>
      </c>
      <c r="Z39">
        <f>[1]summ_states!Z39</f>
        <v>9.80789638473053E-2</v>
      </c>
      <c r="AA39">
        <f>[1]summ_states!AA39</f>
        <v>0.52282921038251096</v>
      </c>
      <c r="AB39">
        <f>[1]summ_states!AB39</f>
        <v>8882190</v>
      </c>
      <c r="AC39">
        <f>[1]summ_states!AC39</f>
        <v>130.72517275000001</v>
      </c>
      <c r="AD39">
        <f>[1]summ_states!AD39</f>
        <v>3.8324099285714199</v>
      </c>
      <c r="AE39">
        <f>[1]summ_states!AE39</f>
        <v>44.7903877142857</v>
      </c>
      <c r="AF39">
        <f>[1]summ_states!AF39</f>
        <v>0</v>
      </c>
      <c r="AG39">
        <f>[1]summ_states!AG39</f>
        <v>58.209980535714202</v>
      </c>
      <c r="AH39">
        <f>[1]summ_states!AH39</f>
        <v>13.0896323214285</v>
      </c>
      <c r="AI39">
        <f>[1]summ_states!AI39</f>
        <v>10.802762250000001</v>
      </c>
      <c r="AJ39">
        <f>[1]summ_states!AJ39</f>
        <v>2.62804919401575E-5</v>
      </c>
      <c r="AK39" t="str">
        <f t="shared" si="0"/>
        <v>233 (186, 294)</v>
      </c>
      <c r="AL39" t="str">
        <f t="shared" si="1"/>
        <v>1.54 (1.23, 1.94)</v>
      </c>
      <c r="AM39" t="str">
        <f t="shared" si="2"/>
        <v>0.28 (0.10, 0.52)</v>
      </c>
      <c r="AN39" t="str">
        <f t="shared" si="3"/>
        <v>28 (10, 52)</v>
      </c>
      <c r="AO39">
        <f>SUM($I$2:I39)/SUM($I$2:$I$49)</f>
        <v>0.95933960696874376</v>
      </c>
      <c r="AP39">
        <f>SUM($P$2:P39)/SUM($P$2:$P$49)</f>
        <v>0.98136209090612392</v>
      </c>
      <c r="AQ39">
        <f t="shared" si="9"/>
        <v>102.70314995594799</v>
      </c>
      <c r="AR39">
        <f t="shared" si="19"/>
        <v>0.7856417229783158</v>
      </c>
      <c r="AS39">
        <f t="shared" si="10"/>
        <v>0.21599775640136581</v>
      </c>
      <c r="AT39">
        <f t="shared" si="11"/>
        <v>0.80976421894672346</v>
      </c>
      <c r="AU39">
        <f t="shared" si="12"/>
        <v>0</v>
      </c>
      <c r="AV39">
        <f t="shared" si="13"/>
        <v>0.55993796271148633</v>
      </c>
      <c r="AW39">
        <f t="shared" si="14"/>
        <v>5.7506912448226722E-3</v>
      </c>
      <c r="AX39">
        <f t="shared" si="15"/>
        <v>5.7621836792799051E-2</v>
      </c>
      <c r="AY39" t="str" cm="1">
        <f t="array" ref="AY39">_xlfn.IFS(Q39&gt;BG39, "Significant increase", R39&lt;BG39, "Significant decrease", AND(Q39&lt;=BG39, BG39&lt;=R39), "No significant change")</f>
        <v>Significant increase</v>
      </c>
      <c r="AZ39">
        <f>SUMIF($P$2:P39, "&gt;0")/SUMIF($P$2:$P$49, "&gt;0")</f>
        <v>0.98136209090612392</v>
      </c>
      <c r="BA39">
        <f t="shared" si="4"/>
        <v>0.11697942701660644</v>
      </c>
      <c r="BB39">
        <f t="shared" si="16"/>
        <v>0.15110969345266814</v>
      </c>
      <c r="BC39">
        <f t="shared" si="5"/>
        <v>0</v>
      </c>
      <c r="BD39">
        <f t="shared" si="17"/>
        <v>0.49572978867637379</v>
      </c>
      <c r="BE39">
        <f t="shared" si="6"/>
        <v>1.8948103565866459E-2</v>
      </c>
      <c r="BF39">
        <f t="shared" si="7"/>
        <v>0.21723298728848553</v>
      </c>
      <c r="BG39">
        <f>VLOOKUP($A39,epa!$A$1:$H$49,2,FALSE)/25*1000</f>
        <v>127.896193</v>
      </c>
      <c r="BH39">
        <f>VLOOKUP($A39,epa!$A$1:$H$49,3,FALSE)/25*1000</f>
        <v>3.8324099199999999</v>
      </c>
      <c r="BI39">
        <f>VLOOKUP($A39,epa!$A$1:$H$49,4,FALSE)/25*1000</f>
        <v>43.79057804</v>
      </c>
      <c r="BJ39">
        <f>VLOOKUP($A39,epa!$A$1:$H$49,5,FALSE)/25*1000</f>
        <v>0</v>
      </c>
      <c r="BK39">
        <f>VLOOKUP($A39,epa!$A$1:$H$49,6,FALSE)/25*1000</f>
        <v>56.395969360000002</v>
      </c>
      <c r="BL39">
        <f>VLOOKUP($A39,epa!$A$1:$H$49,7,FALSE)/25*1000</f>
        <v>13.112333639999999</v>
      </c>
      <c r="BM39">
        <f>VLOOKUP($A39,epa!$A$1:$H$49,8,FALSE)/25*1000</f>
        <v>10.764902039999999</v>
      </c>
      <c r="BN39">
        <f t="shared" si="8"/>
        <v>105.53212970594801</v>
      </c>
      <c r="BO39">
        <f>SUM($BG$2:BG39)/SUM($BG$2:$BG$49)</f>
        <v>0.95875839688747777</v>
      </c>
      <c r="BP39">
        <f t="shared" si="18"/>
        <v>1.8251389445653634</v>
      </c>
    </row>
    <row r="40" spans="1:68" x14ac:dyDescent="0.2">
      <c r="A40" t="str">
        <f>[1]summ_states!A40</f>
        <v>Maryland</v>
      </c>
      <c r="B40">
        <f>[1]summ_states!B40</f>
        <v>32124.144444198901</v>
      </c>
      <c r="C40">
        <f>[1]summ_states!C40</f>
        <v>8.2238441848529007</v>
      </c>
      <c r="D40">
        <f>[1]summ_states!D40</f>
        <v>5.1140968856948001</v>
      </c>
      <c r="E40">
        <f>[1]summ_states!E40</f>
        <v>3.8576890502865502</v>
      </c>
      <c r="F40">
        <f>[1]summ_states!F40</f>
        <v>59.926853818955401</v>
      </c>
      <c r="G40">
        <f>[1]summ_states!G40</f>
        <v>27.344791441101801</v>
      </c>
      <c r="H40">
        <f>[1]summ_states!H40</f>
        <v>20.481674079467499</v>
      </c>
      <c r="I40">
        <f>[1]summ_states!I40</f>
        <v>124.948949460359</v>
      </c>
      <c r="J40">
        <f>[1]summ_states!J40</f>
        <v>7.3955869368788898</v>
      </c>
      <c r="K40">
        <f>[1]summ_states!K40</f>
        <v>4.2866520394535703</v>
      </c>
      <c r="L40">
        <f>[1]summ_states!L40</f>
        <v>4.44085343982049</v>
      </c>
      <c r="M40">
        <f>[1]summ_states!M40</f>
        <v>56.5655861731749</v>
      </c>
      <c r="N40">
        <f>[1]summ_states!N40</f>
        <v>27.586394903287498</v>
      </c>
      <c r="O40">
        <f>[1]summ_states!O40</f>
        <v>19.5348945032388</v>
      </c>
      <c r="P40">
        <f>[1]summ_states!P40</f>
        <v>119.809967995854</v>
      </c>
      <c r="Q40">
        <f>[1]summ_states!Q40</f>
        <v>111.570520418415</v>
      </c>
      <c r="R40">
        <f>[1]summ_states!R40</f>
        <v>126.499305091501</v>
      </c>
      <c r="S40">
        <f>[1]summ_states!S40</f>
        <v>0.95887135116622002</v>
      </c>
      <c r="T40">
        <f>[1]summ_states!T40</f>
        <v>0.89292883934019496</v>
      </c>
      <c r="U40">
        <f>[1]summ_states!U40</f>
        <v>1.0124079124941601</v>
      </c>
      <c r="V40">
        <f>[1]summ_states!V40</f>
        <v>-5.13898146450473</v>
      </c>
      <c r="W40">
        <f>[1]summ_states!W40</f>
        <v>-13.3784290419438</v>
      </c>
      <c r="X40">
        <f>[1]summ_states!X40</f>
        <v>1.5503556311422899</v>
      </c>
      <c r="Y40">
        <f>[1]summ_states!Y40</f>
        <v>0.26563301258024002</v>
      </c>
      <c r="Z40">
        <f>[1]summ_states!Z40</f>
        <v>0.100552507500033</v>
      </c>
      <c r="AA40">
        <f>[1]summ_states!AA40</f>
        <v>0.44611421010982399</v>
      </c>
      <c r="AB40">
        <f>[1]summ_states!AB40</f>
        <v>6045680</v>
      </c>
      <c r="AC40">
        <f>[1]summ_states!AC40</f>
        <v>110.246530642857</v>
      </c>
      <c r="AD40">
        <f>[1]summ_states!AD40</f>
        <v>23.350107678571401</v>
      </c>
      <c r="AE40">
        <f>[1]summ_states!AE40</f>
        <v>18.525142678571399</v>
      </c>
      <c r="AF40">
        <f>[1]summ_states!AF40</f>
        <v>2.3960751785714201</v>
      </c>
      <c r="AG40">
        <f>[1]summ_states!AG40</f>
        <v>44.784131571428503</v>
      </c>
      <c r="AH40">
        <f>[1]summ_states!AH40</f>
        <v>13.168566071428501</v>
      </c>
      <c r="AI40">
        <f>[1]summ_states!AI40</f>
        <v>8.0225074642857095</v>
      </c>
      <c r="AJ40">
        <f>[1]summ_states!AJ40</f>
        <v>1.98174511379785E-5</v>
      </c>
      <c r="AK40" t="str">
        <f t="shared" si="0"/>
        <v>120 (112, 126)</v>
      </c>
      <c r="AL40" t="str">
        <f t="shared" si="1"/>
        <v>0.96 (0.89, 1.01)</v>
      </c>
      <c r="AM40" t="str">
        <f t="shared" si="2"/>
        <v>0.27 (0.10, 0.45)</v>
      </c>
      <c r="AN40" t="str">
        <f t="shared" si="3"/>
        <v>27 (10, 45)</v>
      </c>
      <c r="AO40">
        <f>SUM($I$2:I40)/SUM($I$2:$I$49)</f>
        <v>0.96375669606327441</v>
      </c>
      <c r="AP40">
        <f>SUM($P$2:P40)/SUM($P$2:$P$49)</f>
        <v>0.98530154893037603</v>
      </c>
      <c r="AQ40">
        <f t="shared" si="9"/>
        <v>9.5634373529969992</v>
      </c>
      <c r="AR40">
        <f t="shared" si="19"/>
        <v>8.6745925674320767E-2</v>
      </c>
      <c r="AS40">
        <f t="shared" si="10"/>
        <v>-0.9287365728590784</v>
      </c>
      <c r="AT40">
        <f t="shared" si="11"/>
        <v>-0.10324169240866583</v>
      </c>
      <c r="AU40">
        <f t="shared" si="12"/>
        <v>0.213812062104247</v>
      </c>
      <c r="AV40">
        <f t="shared" si="13"/>
        <v>1.2319267818546762</v>
      </c>
      <c r="AW40">
        <f t="shared" si="14"/>
        <v>0.44296700740017136</v>
      </c>
      <c r="AX40">
        <f t="shared" si="15"/>
        <v>0.10558461224728613</v>
      </c>
      <c r="AY40" t="str" cm="1">
        <f t="array" ref="AY40">_xlfn.IFS(Q40&gt;BG40, "Significant increase", R40&lt;BG40, "Significant decrease", AND(Q40&lt;=BG40, BG40&lt;=R40), "No significant change")</f>
        <v>Significant increase</v>
      </c>
      <c r="AZ40">
        <f>SUMIF($P$2:P40, "&gt;0")/SUMIF($P$2:$P$49, "&gt;0")</f>
        <v>0.98530154893037603</v>
      </c>
      <c r="BA40">
        <f t="shared" si="4"/>
        <v>6.1727643038305566E-2</v>
      </c>
      <c r="BB40">
        <f t="shared" si="16"/>
        <v>3.5778759573676787E-2</v>
      </c>
      <c r="BC40">
        <f t="shared" si="5"/>
        <v>3.7065809415575211E-2</v>
      </c>
      <c r="BD40">
        <f t="shared" si="17"/>
        <v>0.47212754597457485</v>
      </c>
      <c r="BE40">
        <f t="shared" si="6"/>
        <v>0.23025125008164699</v>
      </c>
      <c r="BF40">
        <f t="shared" si="7"/>
        <v>0.16304899191622188</v>
      </c>
      <c r="BG40">
        <f>VLOOKUP($A40,epa!$A$1:$H$49,2,FALSE)/25*1000</f>
        <v>108.51200236</v>
      </c>
      <c r="BH40">
        <f>VLOOKUP($A40,epa!$A$1:$H$49,3,FALSE)/25*1000</f>
        <v>23.350107680000001</v>
      </c>
      <c r="BI40">
        <f>VLOOKUP($A40,epa!$A$1:$H$49,4,FALSE)/25*1000</f>
        <v>18.60766224</v>
      </c>
      <c r="BJ40">
        <f>VLOOKUP($A40,epa!$A$1:$H$49,5,FALSE)/25*1000</f>
        <v>2.3960751600000001</v>
      </c>
      <c r="BK40">
        <f>VLOOKUP($A40,epa!$A$1:$H$49,6,FALSE)/25*1000</f>
        <v>44.130707999999998</v>
      </c>
      <c r="BL40">
        <f>VLOOKUP($A40,epa!$A$1:$H$49,7,FALSE)/25*1000</f>
        <v>12.089531680000002</v>
      </c>
      <c r="BM40">
        <f>VLOOKUP($A40,epa!$A$1:$H$49,8,FALSE)/25*1000</f>
        <v>7.9379176400000002</v>
      </c>
      <c r="BN40">
        <f t="shared" si="8"/>
        <v>11.297965635853998</v>
      </c>
      <c r="BO40">
        <f>SUM($BG$2:BG40)/SUM($BG$2:$BG$49)</f>
        <v>0.96286643399629701</v>
      </c>
      <c r="BP40">
        <f t="shared" si="18"/>
        <v>1.1041171980070168</v>
      </c>
    </row>
    <row r="41" spans="1:68" x14ac:dyDescent="0.2">
      <c r="A41" t="str">
        <f>[1]summ_states!A41</f>
        <v>Nevada</v>
      </c>
      <c r="B41">
        <f>[1]summ_states!B41</f>
        <v>286473.603135638</v>
      </c>
      <c r="C41">
        <f>[1]summ_states!C41</f>
        <v>1.9161168409636899</v>
      </c>
      <c r="D41">
        <f>[1]summ_states!D41</f>
        <v>1.7790849563725999</v>
      </c>
      <c r="E41">
        <f>[1]summ_states!E41</f>
        <v>0</v>
      </c>
      <c r="F41">
        <f>[1]summ_states!F41</f>
        <v>30.040446984869501</v>
      </c>
      <c r="G41">
        <f>[1]summ_states!G41</f>
        <v>49.209661381222801</v>
      </c>
      <c r="H41">
        <f>[1]summ_states!H41</f>
        <v>9.3049139121028599</v>
      </c>
      <c r="I41">
        <f>[1]summ_states!I41</f>
        <v>92.250224075531506</v>
      </c>
      <c r="J41">
        <f>[1]summ_states!J41</f>
        <v>1.91722469674107</v>
      </c>
      <c r="K41">
        <f>[1]summ_states!K41</f>
        <v>1.78074427457694</v>
      </c>
      <c r="L41">
        <f>[1]summ_states!L41</f>
        <v>0</v>
      </c>
      <c r="M41">
        <f>[1]summ_states!M41</f>
        <v>30.3874954403821</v>
      </c>
      <c r="N41">
        <f>[1]summ_states!N41</f>
        <v>49.4173047109593</v>
      </c>
      <c r="O41">
        <f>[1]summ_states!O41</f>
        <v>9.3866880850540397</v>
      </c>
      <c r="P41">
        <f>[1]summ_states!P41</f>
        <v>92.889457207713505</v>
      </c>
      <c r="Q41">
        <f>[1]summ_states!Q41</f>
        <v>92.672198752123506</v>
      </c>
      <c r="R41">
        <f>[1]summ_states!R41</f>
        <v>93.107844479978297</v>
      </c>
      <c r="S41">
        <f>[1]summ_states!S41</f>
        <v>1.0069293396150301</v>
      </c>
      <c r="T41">
        <f>[1]summ_states!T41</f>
        <v>1.0045742401259199</v>
      </c>
      <c r="U41">
        <f>[1]summ_states!U41</f>
        <v>1.0092966755695301</v>
      </c>
      <c r="V41">
        <f>[1]summ_states!V41</f>
        <v>0.63923313218199396</v>
      </c>
      <c r="W41">
        <f>[1]summ_states!W41</f>
        <v>0.42197467659197202</v>
      </c>
      <c r="X41">
        <f>[1]summ_states!X41</f>
        <v>0.85762040444677701</v>
      </c>
      <c r="Y41">
        <f>[1]summ_states!Y41</f>
        <v>1.32687072604607E-3</v>
      </c>
      <c r="Z41">
        <f>[1]summ_states!Z41</f>
        <v>9.0807349168854396E-4</v>
      </c>
      <c r="AA41">
        <f>[1]summ_states!AA41</f>
        <v>1.8742358246138201E-3</v>
      </c>
      <c r="AB41">
        <f>[1]summ_states!AB41</f>
        <v>3080156</v>
      </c>
      <c r="AC41">
        <f>[1]summ_states!AC41</f>
        <v>88.824002071428495</v>
      </c>
      <c r="AD41">
        <f>[1]summ_states!AD41</f>
        <v>45.499330464285698</v>
      </c>
      <c r="AE41">
        <f>[1]summ_states!AE41</f>
        <v>19.710866321428501</v>
      </c>
      <c r="AF41">
        <f>[1]summ_states!AF41</f>
        <v>0</v>
      </c>
      <c r="AG41">
        <f>[1]summ_states!AG41</f>
        <v>16.932262178571399</v>
      </c>
      <c r="AH41">
        <f>[1]summ_states!AH41</f>
        <v>3.5840786785714198</v>
      </c>
      <c r="AI41">
        <f>[1]summ_states!AI41</f>
        <v>3.0974644285714201</v>
      </c>
      <c r="AJ41">
        <f>[1]summ_states!AJ41</f>
        <v>3.01573872257488E-5</v>
      </c>
      <c r="AK41" t="str">
        <f t="shared" si="0"/>
        <v>93 (93, 93)</v>
      </c>
      <c r="AL41" t="str">
        <f t="shared" si="1"/>
        <v>1.01 (1.00, 1.01)</v>
      </c>
      <c r="AM41" t="str">
        <f t="shared" si="2"/>
        <v>0.00 (0.00, 0.00)</v>
      </c>
      <c r="AN41" t="str">
        <f t="shared" si="3"/>
        <v>0 (0, 0)</v>
      </c>
      <c r="AO41">
        <f>SUM($I$2:I41)/SUM($I$2:$I$49)</f>
        <v>0.96701784760149767</v>
      </c>
      <c r="AP41">
        <f>SUM($P$2:P41)/SUM($P$2:$P$49)</f>
        <v>0.9883558366802736</v>
      </c>
      <c r="AQ41">
        <f t="shared" si="9"/>
        <v>4.06545513628501</v>
      </c>
      <c r="AR41">
        <f t="shared" si="19"/>
        <v>4.5769781156851541E-2</v>
      </c>
      <c r="AS41">
        <f t="shared" si="10"/>
        <v>-0.44357503490798739</v>
      </c>
      <c r="AT41">
        <f t="shared" si="11"/>
        <v>3.5766537531828693E-4</v>
      </c>
      <c r="AU41">
        <f t="shared" si="12"/>
        <v>0</v>
      </c>
      <c r="AV41">
        <f t="shared" si="13"/>
        <v>3.3096499188295105</v>
      </c>
      <c r="AW41">
        <f t="shared" si="14"/>
        <v>0.96372340004564028</v>
      </c>
      <c r="AX41">
        <f t="shared" si="15"/>
        <v>-2.5394889109042382</v>
      </c>
      <c r="AY41" t="str" cm="1">
        <f t="array" ref="AY41">_xlfn.IFS(Q41&gt;BG41, "Significant increase", R41&lt;BG41, "Significant decrease", AND(Q41&lt;=BG41, BG41&lt;=R41), "No significant change")</f>
        <v>Significant increase</v>
      </c>
      <c r="AZ41">
        <f>SUMIF($P$2:P41, "&gt;0")/SUMIF($P$2:$P$49, "&gt;0")</f>
        <v>0.9883558366802736</v>
      </c>
      <c r="BA41">
        <f t="shared" si="4"/>
        <v>2.0639852512582713E-2</v>
      </c>
      <c r="BB41">
        <f t="shared" si="16"/>
        <v>1.9170574660533894E-2</v>
      </c>
      <c r="BC41">
        <f t="shared" si="5"/>
        <v>0</v>
      </c>
      <c r="BD41">
        <f t="shared" si="17"/>
        <v>0.32713610730259207</v>
      </c>
      <c r="BE41">
        <f t="shared" si="6"/>
        <v>0.53200122162901076</v>
      </c>
      <c r="BF41">
        <f t="shared" si="7"/>
        <v>0.10105224389528</v>
      </c>
      <c r="BG41">
        <f>VLOOKUP($A41,epa!$A$1:$H$49,2,FALSE)/25*1000</f>
        <v>89.982894840000014</v>
      </c>
      <c r="BH41">
        <f>VLOOKUP($A41,epa!$A$1:$H$49,3,FALSE)/25*1000</f>
        <v>45.499330479999998</v>
      </c>
      <c r="BI41">
        <f>VLOOKUP($A41,epa!$A$1:$H$49,4,FALSE)/25*1000</f>
        <v>20.20795996</v>
      </c>
      <c r="BJ41">
        <f>VLOOKUP($A41,epa!$A$1:$H$49,5,FALSE)/25*1000</f>
        <v>0</v>
      </c>
      <c r="BK41">
        <f>VLOOKUP($A41,epa!$A$1:$H$49,6,FALSE)/25*1000</f>
        <v>16.873878319999999</v>
      </c>
      <c r="BL41">
        <f>VLOOKUP($A41,epa!$A$1:$H$49,7,FALSE)/25*1000</f>
        <v>4.3471716399999991</v>
      </c>
      <c r="BM41">
        <f>VLOOKUP($A41,epa!$A$1:$H$49,8,FALSE)/25*1000</f>
        <v>3.05455444</v>
      </c>
      <c r="BN41">
        <f t="shared" si="8"/>
        <v>2.9065623677134909</v>
      </c>
      <c r="BO41">
        <f>SUM($BG$2:BG41)/SUM($BG$2:$BG$49)</f>
        <v>0.9662729979074054</v>
      </c>
      <c r="BP41">
        <f t="shared" si="18"/>
        <v>1.0323012765135162</v>
      </c>
    </row>
    <row r="42" spans="1:68" x14ac:dyDescent="0.2">
      <c r="A42" t="str">
        <f>[1]summ_states!A42</f>
        <v>Massachusetts</v>
      </c>
      <c r="B42">
        <f>[1]summ_states!B42</f>
        <v>26608.3957428063</v>
      </c>
      <c r="C42">
        <f>[1]summ_states!C42</f>
        <v>8.0570182763581304</v>
      </c>
      <c r="D42">
        <f>[1]summ_states!D42</f>
        <v>5.6106631720389197</v>
      </c>
      <c r="E42">
        <f>[1]summ_states!E42</f>
        <v>0</v>
      </c>
      <c r="F42">
        <f>[1]summ_states!F42</f>
        <v>54.635496901619597</v>
      </c>
      <c r="G42">
        <f>[1]summ_states!G42</f>
        <v>4.9353027937912204</v>
      </c>
      <c r="H42">
        <f>[1]summ_states!H42</f>
        <v>20.147984842320501</v>
      </c>
      <c r="I42">
        <f>[1]summ_states!I42</f>
        <v>93.3864659861284</v>
      </c>
      <c r="J42">
        <f>[1]summ_states!J42</f>
        <v>6.7964947077197104</v>
      </c>
      <c r="K42">
        <f>[1]summ_states!K42</f>
        <v>4.1669557849569303</v>
      </c>
      <c r="L42">
        <f>[1]summ_states!L42</f>
        <v>0</v>
      </c>
      <c r="M42">
        <f>[1]summ_states!M42</f>
        <v>48.172137284683501</v>
      </c>
      <c r="N42">
        <f>[1]summ_states!N42</f>
        <v>4.44006200208233</v>
      </c>
      <c r="O42">
        <f>[1]summ_states!O42</f>
        <v>16.860736585355198</v>
      </c>
      <c r="P42">
        <f>[1]summ_states!P42</f>
        <v>80.436386364797798</v>
      </c>
      <c r="Q42">
        <f>[1]summ_states!Q42</f>
        <v>66.434177351895897</v>
      </c>
      <c r="R42">
        <f>[1]summ_states!R42</f>
        <v>92.563628986250805</v>
      </c>
      <c r="S42">
        <f>[1]summ_states!S42</f>
        <v>0.86132808984061704</v>
      </c>
      <c r="T42">
        <f>[1]summ_states!T42</f>
        <v>0.711389778490643</v>
      </c>
      <c r="U42">
        <f>[1]summ_states!U42</f>
        <v>0.99118890525314596</v>
      </c>
      <c r="V42">
        <f>[1]summ_states!V42</f>
        <v>-12.950079621330501</v>
      </c>
      <c r="W42">
        <f>[1]summ_states!W42</f>
        <v>-26.952288634232499</v>
      </c>
      <c r="X42">
        <f>[1]summ_states!X42</f>
        <v>-0.82283699987755199</v>
      </c>
      <c r="Y42">
        <f>[1]summ_states!Y42</f>
        <v>0.152915965862647</v>
      </c>
      <c r="Z42">
        <f>[1]summ_states!Z42</f>
        <v>1.8134066318023799E-2</v>
      </c>
      <c r="AA42">
        <f>[1]summ_states!AA42</f>
        <v>0.35384854773820401</v>
      </c>
      <c r="AB42">
        <f>[1]summ_states!AB42</f>
        <v>6892503</v>
      </c>
      <c r="AC42">
        <f>[1]summ_states!AC42</f>
        <v>78.632473035714199</v>
      </c>
      <c r="AD42">
        <f>[1]summ_states!AD42</f>
        <v>3.8723862857142799</v>
      </c>
      <c r="AE42">
        <f>[1]summ_states!AE42</f>
        <v>29.4257041428571</v>
      </c>
      <c r="AF42">
        <f>[1]summ_states!AF42</f>
        <v>0</v>
      </c>
      <c r="AG42">
        <f>[1]summ_states!AG42</f>
        <v>25.009046964285702</v>
      </c>
      <c r="AH42">
        <f>[1]summ_states!AH42</f>
        <v>10.924496</v>
      </c>
      <c r="AI42">
        <f>[1]summ_states!AI42</f>
        <v>9.4008396428571395</v>
      </c>
      <c r="AJ42">
        <f>[1]summ_states!AJ42</f>
        <v>1.16701271460887E-5</v>
      </c>
      <c r="AK42" t="str">
        <f t="shared" si="0"/>
        <v>80 (66, 93)</v>
      </c>
      <c r="AL42" t="str">
        <f t="shared" si="1"/>
        <v>0.86 (0.71, 0.99)</v>
      </c>
      <c r="AM42" t="str">
        <f t="shared" si="2"/>
        <v>0.15 (0.02, 0.35)</v>
      </c>
      <c r="AN42" t="str">
        <f t="shared" si="3"/>
        <v>15 (2, 35)</v>
      </c>
      <c r="AO42">
        <f>SUM($I$2:I42)/SUM($I$2:$I$49)</f>
        <v>0.97031916659830086</v>
      </c>
      <c r="AP42">
        <f>SUM($P$2:P42)/SUM($P$2:$P$49)</f>
        <v>0.99100065641445145</v>
      </c>
      <c r="AQ42">
        <f t="shared" si="9"/>
        <v>1.8039133290835991</v>
      </c>
      <c r="AR42">
        <f t="shared" si="19"/>
        <v>2.294107331794432E-2</v>
      </c>
      <c r="AS42">
        <f t="shared" si="10"/>
        <v>-3.7460448382384026</v>
      </c>
      <c r="AT42">
        <f t="shared" si="11"/>
        <v>-0.13408627489951705</v>
      </c>
      <c r="AU42">
        <f t="shared" si="12"/>
        <v>0</v>
      </c>
      <c r="AV42">
        <f t="shared" si="13"/>
        <v>12.840467414343468</v>
      </c>
      <c r="AW42">
        <f t="shared" si="14"/>
        <v>0.31469123666625021</v>
      </c>
      <c r="AX42">
        <f t="shared" si="15"/>
        <v>-6.9653942653026437</v>
      </c>
      <c r="AY42" t="str" cm="1">
        <f t="array" ref="AY42">_xlfn.IFS(Q42&gt;BG42, "Significant increase", R42&lt;BG42, "Significant decrease", AND(Q42&lt;=BG42, BG42&lt;=R42), "No significant change")</f>
        <v>No significant change</v>
      </c>
      <c r="AZ42">
        <f>SUMIF($P$2:P42, "&gt;0")/SUMIF($P$2:$P$49, "&gt;0")</f>
        <v>0.99100065641445145</v>
      </c>
      <c r="BA42">
        <f t="shared" si="4"/>
        <v>8.4495276514487114E-2</v>
      </c>
      <c r="BB42">
        <f t="shared" si="16"/>
        <v>5.1804363339481872E-2</v>
      </c>
      <c r="BC42">
        <f t="shared" si="5"/>
        <v>0</v>
      </c>
      <c r="BD42">
        <f t="shared" si="17"/>
        <v>0.59888490099756109</v>
      </c>
      <c r="BE42">
        <f t="shared" si="6"/>
        <v>5.5199670233140659E-2</v>
      </c>
      <c r="BF42">
        <f t="shared" si="7"/>
        <v>0.2096157889153277</v>
      </c>
      <c r="BG42">
        <f>VLOOKUP($A42,epa!$A$1:$H$49,2,FALSE)/25*1000</f>
        <v>76.38915759999999</v>
      </c>
      <c r="BH42">
        <f>VLOOKUP($A42,epa!$A$1:$H$49,3,FALSE)/25*1000</f>
        <v>3.8723862799999997</v>
      </c>
      <c r="BI42">
        <f>VLOOKUP($A42,epa!$A$1:$H$49,4,FALSE)/25*1000</f>
        <v>28.99797208</v>
      </c>
      <c r="BJ42">
        <f>VLOOKUP($A42,epa!$A$1:$H$49,5,FALSE)/25*1000</f>
        <v>0</v>
      </c>
      <c r="BK42">
        <f>VLOOKUP($A42,epa!$A$1:$H$49,6,FALSE)/25*1000</f>
        <v>24.353919720000004</v>
      </c>
      <c r="BL42">
        <f>VLOOKUP($A42,epa!$A$1:$H$49,7,FALSE)/25*1000</f>
        <v>9.7926219200000002</v>
      </c>
      <c r="BM42">
        <f>VLOOKUP($A42,epa!$A$1:$H$49,8,FALSE)/25*1000</f>
        <v>9.3722576399999991</v>
      </c>
      <c r="BN42">
        <f t="shared" si="8"/>
        <v>4.0472287647978078</v>
      </c>
      <c r="BO42">
        <f>SUM($BG$2:BG42)/SUM($BG$2:$BG$49)</f>
        <v>0.96916493140146387</v>
      </c>
      <c r="BP42">
        <f t="shared" si="18"/>
        <v>1.0529817174577378</v>
      </c>
    </row>
    <row r="43" spans="1:68" x14ac:dyDescent="0.2">
      <c r="A43" t="str">
        <f>[1]summ_states!A43</f>
        <v>Wyoming</v>
      </c>
      <c r="B43">
        <f>[1]summ_states!B43</f>
        <v>253199.155528662</v>
      </c>
      <c r="C43">
        <f>[1]summ_states!C43</f>
        <v>1.70326625473462</v>
      </c>
      <c r="D43">
        <f>[1]summ_states!D43</f>
        <v>0.217072902494438</v>
      </c>
      <c r="E43">
        <f>[1]summ_states!E43</f>
        <v>280.70802353748797</v>
      </c>
      <c r="F43">
        <f>[1]summ_states!F43</f>
        <v>11.9318320324226</v>
      </c>
      <c r="G43">
        <f>[1]summ_states!G43</f>
        <v>116.441572844975</v>
      </c>
      <c r="H43">
        <f>[1]summ_states!H43</f>
        <v>230.14656098837401</v>
      </c>
      <c r="I43">
        <f>[1]summ_states!I43</f>
        <v>641.14832856048997</v>
      </c>
      <c r="J43">
        <f>[1]summ_states!J43</f>
        <v>1.2687299572972299</v>
      </c>
      <c r="K43">
        <f>[1]summ_states!K43</f>
        <v>0.19633643452569999</v>
      </c>
      <c r="L43">
        <f>[1]summ_states!L43</f>
        <v>-186.42556519258099</v>
      </c>
      <c r="M43">
        <f>[1]summ_states!M43</f>
        <v>10.3520774452421</v>
      </c>
      <c r="N43">
        <f>[1]summ_states!N43</f>
        <v>113.05167067176301</v>
      </c>
      <c r="O43">
        <f>[1]summ_states!O43</f>
        <v>141.81804002329301</v>
      </c>
      <c r="P43">
        <f>[1]summ_states!P43</f>
        <v>80.261289339540198</v>
      </c>
      <c r="Q43">
        <f>[1]summ_states!Q43</f>
        <v>-194.10091952474301</v>
      </c>
      <c r="R43">
        <f>[1]summ_states!R43</f>
        <v>279.23161062069801</v>
      </c>
      <c r="S43">
        <f>[1]summ_states!S43</f>
        <v>0.12518365215073199</v>
      </c>
      <c r="T43">
        <f>[1]summ_states!T43</f>
        <v>-0.30273949237384601</v>
      </c>
      <c r="U43">
        <f>[1]summ_states!U43</f>
        <v>0.435517957673899</v>
      </c>
      <c r="V43">
        <f>[1]summ_states!V43</f>
        <v>-560.88703922094999</v>
      </c>
      <c r="W43">
        <f>[1]summ_states!W43</f>
        <v>-835.24924808523303</v>
      </c>
      <c r="X43">
        <f>[1]summ_states!X43</f>
        <v>-361.916717939791</v>
      </c>
      <c r="Y43">
        <f>[1]summ_states!Y43</f>
        <v>0.660163139812461</v>
      </c>
      <c r="Z43">
        <f>[1]summ_states!Z43</f>
        <v>0.49904991250891301</v>
      </c>
      <c r="AA43">
        <f>[1]summ_states!AA43</f>
        <v>0.85908579172859501</v>
      </c>
      <c r="AB43">
        <f>[1]summ_states!AB43</f>
        <v>578759</v>
      </c>
      <c r="AC43">
        <f>[1]summ_states!AC43</f>
        <v>622.59244107142797</v>
      </c>
      <c r="AD43">
        <f>[1]summ_states!AD43</f>
        <v>109.198939821428</v>
      </c>
      <c r="AE43">
        <f>[1]summ_states!AE43</f>
        <v>302.36734974999899</v>
      </c>
      <c r="AF43">
        <f>[1]summ_states!AF43</f>
        <v>200.482737178571</v>
      </c>
      <c r="AG43">
        <f>[1]summ_states!AG43</f>
        <v>6.48915857142857</v>
      </c>
      <c r="AH43">
        <f>[1]summ_states!AH43</f>
        <v>0.97809396428571405</v>
      </c>
      <c r="AI43">
        <f>[1]summ_states!AI43</f>
        <v>3.07616182142857</v>
      </c>
      <c r="AJ43">
        <f>[1]summ_states!AJ43</f>
        <v>1.3867825699391301E-4</v>
      </c>
      <c r="AK43" t="str">
        <f t="shared" si="0"/>
        <v>80 (-194, 279)</v>
      </c>
      <c r="AL43" t="str">
        <f t="shared" si="1"/>
        <v>0.13 (-0.30, 0.44)</v>
      </c>
      <c r="AM43" t="str">
        <f t="shared" si="2"/>
        <v>0.66 (0.50, 0.86)</v>
      </c>
      <c r="AN43" t="str">
        <f t="shared" si="3"/>
        <v>66 (50, 86)</v>
      </c>
      <c r="AO43">
        <f>SUM($I$1:I44)/SUM($I$2:$I$49)</f>
        <v>0.99451416052331487</v>
      </c>
      <c r="AP43">
        <f>SUM($P$1:P44)/SUM($P$2:$P$49)</f>
        <v>0.99516325568136388</v>
      </c>
      <c r="AQ43">
        <f t="shared" si="9"/>
        <v>-542.33115173188776</v>
      </c>
      <c r="AR43">
        <f t="shared" si="19"/>
        <v>-0.87108534565338214</v>
      </c>
      <c r="AS43">
        <f t="shared" si="10"/>
        <v>1.4414763512358435E-3</v>
      </c>
      <c r="AT43">
        <f t="shared" si="11"/>
        <v>-0.1412592453395678</v>
      </c>
      <c r="AU43">
        <f t="shared" si="12"/>
        <v>0.71341707208887728</v>
      </c>
      <c r="AV43">
        <f t="shared" si="13"/>
        <v>-7.1228046950237546E-3</v>
      </c>
      <c r="AW43">
        <f t="shared" si="14"/>
        <v>-7.1040190813890063E-3</v>
      </c>
      <c r="AX43">
        <f t="shared" si="15"/>
        <v>0.29603556648738621</v>
      </c>
      <c r="AY43" t="str" cm="1">
        <f t="array" ref="AY43">_xlfn.IFS(Q43&gt;BG43, "Significant increase", R43&lt;BG43, "Significant decrease", AND(Q43&lt;=BG43, BG43&lt;=R43), "No significant change")</f>
        <v>Significant decrease</v>
      </c>
      <c r="AZ43">
        <f>SUMIF($P$2:P43, "&gt;0")/SUMIF($P$2:$P$49, "&gt;0")</f>
        <v>0.9936397188031203</v>
      </c>
      <c r="BA43">
        <f t="shared" si="4"/>
        <v>1.580749534099745E-2</v>
      </c>
      <c r="BB43">
        <f t="shared" si="16"/>
        <v>2.4462158051699293E-3</v>
      </c>
      <c r="BC43">
        <f t="shared" si="5"/>
        <v>-2.3227332469569442</v>
      </c>
      <c r="BD43">
        <f t="shared" si="17"/>
        <v>0.1289797052904085</v>
      </c>
      <c r="BE43">
        <f t="shared" si="6"/>
        <v>1.4085454096495413</v>
      </c>
      <c r="BF43">
        <f t="shared" si="7"/>
        <v>1.7669544208708254</v>
      </c>
      <c r="BG43">
        <f>VLOOKUP($A43,epa!$A$1:$H$49,2,FALSE)/25*1000</f>
        <v>601.46584199999995</v>
      </c>
      <c r="BH43">
        <f>VLOOKUP($A43,epa!$A$1:$H$49,3,FALSE)/25*1000</f>
        <v>109.19893983999999</v>
      </c>
      <c r="BI43">
        <f>VLOOKUP($A43,epa!$A$1:$H$49,4,FALSE)/25*1000</f>
        <v>281.40603831999999</v>
      </c>
      <c r="BJ43">
        <f>VLOOKUP($A43,epa!$A$1:$H$49,5,FALSE)/25*1000</f>
        <v>200.4827372</v>
      </c>
      <c r="BK43">
        <f>VLOOKUP($A43,epa!$A$1:$H$49,6,FALSE)/25*1000</f>
        <v>6.4553733599999994</v>
      </c>
      <c r="BL43">
        <f>VLOOKUP($A43,epa!$A$1:$H$49,7,FALSE)/25*1000</f>
        <v>0.86312016000000003</v>
      </c>
      <c r="BM43">
        <f>VLOOKUP($A43,epa!$A$1:$H$49,8,FALSE)/25*1000</f>
        <v>3.0596330800000002</v>
      </c>
      <c r="BN43">
        <f t="shared" si="8"/>
        <v>-521.20455266045974</v>
      </c>
      <c r="BO43">
        <f>SUM($BG$2:BG43)/SUM($BG$2:$BG$49)</f>
        <v>0.99193516828665107</v>
      </c>
      <c r="BP43">
        <f t="shared" si="18"/>
        <v>0.1334428054511867</v>
      </c>
    </row>
    <row r="44" spans="1:68" x14ac:dyDescent="0.2">
      <c r="A44" t="str">
        <f>[1]summ_states!A44</f>
        <v>Vermont</v>
      </c>
      <c r="B44">
        <f>[1]summ_states!B44</f>
        <v>24885.293501074801</v>
      </c>
      <c r="C44">
        <f>[1]summ_states!C44</f>
        <v>2.5327922360195698</v>
      </c>
      <c r="D44">
        <f>[1]summ_states!D44</f>
        <v>1.3505377970382499</v>
      </c>
      <c r="E44">
        <f>[1]summ_states!E44</f>
        <v>0</v>
      </c>
      <c r="F44">
        <f>[1]summ_states!F44</f>
        <v>12.2260844657746</v>
      </c>
      <c r="G44">
        <f>[1]summ_states!G44</f>
        <v>26.873174118043401</v>
      </c>
      <c r="H44">
        <f>[1]summ_states!H44</f>
        <v>0.28794067940416501</v>
      </c>
      <c r="I44">
        <f>[1]summ_states!I44</f>
        <v>43.270529296280102</v>
      </c>
      <c r="J44">
        <f>[1]summ_states!J44</f>
        <v>2.73717027429374</v>
      </c>
      <c r="K44">
        <f>[1]summ_states!K44</f>
        <v>1.41015421359586</v>
      </c>
      <c r="L44">
        <f>[1]summ_states!L44</f>
        <v>0</v>
      </c>
      <c r="M44">
        <f>[1]summ_states!M44</f>
        <v>12.6865008220328</v>
      </c>
      <c r="N44">
        <f>[1]summ_states!N44</f>
        <v>29.1859373639385</v>
      </c>
      <c r="O44">
        <f>[1]summ_states!O44</f>
        <v>0.31526704320853299</v>
      </c>
      <c r="P44">
        <f>[1]summ_states!P44</f>
        <v>46.335029717069602</v>
      </c>
      <c r="Q44">
        <f>[1]summ_states!Q44</f>
        <v>44.589728612845597</v>
      </c>
      <c r="R44">
        <f>[1]summ_states!R44</f>
        <v>48.886024094486899</v>
      </c>
      <c r="S44">
        <f>[1]summ_states!S44</f>
        <v>1.07082188433162</v>
      </c>
      <c r="T44">
        <f>[1]summ_states!T44</f>
        <v>1.03048724704827</v>
      </c>
      <c r="U44">
        <f>[1]summ_states!U44</f>
        <v>1.1297764295822801</v>
      </c>
      <c r="V44">
        <f>[1]summ_states!V44</f>
        <v>3.0645004207894799</v>
      </c>
      <c r="W44">
        <f>[1]summ_states!W44</f>
        <v>1.3191993165654801</v>
      </c>
      <c r="X44">
        <f>[1]summ_states!X44</f>
        <v>5.61549479820681</v>
      </c>
      <c r="Y44">
        <f>[1]summ_states!Y44</f>
        <v>3.0871502842504801E-2</v>
      </c>
      <c r="Z44">
        <f>[1]summ_states!Z44</f>
        <v>9.7188621022263992E-3</v>
      </c>
      <c r="AA44">
        <f>[1]summ_states!AA44</f>
        <v>6.8906529720563006E-2</v>
      </c>
      <c r="AB44">
        <f>[1]summ_states!AB44</f>
        <v>623989</v>
      </c>
      <c r="AC44">
        <f>[1]summ_states!AC44</f>
        <v>52.533348285714197</v>
      </c>
      <c r="AD44">
        <f>[1]summ_states!AD44</f>
        <v>37.630104821428503</v>
      </c>
      <c r="AE44">
        <f>[1]summ_states!AE44</f>
        <v>1.1357551785714199</v>
      </c>
      <c r="AF44">
        <f>[1]summ_states!AF44</f>
        <v>0</v>
      </c>
      <c r="AG44">
        <f>[1]summ_states!AG44</f>
        <v>6.5038973571428498</v>
      </c>
      <c r="AH44">
        <f>[1]summ_states!AH44</f>
        <v>1.5443566071428501</v>
      </c>
      <c r="AI44">
        <f>[1]summ_states!AI44</f>
        <v>5.7192342857142799</v>
      </c>
      <c r="AJ44">
        <f>[1]summ_states!AJ44</f>
        <v>7.4256164318713301E-5</v>
      </c>
      <c r="AK44" t="str">
        <f t="shared" si="0"/>
        <v>46 (45, 49)</v>
      </c>
      <c r="AL44" t="str">
        <f t="shared" si="1"/>
        <v>1.07 (1.03, 1.13)</v>
      </c>
      <c r="AM44" t="str">
        <f t="shared" si="2"/>
        <v>0.03 (0.01, 0.07)</v>
      </c>
      <c r="AN44" t="str">
        <f t="shared" si="3"/>
        <v>3 (1, 7)</v>
      </c>
      <c r="AO44">
        <f>SUM($I$2:I44)/SUM($I$2:$I$49)</f>
        <v>0.99451416052331487</v>
      </c>
      <c r="AP44">
        <f>SUM($P$2:P44)/SUM($P$2:$P$49)</f>
        <v>0.99516325568136388</v>
      </c>
      <c r="AQ44">
        <f t="shared" si="9"/>
        <v>-6.198318568644595</v>
      </c>
      <c r="AR44">
        <f t="shared" si="19"/>
        <v>-0.11798826404389214</v>
      </c>
      <c r="AS44">
        <f t="shared" si="10"/>
        <v>2.1651419180982252E-2</v>
      </c>
      <c r="AT44">
        <f t="shared" si="11"/>
        <v>3.5735210006114529E-2</v>
      </c>
      <c r="AU44">
        <f t="shared" si="12"/>
        <v>0</v>
      </c>
      <c r="AV44">
        <f t="shared" si="13"/>
        <v>-0.99746461825403054</v>
      </c>
      <c r="AW44">
        <f t="shared" si="14"/>
        <v>1.3623319556704416</v>
      </c>
      <c r="AX44">
        <f t="shared" si="15"/>
        <v>0.13237269531667611</v>
      </c>
      <c r="AY44" t="str" cm="1">
        <f t="array" ref="AY44">_xlfn.IFS(Q44&gt;BG44, "Significant increase", R44&lt;BG44, "Significant decrease", AND(Q44&lt;=BG44, BG44&lt;=R44), "No significant change")</f>
        <v>Significant decrease</v>
      </c>
      <c r="AZ44">
        <f>SUMIF($P$2:P44, "&gt;0")/SUMIF($P$2:$P$49, "&gt;0")</f>
        <v>0.99516325568136388</v>
      </c>
      <c r="BA44">
        <f t="shared" si="4"/>
        <v>5.9073454598117581E-2</v>
      </c>
      <c r="BB44">
        <f t="shared" si="16"/>
        <v>3.0433868764227122E-2</v>
      </c>
      <c r="BC44">
        <f t="shared" si="5"/>
        <v>0</v>
      </c>
      <c r="BD44">
        <f t="shared" si="17"/>
        <v>0.27379934575415094</v>
      </c>
      <c r="BE44">
        <f t="shared" si="6"/>
        <v>0.62988925532482265</v>
      </c>
      <c r="BF44">
        <f t="shared" si="7"/>
        <v>6.8040755586780194E-3</v>
      </c>
      <c r="BG44">
        <f>VLOOKUP($A44,epa!$A$1:$H$49,2,FALSE)/25*1000</f>
        <v>51.782198480000005</v>
      </c>
      <c r="BH44">
        <f>VLOOKUP($A44,epa!$A$1:$H$49,3,FALSE)/25*1000</f>
        <v>37.630104839999994</v>
      </c>
      <c r="BI44">
        <f>VLOOKUP($A44,epa!$A$1:$H$49,4,FALSE)/25*1000</f>
        <v>1.11744412</v>
      </c>
      <c r="BJ44">
        <f>VLOOKUP($A44,epa!$A$1:$H$49,5,FALSE)/25*1000</f>
        <v>0</v>
      </c>
      <c r="BK44">
        <f>VLOOKUP($A44,epa!$A$1:$H$49,6,FALSE)/25*1000</f>
        <v>6.2504814399999997</v>
      </c>
      <c r="BL44">
        <f>VLOOKUP($A44,epa!$A$1:$H$49,7,FALSE)/25*1000</f>
        <v>1.0869045200000003</v>
      </c>
      <c r="BM44">
        <f>VLOOKUP($A44,epa!$A$1:$H$49,8,FALSE)/25*1000</f>
        <v>5.6972635599999997</v>
      </c>
      <c r="BN44">
        <f t="shared" si="8"/>
        <v>-5.4471687629304029</v>
      </c>
      <c r="BO44">
        <f>SUM($BG$2:BG44)/SUM($BG$2:$BG$49)</f>
        <v>0.99389553385272322</v>
      </c>
      <c r="BP44">
        <f t="shared" si="18"/>
        <v>0.89480615109390771</v>
      </c>
    </row>
    <row r="45" spans="1:68" x14ac:dyDescent="0.2">
      <c r="A45" t="str">
        <f>[1]summ_states!A45</f>
        <v>Connecticut</v>
      </c>
      <c r="B45">
        <f>[1]summ_states!B45</f>
        <v>14355.3797957366</v>
      </c>
      <c r="C45">
        <f>[1]summ_states!C45</f>
        <v>5.0100746247078503</v>
      </c>
      <c r="D45">
        <f>[1]summ_states!D45</f>
        <v>14.9796682361781</v>
      </c>
      <c r="E45">
        <f>[1]summ_states!E45</f>
        <v>0</v>
      </c>
      <c r="F45">
        <f>[1]summ_states!F45</f>
        <v>16.2329424384437</v>
      </c>
      <c r="G45">
        <f>[1]summ_states!G45</f>
        <v>5.6443735438288902</v>
      </c>
      <c r="H45">
        <f>[1]summ_states!H45</f>
        <v>9.3614329473900906</v>
      </c>
      <c r="I45">
        <f>[1]summ_states!I45</f>
        <v>51.228491790548702</v>
      </c>
      <c r="J45">
        <f>[1]summ_states!J45</f>
        <v>4.4426121137018502</v>
      </c>
      <c r="K45">
        <f>[1]summ_states!K45</f>
        <v>12.460481832108799</v>
      </c>
      <c r="L45">
        <f>[1]summ_states!L45</f>
        <v>0</v>
      </c>
      <c r="M45">
        <f>[1]summ_states!M45</f>
        <v>15.3149861009224</v>
      </c>
      <c r="N45">
        <f>[1]summ_states!N45</f>
        <v>5.3658083448877196</v>
      </c>
      <c r="O45">
        <f>[1]summ_states!O45</f>
        <v>7.8602810975833304</v>
      </c>
      <c r="P45">
        <f>[1]summ_states!P45</f>
        <v>45.444169489204199</v>
      </c>
      <c r="Q45">
        <f>[1]summ_states!Q45</f>
        <v>34.532344992381397</v>
      </c>
      <c r="R45">
        <f>[1]summ_states!R45</f>
        <v>50.630636304085101</v>
      </c>
      <c r="S45">
        <f>[1]summ_states!S45</f>
        <v>0.887087788471421</v>
      </c>
      <c r="T45">
        <f>[1]summ_states!T45</f>
        <v>0.67408474826019404</v>
      </c>
      <c r="U45">
        <f>[1]summ_states!U45</f>
        <v>0.98832962936117696</v>
      </c>
      <c r="V45">
        <f>[1]summ_states!V45</f>
        <v>-5.7843223013444804</v>
      </c>
      <c r="W45">
        <f>[1]summ_states!W45</f>
        <v>-16.696146798167199</v>
      </c>
      <c r="X45">
        <f>[1]summ_states!X45</f>
        <v>-0.59785548646358599</v>
      </c>
      <c r="Y45">
        <f>[1]summ_states!Y45</f>
        <v>0.29423961462567999</v>
      </c>
      <c r="Z45">
        <f>[1]summ_states!Z45</f>
        <v>0.14061478088500901</v>
      </c>
      <c r="AA45">
        <f>[1]summ_states!AA45</f>
        <v>0.49858155485210398</v>
      </c>
      <c r="AB45">
        <f>[1]summ_states!AB45</f>
        <v>3565287</v>
      </c>
      <c r="AC45">
        <f>[1]summ_states!AC45</f>
        <v>40.057523285714197</v>
      </c>
      <c r="AD45">
        <f>[1]summ_states!AD45</f>
        <v>7.5104301785714203</v>
      </c>
      <c r="AE45">
        <f>[1]summ_states!AE45</f>
        <v>12.6048230714285</v>
      </c>
      <c r="AF45">
        <f>[1]summ_states!AF45</f>
        <v>0</v>
      </c>
      <c r="AG45">
        <f>[1]summ_states!AG45</f>
        <v>8.1815847857142803</v>
      </c>
      <c r="AH45">
        <f>[1]summ_states!AH45</f>
        <v>6.4823422857142798</v>
      </c>
      <c r="AI45">
        <f>[1]summ_states!AI45</f>
        <v>5.2783429999999996</v>
      </c>
      <c r="AJ45">
        <f>[1]summ_states!AJ45</f>
        <v>1.27462864810614E-5</v>
      </c>
      <c r="AK45" t="str">
        <f t="shared" si="0"/>
        <v>45 (35, 51)</v>
      </c>
      <c r="AL45" t="str">
        <f t="shared" si="1"/>
        <v>0.89 (0.67, 0.99)</v>
      </c>
      <c r="AM45" t="str">
        <f t="shared" si="2"/>
        <v>0.29 (0.14, 0.50)</v>
      </c>
      <c r="AN45" t="str">
        <f t="shared" si="3"/>
        <v>29 (14, 50)</v>
      </c>
      <c r="AO45">
        <f>SUM($I$2:I45)/SUM($I$2:$I$49)</f>
        <v>0.99632514663720029</v>
      </c>
      <c r="AP45">
        <f>SUM($P$2:P45)/SUM($P$2:$P$49)</f>
        <v>0.99665750028508426</v>
      </c>
      <c r="AQ45">
        <f t="shared" si="9"/>
        <v>5.3866462034900024</v>
      </c>
      <c r="AR45">
        <f t="shared" si="19"/>
        <v>0.13447277219485643</v>
      </c>
      <c r="AS45">
        <f t="shared" si="10"/>
        <v>1.1098073496123226</v>
      </c>
      <c r="AT45">
        <f t="shared" si="11"/>
        <v>-0.10750769910291925</v>
      </c>
      <c r="AU45">
        <f t="shared" si="12"/>
        <v>0</v>
      </c>
      <c r="AV45">
        <f t="shared" si="13"/>
        <v>1.3242750768718385</v>
      </c>
      <c r="AW45">
        <f t="shared" si="14"/>
        <v>-0.39813675386629299</v>
      </c>
      <c r="AX45">
        <f t="shared" si="15"/>
        <v>-0.88079702928534376</v>
      </c>
      <c r="AY45" t="str" cm="1">
        <f t="array" ref="AY45">_xlfn.IFS(Q45&gt;BG45, "Significant increase", R45&lt;BG45, "Significant decrease", AND(Q45&lt;=BG45, BG45&lt;=R45), "No significant change")</f>
        <v>No significant change</v>
      </c>
      <c r="AZ45">
        <f>SUMIF($P$2:P45, "&gt;0")/SUMIF($P$2:$P$49, "&gt;0")</f>
        <v>0.99665750028508426</v>
      </c>
      <c r="BA45">
        <f t="shared" si="4"/>
        <v>9.7759782247912916E-2</v>
      </c>
      <c r="BB45">
        <f t="shared" si="16"/>
        <v>0.27419319072535664</v>
      </c>
      <c r="BC45">
        <f t="shared" si="5"/>
        <v>0</v>
      </c>
      <c r="BD45">
        <f t="shared" si="17"/>
        <v>0.33700662313920504</v>
      </c>
      <c r="BE45">
        <f t="shared" si="6"/>
        <v>0.11807473665378418</v>
      </c>
      <c r="BF45">
        <f t="shared" si="7"/>
        <v>0.17296566723373905</v>
      </c>
      <c r="BG45">
        <f>VLOOKUP($A45,epa!$A$1:$H$49,2,FALSE)/25*1000</f>
        <v>38.285043480000006</v>
      </c>
      <c r="BH45">
        <f>VLOOKUP($A45,epa!$A$1:$H$49,3,FALSE)/25*1000</f>
        <v>7.5104301600000003</v>
      </c>
      <c r="BI45">
        <f>VLOOKUP($A45,epa!$A$1:$H$49,4,FALSE)/25*1000</f>
        <v>12.3950698</v>
      </c>
      <c r="BJ45">
        <f>VLOOKUP($A45,epa!$A$1:$H$49,5,FALSE)/25*1000</f>
        <v>0</v>
      </c>
      <c r="BK45">
        <f>VLOOKUP($A45,epa!$A$1:$H$49,6,FALSE)/25*1000</f>
        <v>8.0324924000000006</v>
      </c>
      <c r="BL45">
        <f>VLOOKUP($A45,epa!$A$1:$H$49,7,FALSE)/25*1000</f>
        <v>5.0979344800000002</v>
      </c>
      <c r="BM45">
        <f>VLOOKUP($A45,epa!$A$1:$H$49,8,FALSE)/25*1000</f>
        <v>5.2491166399999996</v>
      </c>
      <c r="BN45">
        <f t="shared" si="8"/>
        <v>7.1591260092041935</v>
      </c>
      <c r="BO45">
        <f>SUM($BG$2:BG45)/SUM($BG$2:$BG$49)</f>
        <v>0.99534492540304043</v>
      </c>
      <c r="BP45">
        <f t="shared" si="18"/>
        <v>1.1869953736096472</v>
      </c>
    </row>
    <row r="46" spans="1:68" x14ac:dyDescent="0.2">
      <c r="A46" t="str">
        <f>[1]summ_states!A46</f>
        <v>Maine</v>
      </c>
      <c r="B46">
        <f>[1]summ_states!B46</f>
        <v>87950.274891759997</v>
      </c>
      <c r="C46">
        <f>[1]summ_states!C46</f>
        <v>6.2129034590610797</v>
      </c>
      <c r="D46">
        <f>[1]summ_states!D46</f>
        <v>1.01802754921934</v>
      </c>
      <c r="E46">
        <f>[1]summ_states!E46</f>
        <v>0</v>
      </c>
      <c r="F46">
        <f>[1]summ_states!F46</f>
        <v>20.3093050157151</v>
      </c>
      <c r="G46">
        <f>[1]summ_states!G46</f>
        <v>9.5922875043776692</v>
      </c>
      <c r="H46">
        <f>[1]summ_states!H46</f>
        <v>1.66813122909845</v>
      </c>
      <c r="I46">
        <f>[1]summ_states!I46</f>
        <v>38.800654757471598</v>
      </c>
      <c r="J46">
        <f>[1]summ_states!J46</f>
        <v>6.1773544896504697</v>
      </c>
      <c r="K46">
        <f>[1]summ_states!K46</f>
        <v>1.01011787937622</v>
      </c>
      <c r="L46">
        <f>[1]summ_states!L46</f>
        <v>0</v>
      </c>
      <c r="M46">
        <f>[1]summ_states!M46</f>
        <v>19.6506034922118</v>
      </c>
      <c r="N46">
        <f>[1]summ_states!N46</f>
        <v>9.5734106710312794</v>
      </c>
      <c r="O46">
        <f>[1]summ_states!O46</f>
        <v>1.6599360671553101</v>
      </c>
      <c r="P46">
        <f>[1]summ_states!P46</f>
        <v>38.071422599425098</v>
      </c>
      <c r="Q46">
        <f>[1]summ_states!Q46</f>
        <v>37.268420804366897</v>
      </c>
      <c r="R46">
        <f>[1]summ_states!R46</f>
        <v>38.800654757471598</v>
      </c>
      <c r="S46">
        <f>[1]summ_states!S46</f>
        <v>0.98120567390924995</v>
      </c>
      <c r="T46">
        <f>[1]summ_states!T46</f>
        <v>0.96051010059798703</v>
      </c>
      <c r="U46">
        <f>[1]summ_states!U46</f>
        <v>1</v>
      </c>
      <c r="V46">
        <f>[1]summ_states!V46</f>
        <v>-0.72923215804650399</v>
      </c>
      <c r="W46">
        <f>[1]summ_states!W46</f>
        <v>-1.53223395310477</v>
      </c>
      <c r="X46">
        <f>[1]summ_states!X46</f>
        <v>0</v>
      </c>
      <c r="Y46">
        <f>[1]summ_states!Y46</f>
        <v>1.4615684874823101E-3</v>
      </c>
      <c r="Z46">
        <f>[1]summ_states!Z46</f>
        <v>0</v>
      </c>
      <c r="AA46">
        <f>[1]summ_states!AA46</f>
        <v>3.11765111341089E-3</v>
      </c>
      <c r="AB46">
        <f>[1]summ_states!AB46</f>
        <v>1344212</v>
      </c>
      <c r="AC46">
        <f>[1]summ_states!AC46</f>
        <v>41.986552392857099</v>
      </c>
      <c r="AD46">
        <f>[1]summ_states!AD46</f>
        <v>10.6235128928571</v>
      </c>
      <c r="AE46">
        <f>[1]summ_states!AE46</f>
        <v>3.77547167857142</v>
      </c>
      <c r="AF46">
        <f>[1]summ_states!AF46</f>
        <v>0</v>
      </c>
      <c r="AG46">
        <f>[1]summ_states!AG46</f>
        <v>12.9028960357142</v>
      </c>
      <c r="AH46">
        <f>[1]summ_states!AH46</f>
        <v>4.7429372142857096</v>
      </c>
      <c r="AI46">
        <f>[1]summ_states!AI46</f>
        <v>9.9417345357142803</v>
      </c>
      <c r="AJ46">
        <f>[1]summ_states!AJ46</f>
        <v>2.8322483804210301E-5</v>
      </c>
      <c r="AK46" t="str">
        <f t="shared" si="0"/>
        <v>38 (37, 39)</v>
      </c>
      <c r="AL46" t="str">
        <f t="shared" si="1"/>
        <v>0.98 (0.96, 1.00)</v>
      </c>
      <c r="AM46" t="str">
        <f t="shared" si="2"/>
        <v>0.00 (0.00, 0.00)</v>
      </c>
      <c r="AN46" t="str">
        <f t="shared" si="3"/>
        <v>0 (0, 0)</v>
      </c>
      <c r="AO46">
        <f>SUM($I$2:I46)/SUM($I$2:$I$49)</f>
        <v>0.99769679441599379</v>
      </c>
      <c r="AP46">
        <f>SUM($P$2:P46)/SUM($P$2:$P$49)</f>
        <v>0.99790932243112795</v>
      </c>
      <c r="AQ46">
        <f t="shared" si="9"/>
        <v>-3.9151297934320013</v>
      </c>
      <c r="AR46">
        <f t="shared" si="19"/>
        <v>-9.3247232037514394E-2</v>
      </c>
      <c r="AS46">
        <f t="shared" si="10"/>
        <v>0.95343437685556309</v>
      </c>
      <c r="AT46">
        <f t="shared" si="11"/>
        <v>-3.5757311043566149E-3</v>
      </c>
      <c r="AU46">
        <f t="shared" si="12"/>
        <v>0</v>
      </c>
      <c r="AV46">
        <f t="shared" si="13"/>
        <v>-1.7234952128068692</v>
      </c>
      <c r="AW46">
        <f t="shared" si="14"/>
        <v>0.26821645187535442</v>
      </c>
      <c r="AX46">
        <f t="shared" si="15"/>
        <v>0.54034878102001116</v>
      </c>
      <c r="AY46" t="str" cm="1">
        <f t="array" ref="AY46">_xlfn.IFS(Q46&gt;BG46, "Significant increase", R46&lt;BG46, "Significant decrease", AND(Q46&lt;=BG46, BG46&lt;=R46), "No significant change")</f>
        <v>Significant decrease</v>
      </c>
      <c r="AZ46">
        <f>SUMIF($P$2:P46, "&gt;0")/SUMIF($P$2:$P$49, "&gt;0")</f>
        <v>0.99790932243112795</v>
      </c>
      <c r="BA46">
        <f t="shared" si="4"/>
        <v>0.16225699140918762</v>
      </c>
      <c r="BB46">
        <f t="shared" si="16"/>
        <v>2.65321811061369E-2</v>
      </c>
      <c r="BC46">
        <f t="shared" si="5"/>
        <v>0</v>
      </c>
      <c r="BD46">
        <f t="shared" si="17"/>
        <v>0.5161510169706276</v>
      </c>
      <c r="BE46">
        <f t="shared" si="6"/>
        <v>0.25145923155432187</v>
      </c>
      <c r="BF46">
        <f t="shared" si="7"/>
        <v>4.3600578959725453E-2</v>
      </c>
      <c r="BG46">
        <f>VLOOKUP($A46,epa!$A$1:$H$49,2,FALSE)/25*1000</f>
        <v>40.172163999999995</v>
      </c>
      <c r="BH46">
        <f>VLOOKUP($A46,epa!$A$1:$H$49,3,FALSE)/25*1000</f>
        <v>10.623512879999998</v>
      </c>
      <c r="BI46">
        <f>VLOOKUP($A46,epa!$A$1:$H$49,4,FALSE)/25*1000</f>
        <v>3.7790691199999999</v>
      </c>
      <c r="BJ46">
        <f>VLOOKUP($A46,epa!$A$1:$H$49,5,FALSE)/25*1000</f>
        <v>0</v>
      </c>
      <c r="BK46">
        <f>VLOOKUP($A46,epa!$A$1:$H$49,6,FALSE)/25*1000</f>
        <v>12.758593880000001</v>
      </c>
      <c r="BL46">
        <f>VLOOKUP($A46,epa!$A$1:$H$49,7,FALSE)/25*1000</f>
        <v>3.1075718000000001</v>
      </c>
      <c r="BM46">
        <f>VLOOKUP($A46,epa!$A$1:$H$49,8,FALSE)/25*1000</f>
        <v>9.9034163199999998</v>
      </c>
      <c r="BN46">
        <f t="shared" si="8"/>
        <v>-2.100741400574897</v>
      </c>
      <c r="BO46">
        <f>SUM($BG$2:BG46)/SUM($BG$2:$BG$49)</f>
        <v>0.99686575938328592</v>
      </c>
      <c r="BP46">
        <f t="shared" si="18"/>
        <v>0.94770654126138443</v>
      </c>
    </row>
    <row r="47" spans="1:68" x14ac:dyDescent="0.2">
      <c r="A47" t="str">
        <f>[1]summ_states!A47</f>
        <v>New Hampshire</v>
      </c>
      <c r="B47">
        <f>[1]summ_states!B47</f>
        <v>24200.108732587101</v>
      </c>
      <c r="C47">
        <f>[1]summ_states!C47</f>
        <v>3.1366995913167601</v>
      </c>
      <c r="D47">
        <f>[1]summ_states!D47</f>
        <v>0.79080822376842597</v>
      </c>
      <c r="E47">
        <f>[1]summ_states!E47</f>
        <v>0</v>
      </c>
      <c r="F47">
        <f>[1]summ_states!F47</f>
        <v>16.836170183176598</v>
      </c>
      <c r="G47">
        <f>[1]summ_states!G47</f>
        <v>4.6144013293524004</v>
      </c>
      <c r="H47">
        <f>[1]summ_states!H47</f>
        <v>1.14982072760344</v>
      </c>
      <c r="I47">
        <f>[1]summ_states!I47</f>
        <v>26.5279000552177</v>
      </c>
      <c r="J47">
        <f>[1]summ_states!J47</f>
        <v>3.0609777544602101</v>
      </c>
      <c r="K47">
        <f>[1]summ_states!K47</f>
        <v>0.78006143422423202</v>
      </c>
      <c r="L47">
        <f>[1]summ_states!L47</f>
        <v>0</v>
      </c>
      <c r="M47">
        <f>[1]summ_states!M47</f>
        <v>15.560191926642601</v>
      </c>
      <c r="N47">
        <f>[1]summ_states!N47</f>
        <v>4.5802088671467098</v>
      </c>
      <c r="O47">
        <f>[1]summ_states!O47</f>
        <v>1.1098921077753201</v>
      </c>
      <c r="P47">
        <f>[1]summ_states!P47</f>
        <v>25.0913320902491</v>
      </c>
      <c r="Q47">
        <f>[1]summ_states!Q47</f>
        <v>23.296696456514901</v>
      </c>
      <c r="R47">
        <f>[1]summ_states!R47</f>
        <v>26.5279000552177</v>
      </c>
      <c r="S47">
        <f>[1]summ_states!S47</f>
        <v>0.94584690224336099</v>
      </c>
      <c r="T47">
        <f>[1]summ_states!T47</f>
        <v>0.87819602788094597</v>
      </c>
      <c r="U47">
        <f>[1]summ_states!U47</f>
        <v>1</v>
      </c>
      <c r="V47">
        <f>[1]summ_states!V47</f>
        <v>-1.4365679649685299</v>
      </c>
      <c r="W47">
        <f>[1]summ_states!W47</f>
        <v>-3.2312035987027801</v>
      </c>
      <c r="X47">
        <f>[1]summ_states!X47</f>
        <v>0</v>
      </c>
      <c r="Y47">
        <f>[1]summ_states!Y47</f>
        <v>3.57346634269552E-2</v>
      </c>
      <c r="Z47">
        <f>[1]summ_states!Z47</f>
        <v>0</v>
      </c>
      <c r="AA47">
        <f>[1]summ_states!AA47</f>
        <v>7.9794518685646201E-2</v>
      </c>
      <c r="AB47">
        <f>[1]summ_states!AB47</f>
        <v>1359711</v>
      </c>
      <c r="AC47">
        <f>[1]summ_states!AC47</f>
        <v>37.6058240357142</v>
      </c>
      <c r="AD47">
        <f>[1]summ_states!AD47</f>
        <v>4.33717114285714</v>
      </c>
      <c r="AE47">
        <f>[1]summ_states!AE47</f>
        <v>3.1894276785714202</v>
      </c>
      <c r="AF47">
        <f>[1]summ_states!AF47</f>
        <v>0</v>
      </c>
      <c r="AG47">
        <f>[1]summ_states!AG47</f>
        <v>20.684484321428499</v>
      </c>
      <c r="AH47">
        <f>[1]summ_states!AH47</f>
        <v>3.6350482142857099</v>
      </c>
      <c r="AI47">
        <f>[1]summ_states!AI47</f>
        <v>5.7596926428571402</v>
      </c>
      <c r="AJ47">
        <f>[1]summ_states!AJ47</f>
        <v>1.84534302438159E-5</v>
      </c>
      <c r="AK47" t="str">
        <f t="shared" si="0"/>
        <v>25 (23, 27)</v>
      </c>
      <c r="AL47" t="str">
        <f t="shared" si="1"/>
        <v>0.95 (0.88, 1.00)</v>
      </c>
      <c r="AM47" t="str">
        <f t="shared" si="2"/>
        <v>0.04 (0.00, 0.08)</v>
      </c>
      <c r="AN47" t="str">
        <f t="shared" si="3"/>
        <v>4 (0, 8)</v>
      </c>
      <c r="AO47">
        <f>SUM($I$2:I47)/SUM($I$2:$I$49)</f>
        <v>0.998634586198484</v>
      </c>
      <c r="AP47">
        <f>SUM($P$2:P47)/SUM($P$2:$P$49)</f>
        <v>0.99873434768733638</v>
      </c>
      <c r="AQ47">
        <f t="shared" si="9"/>
        <v>-12.5144919454651</v>
      </c>
      <c r="AR47">
        <f t="shared" si="19"/>
        <v>-0.33278068667183314</v>
      </c>
      <c r="AS47">
        <f t="shared" si="10"/>
        <v>0.22813445344028088</v>
      </c>
      <c r="AT47">
        <f t="shared" si="11"/>
        <v>-1.3146853756242725E-2</v>
      </c>
      <c r="AU47">
        <f t="shared" si="12"/>
        <v>0</v>
      </c>
      <c r="AV47">
        <f t="shared" si="13"/>
        <v>0.4094686717699953</v>
      </c>
      <c r="AW47">
        <f t="shared" si="14"/>
        <v>-1.9420502673913171E-2</v>
      </c>
      <c r="AX47">
        <f t="shared" si="15"/>
        <v>0.16617019531101823</v>
      </c>
      <c r="AY47" t="str" cm="1">
        <f t="array" ref="AY47">_xlfn.IFS(Q47&gt;BG47, "Significant increase", R47&lt;BG47, "Significant decrease", AND(Q47&lt;=BG47, BG47&lt;=R47), "No significant change")</f>
        <v>Significant decrease</v>
      </c>
      <c r="AZ47">
        <f>SUMIF($P$2:P47, "&gt;0")/SUMIF($P$2:$P$49, "&gt;0")</f>
        <v>0.99873434768733638</v>
      </c>
      <c r="BA47">
        <f t="shared" si="4"/>
        <v>0.12199343356703472</v>
      </c>
      <c r="BB47">
        <f t="shared" si="16"/>
        <v>3.1088880870034658E-2</v>
      </c>
      <c r="BC47">
        <f t="shared" si="5"/>
        <v>0</v>
      </c>
      <c r="BD47">
        <f t="shared" si="17"/>
        <v>0.62014212201549646</v>
      </c>
      <c r="BE47">
        <f t="shared" si="6"/>
        <v>0.18254147889289041</v>
      </c>
      <c r="BF47">
        <f t="shared" si="7"/>
        <v>4.4234084654542601E-2</v>
      </c>
      <c r="BG47">
        <f>VLOOKUP($A47,epa!$A$1:$H$49,2,FALSE)/25*1000</f>
        <v>36.412720279999995</v>
      </c>
      <c r="BH47">
        <f>VLOOKUP($A47,epa!$A$1:$H$49,3,FALSE)/25*1000</f>
        <v>4.3371711600000005</v>
      </c>
      <c r="BI47">
        <f>VLOOKUP($A47,epa!$A$1:$H$49,4,FALSE)/25*1000</f>
        <v>3.1953883599999999</v>
      </c>
      <c r="BJ47">
        <f>VLOOKUP($A47,epa!$A$1:$H$49,5,FALSE)/25*1000</f>
        <v>0</v>
      </c>
      <c r="BK47">
        <f>VLOOKUP($A47,epa!$A$1:$H$49,6,FALSE)/25*1000</f>
        <v>20.630851400000001</v>
      </c>
      <c r="BL47">
        <f>VLOOKUP($A47,epa!$A$1:$H$49,7,FALSE)/25*1000</f>
        <v>2.5110170399999996</v>
      </c>
      <c r="BM47">
        <f>VLOOKUP($A47,epa!$A$1:$H$49,8,FALSE)/25*1000</f>
        <v>5.7382922800000005</v>
      </c>
      <c r="BN47">
        <f t="shared" si="8"/>
        <v>-11.321388189750895</v>
      </c>
      <c r="BO47">
        <f>SUM($BG$2:BG47)/SUM($BG$2:$BG$49)</f>
        <v>0.99824426869921434</v>
      </c>
      <c r="BP47">
        <f t="shared" si="18"/>
        <v>0.689081504960527</v>
      </c>
    </row>
    <row r="48" spans="1:68" x14ac:dyDescent="0.2">
      <c r="A48" t="str">
        <f>[1]summ_states!A48</f>
        <v>Delaware</v>
      </c>
      <c r="B48">
        <f>[1]summ_states!B48</f>
        <v>6448.83409719464</v>
      </c>
      <c r="C48">
        <f>[1]summ_states!C48</f>
        <v>1.3224137184008899</v>
      </c>
      <c r="D48">
        <f>[1]summ_states!D48</f>
        <v>4.6832325719994401</v>
      </c>
      <c r="E48">
        <f>[1]summ_states!E48</f>
        <v>0</v>
      </c>
      <c r="F48">
        <f>[1]summ_states!F48</f>
        <v>5.2020690612051803</v>
      </c>
      <c r="G48">
        <f>[1]summ_states!G48</f>
        <v>3.6446277677913899</v>
      </c>
      <c r="H48">
        <f>[1]summ_states!H48</f>
        <v>1.71315795981358</v>
      </c>
      <c r="I48">
        <f>[1]summ_states!I48</f>
        <v>16.565501079210399</v>
      </c>
      <c r="J48">
        <f>[1]summ_states!J48</f>
        <v>1.6362443991467901</v>
      </c>
      <c r="K48">
        <f>[1]summ_states!K48</f>
        <v>5.2875478324782801</v>
      </c>
      <c r="L48">
        <f>[1]summ_states!L48</f>
        <v>0</v>
      </c>
      <c r="M48">
        <f>[1]summ_states!M48</f>
        <v>7.5184822771608601</v>
      </c>
      <c r="N48">
        <f>[1]summ_states!N48</f>
        <v>3.8760411618497499</v>
      </c>
      <c r="O48">
        <f>[1]summ_states!O48</f>
        <v>2.0689305299098502</v>
      </c>
      <c r="P48">
        <f>[1]summ_states!P48</f>
        <v>20.387246200545501</v>
      </c>
      <c r="Q48">
        <f>[1]summ_states!Q48</f>
        <v>19.457869301348399</v>
      </c>
      <c r="R48">
        <f>[1]summ_states!R48</f>
        <v>21.705032529924999</v>
      </c>
      <c r="S48">
        <f>[1]summ_states!S48</f>
        <v>1.2307050721291599</v>
      </c>
      <c r="T48">
        <f>[1]summ_states!T48</f>
        <v>1.17460191565033</v>
      </c>
      <c r="U48">
        <f>[1]summ_states!U48</f>
        <v>1.31025511550415</v>
      </c>
      <c r="V48">
        <f>[1]summ_states!V48</f>
        <v>3.8217451213350602</v>
      </c>
      <c r="W48">
        <f>[1]summ_states!W48</f>
        <v>2.8923682221379199</v>
      </c>
      <c r="X48">
        <f>[1]summ_states!X48</f>
        <v>5.1395314507145704</v>
      </c>
      <c r="Y48">
        <f>[1]summ_states!Y48</f>
        <v>0.129809241246468</v>
      </c>
      <c r="Z48">
        <f>[1]summ_states!Z48</f>
        <v>5.1289095830712103E-2</v>
      </c>
      <c r="AA48">
        <f>[1]summ_states!AA48</f>
        <v>0.23234070461027101</v>
      </c>
      <c r="AB48">
        <f>[1]summ_states!AB48</f>
        <v>973764</v>
      </c>
      <c r="AC48">
        <f>[1]summ_states!AC48</f>
        <v>32.008334571428499</v>
      </c>
      <c r="AD48">
        <f>[1]summ_states!AD48</f>
        <v>3.0720306785714202</v>
      </c>
      <c r="AE48">
        <f>[1]summ_states!AE48</f>
        <v>4.6674218571428501</v>
      </c>
      <c r="AF48">
        <f>[1]summ_states!AF48</f>
        <v>0</v>
      </c>
      <c r="AG48">
        <f>[1]summ_states!AG48</f>
        <v>17.342848428571401</v>
      </c>
      <c r="AH48">
        <f>[1]summ_states!AH48</f>
        <v>5.4727333214285698</v>
      </c>
      <c r="AI48">
        <f>[1]summ_states!AI48</f>
        <v>1.45330028571428</v>
      </c>
      <c r="AJ48">
        <f>[1]summ_states!AJ48</f>
        <v>2.09365371902694E-5</v>
      </c>
      <c r="AK48" t="str">
        <f t="shared" si="0"/>
        <v>20 (19, 22)</v>
      </c>
      <c r="AL48" t="str">
        <f t="shared" si="1"/>
        <v>1.23 (1.17, 1.31)</v>
      </c>
      <c r="AM48" t="str">
        <f t="shared" si="2"/>
        <v>0.13 (0.05, 0.23)</v>
      </c>
      <c r="AN48" t="str">
        <f t="shared" si="3"/>
        <v>13 (5, 23)</v>
      </c>
      <c r="AO48">
        <f>SUM($I$1:I49)/SUM($I$2:$I$49)</f>
        <v>1</v>
      </c>
      <c r="AP48">
        <f>SUM($P$1:P49)/SUM($P$2:$P$49)</f>
        <v>1</v>
      </c>
      <c r="AQ48">
        <f t="shared" si="9"/>
        <v>-11.621088370882998</v>
      </c>
      <c r="AR48">
        <f t="shared" si="19"/>
        <v>-0.36306444950923167</v>
      </c>
      <c r="AS48">
        <f t="shared" si="10"/>
        <v>1.5935296509256208E-2</v>
      </c>
      <c r="AT48">
        <f t="shared" si="11"/>
        <v>0.21594345217626931</v>
      </c>
      <c r="AU48">
        <f t="shared" si="12"/>
        <v>0</v>
      </c>
      <c r="AV48">
        <f t="shared" si="13"/>
        <v>0.84539122652451371</v>
      </c>
      <c r="AW48">
        <f t="shared" si="14"/>
        <v>-6.9185471929875619E-2</v>
      </c>
      <c r="AX48">
        <f t="shared" si="15"/>
        <v>0.2236013740110265</v>
      </c>
      <c r="AY48" t="str" cm="1">
        <f t="array" ref="AY48">_xlfn.IFS(Q48&gt;BG48, "Significant increase", R48&lt;BG48, "Significant decrease", AND(Q48&lt;=BG48, BG48&lt;=R48), "No significant change")</f>
        <v>Significant decrease</v>
      </c>
      <c r="AZ48">
        <f>SUMIF($P$2:P48, "&gt;0")/SUMIF($P$2:$P$49, "&gt;0")</f>
        <v>0.99940469842676671</v>
      </c>
      <c r="BA48">
        <f t="shared" si="4"/>
        <v>8.0258235126576788E-2</v>
      </c>
      <c r="BB48">
        <f t="shared" si="16"/>
        <v>0.25935566679607769</v>
      </c>
      <c r="BC48">
        <f t="shared" si="5"/>
        <v>0</v>
      </c>
      <c r="BD48">
        <f t="shared" si="17"/>
        <v>0.3687836112441556</v>
      </c>
      <c r="BE48">
        <f t="shared" si="6"/>
        <v>0.19012087869650776</v>
      </c>
      <c r="BF48">
        <f t="shared" si="7"/>
        <v>0.1014816081366836</v>
      </c>
      <c r="BG48">
        <f>VLOOKUP($A48,epa!$A$1:$H$49,2,FALSE)/25*1000</f>
        <v>31.267038480000004</v>
      </c>
      <c r="BH48">
        <f>VLOOKUP($A48,epa!$A$1:$H$49,3,FALSE)/25*1000</f>
        <v>3.0720306800000001</v>
      </c>
      <c r="BI48">
        <f>VLOOKUP($A48,epa!$A$1:$H$49,4,FALSE)/25*1000</f>
        <v>4.5870025999999999</v>
      </c>
      <c r="BJ48">
        <f>VLOOKUP($A48,epa!$A$1:$H$49,5,FALSE)/25*1000</f>
        <v>0</v>
      </c>
      <c r="BK48">
        <f>VLOOKUP($A48,epa!$A$1:$H$49,6,FALSE)/25*1000</f>
        <v>16.745229399999999</v>
      </c>
      <c r="BL48">
        <f>VLOOKUP($A48,epa!$A$1:$H$49,7,FALSE)/25*1000</f>
        <v>5.3765203600000007</v>
      </c>
      <c r="BM48">
        <f>VLOOKUP($A48,epa!$A$1:$H$49,8,FALSE)/25*1000</f>
        <v>1.4862554399999999</v>
      </c>
      <c r="BN48">
        <f t="shared" si="8"/>
        <v>-10.879792279454502</v>
      </c>
      <c r="BO48">
        <f>SUM($BG$2:BG48)/SUM($BG$2:$BG$49)</f>
        <v>0.99942797328087507</v>
      </c>
      <c r="BP48">
        <f t="shared" si="18"/>
        <v>0.65203636774190254</v>
      </c>
    </row>
    <row r="49" spans="1:68" x14ac:dyDescent="0.2">
      <c r="A49" t="str">
        <f>[1]summ_states!A49</f>
        <v>Rhode Island</v>
      </c>
      <c r="B49">
        <f>[1]summ_states!B49</f>
        <v>3491.1397030958801</v>
      </c>
      <c r="C49">
        <f>[1]summ_states!C49</f>
        <v>1.11975951440487</v>
      </c>
      <c r="D49">
        <f>[1]summ_states!D49</f>
        <v>2.2741381932620799</v>
      </c>
      <c r="E49">
        <f>[1]summ_states!E49</f>
        <v>0</v>
      </c>
      <c r="F49">
        <f>[1]summ_states!F49</f>
        <v>13.2243279095097</v>
      </c>
      <c r="G49">
        <f>[1]summ_states!G49</f>
        <v>0.98800608565131998</v>
      </c>
      <c r="H49">
        <f>[1]summ_states!H49</f>
        <v>4.4525775786792696</v>
      </c>
      <c r="I49">
        <f>[1]summ_states!I49</f>
        <v>22.058809281507202</v>
      </c>
      <c r="J49">
        <f>[1]summ_states!J49</f>
        <v>0.91372897187675295</v>
      </c>
      <c r="K49">
        <f>[1]summ_states!K49</f>
        <v>1.6327339810494701</v>
      </c>
      <c r="L49">
        <f>[1]summ_states!L49</f>
        <v>0</v>
      </c>
      <c r="M49">
        <f>[1]summ_states!M49</f>
        <v>11.0856568588017</v>
      </c>
      <c r="N49">
        <f>[1]summ_states!N49</f>
        <v>0.94395116855911798</v>
      </c>
      <c r="O49">
        <f>[1]summ_states!O49</f>
        <v>3.52871957665994</v>
      </c>
      <c r="P49">
        <f>[1]summ_states!P49</f>
        <v>18.104790556946998</v>
      </c>
      <c r="Q49">
        <f>[1]summ_states!Q49</f>
        <v>13.677097024002901</v>
      </c>
      <c r="R49">
        <f>[1]summ_states!R49</f>
        <v>20.935723376656298</v>
      </c>
      <c r="S49">
        <f>[1]summ_states!S49</f>
        <v>0.82075103537546401</v>
      </c>
      <c r="T49">
        <f>[1]summ_states!T49</f>
        <v>0.62002879890117102</v>
      </c>
      <c r="U49">
        <f>[1]summ_states!U49</f>
        <v>0.94908673942829402</v>
      </c>
      <c r="V49">
        <f>[1]summ_states!V49</f>
        <v>-3.9540187245602598</v>
      </c>
      <c r="W49">
        <f>[1]summ_states!W49</f>
        <v>-8.3817122575042902</v>
      </c>
      <c r="X49">
        <f>[1]summ_states!X49</f>
        <v>-1.1230859048509201</v>
      </c>
      <c r="Y49">
        <f>[1]summ_states!Y49</f>
        <v>0.19987597359896001</v>
      </c>
      <c r="Z49">
        <f>[1]summ_states!Z49</f>
        <v>0.103426608904693</v>
      </c>
      <c r="AA49">
        <f>[1]summ_states!AA49</f>
        <v>0.34254606989678898</v>
      </c>
      <c r="AB49">
        <f>[1]summ_states!AB49</f>
        <v>1059361</v>
      </c>
      <c r="AC49">
        <f>[1]summ_states!AC49</f>
        <v>15.6434844285714</v>
      </c>
      <c r="AD49">
        <f>[1]summ_states!AD49</f>
        <v>0.45921271428571397</v>
      </c>
      <c r="AE49">
        <f>[1]summ_states!AE49</f>
        <v>5.0039529285714197</v>
      </c>
      <c r="AF49">
        <f>[1]summ_states!AF49</f>
        <v>0</v>
      </c>
      <c r="AG49">
        <f>[1]summ_states!AG49</f>
        <v>5.9006133928571396</v>
      </c>
      <c r="AH49">
        <f>[1]summ_states!AH49</f>
        <v>2.08968953571428</v>
      </c>
      <c r="AI49">
        <f>[1]summ_states!AI49</f>
        <v>2.1900158214285699</v>
      </c>
      <c r="AJ49">
        <f>[1]summ_states!AJ49</f>
        <v>1.7090293636396801E-5</v>
      </c>
      <c r="AK49" t="str">
        <f t="shared" si="0"/>
        <v>18 (14, 21)</v>
      </c>
      <c r="AL49" t="str">
        <f t="shared" si="1"/>
        <v>0.82 (0.62, 0.95)</v>
      </c>
      <c r="AM49" t="str">
        <f t="shared" si="2"/>
        <v>0.20 (0.10, 0.34)</v>
      </c>
      <c r="AN49" t="str">
        <f t="shared" si="3"/>
        <v>20 (10, 34)</v>
      </c>
      <c r="AO49">
        <f>SUM($I$2:I49)/SUM($I$2:$I$49)</f>
        <v>1</v>
      </c>
      <c r="AP49">
        <f>SUM($P$2:P49)/SUM($P$2:$P$49)</f>
        <v>1</v>
      </c>
      <c r="AQ49">
        <f t="shared" si="9"/>
        <v>2.4613061283755986</v>
      </c>
      <c r="AR49">
        <f t="shared" si="19"/>
        <v>0.15733746145968908</v>
      </c>
      <c r="AS49">
        <f t="shared" si="10"/>
        <v>-0.18565571726195199</v>
      </c>
      <c r="AT49">
        <f t="shared" si="11"/>
        <v>-9.4077193649551444E-2</v>
      </c>
      <c r="AU49">
        <f t="shared" si="12"/>
        <v>0</v>
      </c>
      <c r="AV49">
        <f t="shared" si="13"/>
        <v>2.1066227423593835</v>
      </c>
      <c r="AW49">
        <f t="shared" si="14"/>
        <v>0.19694358563732153</v>
      </c>
      <c r="AX49">
        <f t="shared" si="15"/>
        <v>-0.59937012097113551</v>
      </c>
      <c r="AY49" t="str" cm="1">
        <f t="array" ref="AY49">_xlfn.IFS(Q49&gt;BG49, "Significant increase", R49&lt;BG49, "Significant decrease", AND(Q49&lt;=BG49, BG49&lt;=R49), "No significant change")</f>
        <v>No significant change</v>
      </c>
      <c r="AZ49">
        <f>SUMIF($P$2:P49, "&gt;0")/SUMIF($P$2:$P$49, "&gt;0")</f>
        <v>1</v>
      </c>
      <c r="BA49">
        <f t="shared" si="4"/>
        <v>5.0468905950759292E-2</v>
      </c>
      <c r="BB49">
        <f t="shared" si="16"/>
        <v>9.018242856297351E-2</v>
      </c>
      <c r="BC49">
        <f t="shared" si="5"/>
        <v>0</v>
      </c>
      <c r="BD49">
        <f t="shared" si="17"/>
        <v>0.61230516994564277</v>
      </c>
      <c r="BE49">
        <f t="shared" si="6"/>
        <v>5.2138198759604765E-2</v>
      </c>
      <c r="BF49">
        <f t="shared" si="7"/>
        <v>0.19490529678101873</v>
      </c>
      <c r="BG49">
        <f>VLOOKUP($A49,epa!$A$1:$H$49,2,FALSE)/25*1000</f>
        <v>15.109835439999998</v>
      </c>
      <c r="BH49">
        <f>VLOOKUP($A49,epa!$A$1:$H$49,3,FALSE)/25*1000</f>
        <v>0.45921272000000002</v>
      </c>
      <c r="BI49">
        <f>VLOOKUP($A49,epa!$A$1:$H$49,4,FALSE)/25*1000</f>
        <v>4.9447323599999997</v>
      </c>
      <c r="BJ49">
        <f>VLOOKUP($A49,epa!$A$1:$H$49,5,FALSE)/25*1000</f>
        <v>0</v>
      </c>
      <c r="BK49">
        <f>VLOOKUP($A49,epa!$A$1:$H$49,6,FALSE)/25*1000</f>
        <v>5.7757639599999999</v>
      </c>
      <c r="BL49">
        <f>VLOOKUP($A49,epa!$A$1:$H$49,7,FALSE)/25*1000</f>
        <v>1.7573219200000001</v>
      </c>
      <c r="BM49">
        <f>VLOOKUP($A49,epa!$A$1:$H$49,8,FALSE)/25*1000</f>
        <v>2.1728044399999997</v>
      </c>
      <c r="BN49">
        <f t="shared" si="8"/>
        <v>2.9949551169470006</v>
      </c>
      <c r="BO49">
        <f>SUM($BG$2:BG49)/SUM($BG$2:$BG$49)</f>
        <v>1</v>
      </c>
      <c r="BP49">
        <f t="shared" si="18"/>
        <v>1.1982122921748379</v>
      </c>
    </row>
    <row r="57" spans="1:68" x14ac:dyDescent="0.2">
      <c r="AX57">
        <f>AVERAGE(AX2:AX11)</f>
        <v>0.48090455399253501</v>
      </c>
    </row>
  </sheetData>
  <sortState xmlns:xlrd2="http://schemas.microsoft.com/office/spreadsheetml/2017/richdata2" ref="A1:BN49">
    <sortCondition descending="1" ref="P1:P4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DF93-320A-7A4D-802B-4517FCDE916D}">
  <dimension ref="A1:I49"/>
  <sheetViews>
    <sheetView workbookViewId="0">
      <selection sqref="A1:H49"/>
    </sheetView>
  </sheetViews>
  <sheetFormatPr baseColWidth="10" defaultRowHeight="16" x14ac:dyDescent="0.2"/>
  <sheetData>
    <row r="1" spans="1:9" x14ac:dyDescent="0.2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">
      <c r="A2" t="s">
        <v>56</v>
      </c>
      <c r="B2">
        <v>15.129258009999999</v>
      </c>
      <c r="C2">
        <v>2.543587214</v>
      </c>
      <c r="D2">
        <v>3.0416062859999999</v>
      </c>
      <c r="E2">
        <v>4.5866979209999998</v>
      </c>
      <c r="F2">
        <v>4.191494434</v>
      </c>
      <c r="G2">
        <v>0.51675015899999999</v>
      </c>
      <c r="H2">
        <v>0.24912199400000001</v>
      </c>
      <c r="I2">
        <f>SUM($B$2:$B2)/SUM($B$2:$B$49)</f>
        <v>2.2910480677625265E-2</v>
      </c>
    </row>
    <row r="3" spans="1:9" x14ac:dyDescent="0.2">
      <c r="A3" t="s">
        <v>72</v>
      </c>
      <c r="B3">
        <v>14.21083372</v>
      </c>
      <c r="C3">
        <v>3.0925790740000001</v>
      </c>
      <c r="D3">
        <v>3.3880236859999999</v>
      </c>
      <c r="E3">
        <v>0</v>
      </c>
      <c r="F3">
        <v>1.5356419670000001</v>
      </c>
      <c r="G3">
        <v>0.37530026999999999</v>
      </c>
      <c r="H3">
        <v>5.8192887239999997</v>
      </c>
      <c r="I3">
        <f>SUM($B$2:$B3)/SUM($B$2:$B$49)</f>
        <v>4.4430176563557584E-2</v>
      </c>
    </row>
    <row r="4" spans="1:9" x14ac:dyDescent="0.2">
      <c r="A4" t="s">
        <v>77</v>
      </c>
      <c r="B4">
        <v>6.4847183380000004</v>
      </c>
      <c r="C4">
        <v>3.015362203</v>
      </c>
      <c r="D4">
        <v>1.2515704649999999</v>
      </c>
      <c r="E4">
        <v>2.4648896E-2</v>
      </c>
      <c r="F4">
        <v>1.754317506</v>
      </c>
      <c r="G4">
        <v>0.28268105999999998</v>
      </c>
      <c r="H4">
        <v>0.156138207</v>
      </c>
      <c r="I4">
        <f>SUM($B$2:$B4)/SUM($B$2:$B$49)</f>
        <v>5.4250090671995162E-2</v>
      </c>
    </row>
    <row r="5" spans="1:9" x14ac:dyDescent="0.2">
      <c r="A5" t="s">
        <v>45</v>
      </c>
      <c r="B5">
        <v>42.46057184</v>
      </c>
      <c r="C5">
        <v>18.990144780000001</v>
      </c>
      <c r="D5">
        <v>7.7228507779999997</v>
      </c>
      <c r="E5">
        <v>0</v>
      </c>
      <c r="F5">
        <v>8.6986886220000006</v>
      </c>
      <c r="G5">
        <v>1.6268575620000001</v>
      </c>
      <c r="H5">
        <v>5.4220300999999997</v>
      </c>
      <c r="I5">
        <f>SUM($B$2:$B5)/SUM($B$2:$B$49)</f>
        <v>0.11854882297322583</v>
      </c>
    </row>
    <row r="6" spans="1:9" x14ac:dyDescent="0.2">
      <c r="A6" t="s">
        <v>49</v>
      </c>
      <c r="B6">
        <v>20.394927979999999</v>
      </c>
      <c r="C6">
        <v>6.5710978979999997</v>
      </c>
      <c r="D6">
        <v>9.787648871</v>
      </c>
      <c r="E6">
        <v>1.625415133</v>
      </c>
      <c r="F6">
        <v>1.8053256070000001</v>
      </c>
      <c r="G6">
        <v>0.35163127</v>
      </c>
      <c r="H6">
        <v>0.25380920099999998</v>
      </c>
      <c r="I6">
        <f>SUM($B$2:$B6)/SUM($B$2:$B$49)</f>
        <v>0.14943319305261143</v>
      </c>
    </row>
    <row r="7" spans="1:9" x14ac:dyDescent="0.2">
      <c r="A7" t="s">
        <v>87</v>
      </c>
      <c r="B7">
        <v>0.95712608700000001</v>
      </c>
      <c r="C7">
        <v>0.187760754</v>
      </c>
      <c r="D7">
        <v>0.30987674500000001</v>
      </c>
      <c r="E7">
        <v>0</v>
      </c>
      <c r="F7">
        <v>0.20081230999999999</v>
      </c>
      <c r="G7">
        <v>0.12744836200000001</v>
      </c>
      <c r="H7">
        <v>0.131227916</v>
      </c>
      <c r="I7">
        <f>SUM($B$2:$B7)/SUM($B$2:$B$49)</f>
        <v>0.15088258460292875</v>
      </c>
    </row>
    <row r="8" spans="1:9" x14ac:dyDescent="0.2">
      <c r="A8" t="s">
        <v>89</v>
      </c>
      <c r="B8">
        <v>0.781675962</v>
      </c>
      <c r="C8">
        <v>7.6800767000000006E-2</v>
      </c>
      <c r="D8">
        <v>0.11467506500000001</v>
      </c>
      <c r="E8">
        <v>0</v>
      </c>
      <c r="F8">
        <v>0.41863073499999998</v>
      </c>
      <c r="G8">
        <v>0.134413009</v>
      </c>
      <c r="H8">
        <v>3.7156386E-2</v>
      </c>
      <c r="I8">
        <f>SUM($B$2:$B8)/SUM($B$2:$B$49)</f>
        <v>0.15206628918458953</v>
      </c>
    </row>
    <row r="9" spans="1:9" x14ac:dyDescent="0.2">
      <c r="A9" t="s">
        <v>60</v>
      </c>
      <c r="B9">
        <v>14.546113330000001</v>
      </c>
      <c r="C9">
        <v>3.8661585239999998</v>
      </c>
      <c r="D9">
        <v>1.402989587</v>
      </c>
      <c r="E9">
        <v>0</v>
      </c>
      <c r="F9">
        <v>7.7846956709999997</v>
      </c>
      <c r="G9">
        <v>0.94366152299999995</v>
      </c>
      <c r="H9">
        <v>0.54860802900000005</v>
      </c>
      <c r="I9">
        <f>SUM($B$2:$B9)/SUM($B$2:$B$49)</f>
        <v>0.17409370441944363</v>
      </c>
    </row>
    <row r="10" spans="1:9" x14ac:dyDescent="0.2">
      <c r="A10" t="s">
        <v>67</v>
      </c>
      <c r="B10">
        <v>11.55103955</v>
      </c>
      <c r="C10">
        <v>2.8407193990000001</v>
      </c>
      <c r="D10">
        <v>1.267905284</v>
      </c>
      <c r="E10">
        <v>0</v>
      </c>
      <c r="F10">
        <v>6.3984687459999998</v>
      </c>
      <c r="G10">
        <v>0.69846452400000003</v>
      </c>
      <c r="H10">
        <v>0.34548159299999998</v>
      </c>
      <c r="I10">
        <f>SUM($B$2:$B10)/SUM($B$2:$B$49)</f>
        <v>0.19158563087359234</v>
      </c>
    </row>
    <row r="11" spans="1:9" x14ac:dyDescent="0.2">
      <c r="A11" t="s">
        <v>51</v>
      </c>
      <c r="B11">
        <v>17.614546300000001</v>
      </c>
      <c r="C11">
        <v>13.885381990000001</v>
      </c>
      <c r="D11">
        <v>1.432822703</v>
      </c>
      <c r="E11">
        <v>0</v>
      </c>
      <c r="F11">
        <v>1.5690568170000001</v>
      </c>
      <c r="G11">
        <v>0.58238374999999998</v>
      </c>
      <c r="H11">
        <v>0.14490103600000001</v>
      </c>
      <c r="I11">
        <f>SUM($B$2:$B11)/SUM($B$2:$B$49)</f>
        <v>0.21825962389985612</v>
      </c>
    </row>
    <row r="12" spans="1:9" x14ac:dyDescent="0.2">
      <c r="A12" t="s">
        <v>70</v>
      </c>
      <c r="B12">
        <v>9.0540601160000005</v>
      </c>
      <c r="C12">
        <v>7.9045272960000004</v>
      </c>
      <c r="D12">
        <v>0.32429401299999999</v>
      </c>
      <c r="E12">
        <v>0</v>
      </c>
      <c r="F12">
        <v>0.49246395199999998</v>
      </c>
      <c r="G12">
        <v>0.126151555</v>
      </c>
      <c r="H12">
        <v>0.20662329900000001</v>
      </c>
      <c r="I12">
        <f>SUM($B$2:$B12)/SUM($B$2:$B$49)</f>
        <v>0.23197033391647218</v>
      </c>
    </row>
    <row r="13" spans="1:9" x14ac:dyDescent="0.2">
      <c r="A13" t="s">
        <v>55</v>
      </c>
      <c r="B13">
        <v>15.68108436</v>
      </c>
      <c r="C13">
        <v>3.990774225</v>
      </c>
      <c r="D13">
        <v>3.5762241000000001</v>
      </c>
      <c r="E13">
        <v>3.1406494239999998</v>
      </c>
      <c r="F13">
        <v>3.919730886</v>
      </c>
      <c r="G13">
        <v>0.61854906700000001</v>
      </c>
      <c r="H13">
        <v>0.43515665999999997</v>
      </c>
      <c r="I13">
        <f>SUM($B$2:$B13)/SUM($B$2:$B$49)</f>
        <v>0.25571645418202194</v>
      </c>
    </row>
    <row r="14" spans="1:9" x14ac:dyDescent="0.2">
      <c r="A14" t="s">
        <v>65</v>
      </c>
      <c r="B14">
        <v>12.224762849999999</v>
      </c>
      <c r="C14">
        <v>3.5114514300000002</v>
      </c>
      <c r="D14">
        <v>1.8384502039999999</v>
      </c>
      <c r="E14">
        <v>3.2974487180000001</v>
      </c>
      <c r="F14">
        <v>2.886772412</v>
      </c>
      <c r="G14">
        <v>0.37691100599999999</v>
      </c>
      <c r="H14">
        <v>0.313729076</v>
      </c>
      <c r="I14">
        <f>SUM($B$2:$B14)/SUM($B$2:$B$49)</f>
        <v>0.27422861075165372</v>
      </c>
    </row>
    <row r="15" spans="1:9" x14ac:dyDescent="0.2">
      <c r="A15" t="s">
        <v>48</v>
      </c>
      <c r="B15">
        <v>23.503008019999999</v>
      </c>
      <c r="C15">
        <v>12.26067375</v>
      </c>
      <c r="D15">
        <v>9.3125349649999993</v>
      </c>
      <c r="E15">
        <v>0</v>
      </c>
      <c r="F15">
        <v>1.3494317899999999</v>
      </c>
      <c r="G15">
        <v>0.4562156</v>
      </c>
      <c r="H15">
        <v>0.124151922</v>
      </c>
      <c r="I15">
        <f>SUM($B$2:$B15)/SUM($B$2:$B$49)</f>
        <v>0.3098195968233019</v>
      </c>
    </row>
    <row r="16" spans="1:9" x14ac:dyDescent="0.2">
      <c r="A16" t="s">
        <v>61</v>
      </c>
      <c r="B16">
        <v>13.409694979999999</v>
      </c>
      <c r="C16">
        <v>3.861133084</v>
      </c>
      <c r="D16">
        <v>3.708680288</v>
      </c>
      <c r="E16">
        <v>1.5238930580000001</v>
      </c>
      <c r="F16">
        <v>3.8053101699999998</v>
      </c>
      <c r="G16">
        <v>0.274852445</v>
      </c>
      <c r="H16">
        <v>0.23582594000000001</v>
      </c>
      <c r="I16">
        <f>SUM($B$2:$B16)/SUM($B$2:$B$49)</f>
        <v>0.33012611532732067</v>
      </c>
    </row>
    <row r="17" spans="1:9" x14ac:dyDescent="0.2">
      <c r="A17" t="s">
        <v>52</v>
      </c>
      <c r="B17">
        <v>19.145306890000001</v>
      </c>
      <c r="C17">
        <v>1.5417652630000001</v>
      </c>
      <c r="D17">
        <v>11.082682739999999</v>
      </c>
      <c r="E17">
        <v>1.7253474000000001E-2</v>
      </c>
      <c r="F17">
        <v>3.2852143890000001</v>
      </c>
      <c r="G17">
        <v>0.25076758100000002</v>
      </c>
      <c r="H17">
        <v>2.9676234369999999</v>
      </c>
      <c r="I17">
        <f>SUM($B$2:$B17)/SUM($B$2:$B$49)</f>
        <v>0.3591181639314644</v>
      </c>
    </row>
    <row r="18" spans="1:9" x14ac:dyDescent="0.2">
      <c r="A18" t="s">
        <v>84</v>
      </c>
      <c r="B18">
        <v>1.9097289399999999</v>
      </c>
      <c r="C18">
        <v>9.6809656999999993E-2</v>
      </c>
      <c r="D18">
        <v>0.72494930199999996</v>
      </c>
      <c r="E18">
        <v>0</v>
      </c>
      <c r="F18">
        <v>0.60884799300000003</v>
      </c>
      <c r="G18">
        <v>0.24481554799999999</v>
      </c>
      <c r="H18">
        <v>0.234306441</v>
      </c>
      <c r="I18">
        <f>SUM($B$2:$B18)/SUM($B$2:$B$49)</f>
        <v>0.36201009742552287</v>
      </c>
    </row>
    <row r="19" spans="1:9" x14ac:dyDescent="0.2">
      <c r="A19" t="s">
        <v>82</v>
      </c>
      <c r="B19">
        <v>2.7128000590000001</v>
      </c>
      <c r="C19">
        <v>0.58375269200000002</v>
      </c>
      <c r="D19">
        <v>0.46519155600000001</v>
      </c>
      <c r="E19">
        <v>5.9901878999999998E-2</v>
      </c>
      <c r="F19">
        <v>1.1032677</v>
      </c>
      <c r="G19">
        <v>0.30223829200000002</v>
      </c>
      <c r="H19">
        <v>0.19844794099999999</v>
      </c>
      <c r="I19">
        <f>SUM($B$2:$B19)/SUM($B$2:$B$49)</f>
        <v>0.36611813453434205</v>
      </c>
    </row>
    <row r="20" spans="1:9" x14ac:dyDescent="0.2">
      <c r="A20" t="s">
        <v>86</v>
      </c>
      <c r="B20">
        <v>1.0043040999999999</v>
      </c>
      <c r="C20">
        <v>0.26558782199999997</v>
      </c>
      <c r="D20">
        <v>9.4476727999999996E-2</v>
      </c>
      <c r="E20">
        <v>0</v>
      </c>
      <c r="F20">
        <v>0.318964847</v>
      </c>
      <c r="G20">
        <v>7.7689295000000005E-2</v>
      </c>
      <c r="H20">
        <v>0.24758540800000001</v>
      </c>
      <c r="I20">
        <f>SUM($B$2:$B20)/SUM($B$2:$B$49)</f>
        <v>0.36763896851458761</v>
      </c>
    </row>
    <row r="21" spans="1:9" x14ac:dyDescent="0.2">
      <c r="A21" t="s">
        <v>59</v>
      </c>
      <c r="B21">
        <v>14.561601359999999</v>
      </c>
      <c r="C21">
        <v>4.5386749350000004</v>
      </c>
      <c r="D21">
        <v>3.9888238399999998</v>
      </c>
      <c r="E21">
        <v>0</v>
      </c>
      <c r="F21">
        <v>4.9078685379999998</v>
      </c>
      <c r="G21">
        <v>0.43921525</v>
      </c>
      <c r="H21">
        <v>0.68701879700000001</v>
      </c>
      <c r="I21">
        <f>SUM($B$2:$B21)/SUM($B$2:$B$49)</f>
        <v>0.38968983752436015</v>
      </c>
    </row>
    <row r="22" spans="1:9" x14ac:dyDescent="0.2">
      <c r="A22" t="s">
        <v>68</v>
      </c>
      <c r="B22">
        <v>10.64479719</v>
      </c>
      <c r="C22">
        <v>7.3708492720000001</v>
      </c>
      <c r="D22">
        <v>1.1878238080000001</v>
      </c>
      <c r="E22">
        <v>0</v>
      </c>
      <c r="F22">
        <v>1.2894639510000001</v>
      </c>
      <c r="G22">
        <v>0.41100850999999999</v>
      </c>
      <c r="H22">
        <v>0.38565165299999998</v>
      </c>
      <c r="I22">
        <f>SUM($B$2:$B22)/SUM($B$2:$B$49)</f>
        <v>0.4058094264809064</v>
      </c>
    </row>
    <row r="23" spans="1:9" x14ac:dyDescent="0.2">
      <c r="A23" t="s">
        <v>66</v>
      </c>
      <c r="B23">
        <v>12.4372343</v>
      </c>
      <c r="C23">
        <v>8.2792308479999992</v>
      </c>
      <c r="D23">
        <v>1.047361727</v>
      </c>
      <c r="E23">
        <v>5.7048289999999998E-3</v>
      </c>
      <c r="F23">
        <v>1.60416249</v>
      </c>
      <c r="G23">
        <v>0.40540784400000002</v>
      </c>
      <c r="H23">
        <v>1.095366565</v>
      </c>
      <c r="I23">
        <f>SUM($B$2:$B23)/SUM($B$2:$B$49)</f>
        <v>0.42464333201182597</v>
      </c>
    </row>
    <row r="24" spans="1:9" x14ac:dyDescent="0.2">
      <c r="A24" t="s">
        <v>78</v>
      </c>
      <c r="B24">
        <v>7.2708633100000002</v>
      </c>
      <c r="C24">
        <v>1.9148487890000001</v>
      </c>
      <c r="D24">
        <v>2.1782162679999999</v>
      </c>
      <c r="E24">
        <v>7.2766660999999996E-2</v>
      </c>
      <c r="F24">
        <v>1.836257684</v>
      </c>
      <c r="G24">
        <v>0.26655813699999997</v>
      </c>
      <c r="H24">
        <v>1.002215772</v>
      </c>
      <c r="I24">
        <f>SUM($B$2:$B24)/SUM($B$2:$B$49)</f>
        <v>0.43565371819621818</v>
      </c>
    </row>
    <row r="25" spans="1:9" x14ac:dyDescent="0.2">
      <c r="A25" t="s">
        <v>71</v>
      </c>
      <c r="B25">
        <v>8.600255143</v>
      </c>
      <c r="C25">
        <v>5.3662500480000004</v>
      </c>
      <c r="D25">
        <v>2.1659124439999999</v>
      </c>
      <c r="E25">
        <v>0.49975443899999999</v>
      </c>
      <c r="F25">
        <v>0.33044388699999999</v>
      </c>
      <c r="G25">
        <v>4.0848128999999997E-2</v>
      </c>
      <c r="H25">
        <v>0.19704619600000001</v>
      </c>
      <c r="I25">
        <f>SUM($B$2:$B25)/SUM($B$2:$B$49)</f>
        <v>0.4486772239852076</v>
      </c>
    </row>
    <row r="26" spans="1:9" x14ac:dyDescent="0.2">
      <c r="A26" t="s">
        <v>62</v>
      </c>
      <c r="B26">
        <v>13.28292152</v>
      </c>
      <c r="C26">
        <v>6.6403604469999999</v>
      </c>
      <c r="D26">
        <v>1.032196857</v>
      </c>
      <c r="E26">
        <v>0</v>
      </c>
      <c r="F26">
        <v>4.6157272110000003</v>
      </c>
      <c r="G26">
        <v>0.698566625</v>
      </c>
      <c r="H26">
        <v>0.296070377</v>
      </c>
      <c r="I26">
        <f>SUM($B$2:$B26)/SUM($B$2:$B$49)</f>
        <v>0.46879176738351752</v>
      </c>
    </row>
    <row r="27" spans="1:9" x14ac:dyDescent="0.2">
      <c r="A27" t="s">
        <v>74</v>
      </c>
      <c r="B27">
        <v>7.5501740870000003</v>
      </c>
      <c r="C27">
        <v>3.3896062150000001</v>
      </c>
      <c r="D27">
        <v>3.4657691320000001</v>
      </c>
      <c r="E27">
        <v>0.13284986300000001</v>
      </c>
      <c r="F27">
        <v>0.45302302999999999</v>
      </c>
      <c r="G27">
        <v>3.8095291000000003E-2</v>
      </c>
      <c r="H27">
        <v>7.0830556000000003E-2</v>
      </c>
      <c r="I27">
        <f>SUM($B$2:$B27)/SUM($B$2:$B$49)</f>
        <v>0.48022511840566201</v>
      </c>
    </row>
    <row r="28" spans="1:9" x14ac:dyDescent="0.2">
      <c r="A28" t="s">
        <v>53</v>
      </c>
      <c r="B28">
        <v>16.22934497</v>
      </c>
      <c r="C28">
        <v>13.28592371</v>
      </c>
      <c r="D28">
        <v>1.1303345920000001</v>
      </c>
      <c r="E28">
        <v>0</v>
      </c>
      <c r="F28">
        <v>1.1654762240000001</v>
      </c>
      <c r="G28">
        <v>0.542898714</v>
      </c>
      <c r="H28">
        <v>0.10471172300000001</v>
      </c>
      <c r="I28">
        <f>SUM($B$2:$B28)/SUM($B$2:$B$49)</f>
        <v>0.50480147860124702</v>
      </c>
    </row>
    <row r="29" spans="1:9" x14ac:dyDescent="0.2">
      <c r="A29" t="s">
        <v>88</v>
      </c>
      <c r="B29">
        <v>0.91031800699999998</v>
      </c>
      <c r="C29">
        <v>0.108429279</v>
      </c>
      <c r="D29">
        <v>7.9884708999999998E-2</v>
      </c>
      <c r="E29">
        <v>0</v>
      </c>
      <c r="F29">
        <v>0.51577128500000002</v>
      </c>
      <c r="G29">
        <v>6.2775425999999995E-2</v>
      </c>
      <c r="H29">
        <v>0.14345730700000001</v>
      </c>
      <c r="I29">
        <f>SUM($B$2:$B29)/SUM($B$2:$B$49)</f>
        <v>0.50617998791717533</v>
      </c>
    </row>
    <row r="30" spans="1:9" x14ac:dyDescent="0.2">
      <c r="A30" t="s">
        <v>81</v>
      </c>
      <c r="B30">
        <v>3.197404825</v>
      </c>
      <c r="C30">
        <v>9.5810248000000001E-2</v>
      </c>
      <c r="D30">
        <v>1.0947644510000001</v>
      </c>
      <c r="E30">
        <v>0</v>
      </c>
      <c r="F30">
        <v>1.4098992340000001</v>
      </c>
      <c r="G30">
        <v>0.327808341</v>
      </c>
      <c r="H30">
        <v>0.26912255099999999</v>
      </c>
      <c r="I30">
        <f>SUM($B$2:$B30)/SUM($B$2:$B$49)</f>
        <v>0.51102186987948228</v>
      </c>
    </row>
    <row r="31" spans="1:9" x14ac:dyDescent="0.2">
      <c r="A31" t="s">
        <v>54</v>
      </c>
      <c r="B31">
        <v>16.18628867</v>
      </c>
      <c r="C31">
        <v>4.2419518570000001</v>
      </c>
      <c r="D31">
        <v>10.14090886</v>
      </c>
      <c r="E31">
        <v>0.71048176399999996</v>
      </c>
      <c r="F31">
        <v>0.85879249099999999</v>
      </c>
      <c r="G31">
        <v>7.4708106999999996E-2</v>
      </c>
      <c r="H31">
        <v>0.159445595</v>
      </c>
      <c r="I31">
        <f>SUM($B$2:$B31)/SUM($B$2:$B$49)</f>
        <v>0.53553302922195556</v>
      </c>
    </row>
    <row r="32" spans="1:9" x14ac:dyDescent="0.2">
      <c r="A32" t="s">
        <v>83</v>
      </c>
      <c r="B32">
        <v>2.2495723710000002</v>
      </c>
      <c r="C32">
        <v>1.1374832619999999</v>
      </c>
      <c r="D32">
        <v>0.50519899899999998</v>
      </c>
      <c r="E32">
        <v>0</v>
      </c>
      <c r="F32">
        <v>0.42184695799999999</v>
      </c>
      <c r="G32">
        <v>0.108679291</v>
      </c>
      <c r="H32">
        <v>7.6363861000000005E-2</v>
      </c>
      <c r="I32">
        <f>SUM($B$2:$B32)/SUM($B$2:$B$49)</f>
        <v>0.53893959313306405</v>
      </c>
    </row>
    <row r="33" spans="1:9" x14ac:dyDescent="0.2">
      <c r="A33" t="s">
        <v>63</v>
      </c>
      <c r="B33">
        <v>13.09084887</v>
      </c>
      <c r="C33">
        <v>5.7526654129999999</v>
      </c>
      <c r="D33">
        <v>3.2806961609999998</v>
      </c>
      <c r="E33">
        <v>0</v>
      </c>
      <c r="F33">
        <v>2.6630048749999999</v>
      </c>
      <c r="G33">
        <v>0.72924245600000004</v>
      </c>
      <c r="H33">
        <v>0.66523996399999996</v>
      </c>
      <c r="I33">
        <f>SUM($B$2:$B33)/SUM($B$2:$B$49)</f>
        <v>0.55876327780362833</v>
      </c>
    </row>
    <row r="34" spans="1:9" x14ac:dyDescent="0.2">
      <c r="A34" t="s">
        <v>50</v>
      </c>
      <c r="B34">
        <v>19.8343569</v>
      </c>
      <c r="C34">
        <v>4.1356058170000001</v>
      </c>
      <c r="D34">
        <v>8.692783404</v>
      </c>
      <c r="E34">
        <v>0.73933759600000004</v>
      </c>
      <c r="F34">
        <v>5.3592727690000004</v>
      </c>
      <c r="G34">
        <v>0.468576357</v>
      </c>
      <c r="H34">
        <v>0.43878096300000002</v>
      </c>
      <c r="I34">
        <f>SUM($B$2:$B34)/SUM($B$2:$B$49)</f>
        <v>0.5887987660086822</v>
      </c>
    </row>
    <row r="35" spans="1:9" x14ac:dyDescent="0.2">
      <c r="A35" t="s">
        <v>46</v>
      </c>
      <c r="B35">
        <v>28.201462079999999</v>
      </c>
      <c r="C35">
        <v>9.4924162859999992</v>
      </c>
      <c r="D35">
        <v>16.072535120000001</v>
      </c>
      <c r="E35">
        <v>8.3888387999999994E-2</v>
      </c>
      <c r="F35">
        <v>2.1487934590000002</v>
      </c>
      <c r="G35">
        <v>0.239206751</v>
      </c>
      <c r="H35">
        <v>0.16462207300000001</v>
      </c>
      <c r="I35">
        <f>SUM($B$2:$B35)/SUM($B$2:$B$49)</f>
        <v>0.63150469723396518</v>
      </c>
    </row>
    <row r="36" spans="1:9" x14ac:dyDescent="0.2">
      <c r="A36" t="s">
        <v>79</v>
      </c>
      <c r="B36">
        <v>5.3843164420000003</v>
      </c>
      <c r="C36">
        <v>2.8673660600000002</v>
      </c>
      <c r="D36">
        <v>0.60799783500000004</v>
      </c>
      <c r="E36">
        <v>0</v>
      </c>
      <c r="F36">
        <v>1.384853224</v>
      </c>
      <c r="G36">
        <v>0.177586366</v>
      </c>
      <c r="H36">
        <v>0.34651295599999998</v>
      </c>
      <c r="I36">
        <f>SUM($B$2:$B36)/SUM($B$2:$B$49)</f>
        <v>0.63965825491175254</v>
      </c>
    </row>
    <row r="37" spans="1:9" x14ac:dyDescent="0.2">
      <c r="A37" t="s">
        <v>44</v>
      </c>
      <c r="B37">
        <v>38.86310332</v>
      </c>
      <c r="C37">
        <v>4.9695516519999998</v>
      </c>
      <c r="D37">
        <v>17.56482626</v>
      </c>
      <c r="E37">
        <v>12.44618738</v>
      </c>
      <c r="F37">
        <v>2.7133654100000002</v>
      </c>
      <c r="G37">
        <v>0.62584448599999998</v>
      </c>
      <c r="H37">
        <v>0.54332814100000004</v>
      </c>
      <c r="I37">
        <f>SUM($B$2:$B37)/SUM($B$2:$B$49)</f>
        <v>0.69850928231156983</v>
      </c>
    </row>
    <row r="38" spans="1:9" x14ac:dyDescent="0.2">
      <c r="A38" t="s">
        <v>90</v>
      </c>
      <c r="B38">
        <v>0.37774588599999998</v>
      </c>
      <c r="C38">
        <v>1.1480318E-2</v>
      </c>
      <c r="D38">
        <v>0.123618309</v>
      </c>
      <c r="E38">
        <v>0</v>
      </c>
      <c r="F38">
        <v>0.144394099</v>
      </c>
      <c r="G38">
        <v>4.3933048000000002E-2</v>
      </c>
      <c r="H38">
        <v>5.4320110999999997E-2</v>
      </c>
      <c r="I38">
        <f>SUM($B$2:$B38)/SUM($B$2:$B$49)</f>
        <v>0.69908130903069476</v>
      </c>
    </row>
    <row r="39" spans="1:9" x14ac:dyDescent="0.2">
      <c r="A39" t="s">
        <v>80</v>
      </c>
      <c r="B39">
        <v>3.7776897950000001</v>
      </c>
      <c r="C39">
        <v>0.93465515799999999</v>
      </c>
      <c r="D39">
        <v>0.65405656199999995</v>
      </c>
      <c r="E39">
        <v>0</v>
      </c>
      <c r="F39">
        <v>1.692961148</v>
      </c>
      <c r="G39">
        <v>0.29008608800000002</v>
      </c>
      <c r="H39">
        <v>0.20593084</v>
      </c>
      <c r="I39">
        <f>SUM($B$2:$B39)/SUM($B$2:$B$49)</f>
        <v>0.7048019259305589</v>
      </c>
    </row>
    <row r="40" spans="1:9" x14ac:dyDescent="0.2">
      <c r="A40" t="s">
        <v>69</v>
      </c>
      <c r="B40">
        <v>9.0612143920000001</v>
      </c>
      <c r="C40">
        <v>8.3017510899999998</v>
      </c>
      <c r="D40">
        <v>0.32130181899999999</v>
      </c>
      <c r="E40">
        <v>0</v>
      </c>
      <c r="F40">
        <v>0.27453388200000001</v>
      </c>
      <c r="G40">
        <v>0.11604408300000001</v>
      </c>
      <c r="H40">
        <v>4.7583516999999999E-2</v>
      </c>
      <c r="I40">
        <f>SUM($B$2:$B40)/SUM($B$2:$B$49)</f>
        <v>0.71852346978330572</v>
      </c>
    </row>
    <row r="41" spans="1:9" x14ac:dyDescent="0.2">
      <c r="A41" t="s">
        <v>73</v>
      </c>
      <c r="B41">
        <v>8.0914654689999992</v>
      </c>
      <c r="C41">
        <v>3.2916466889999998</v>
      </c>
      <c r="D41">
        <v>1.347732331</v>
      </c>
      <c r="E41">
        <v>4.3578251999999998E-2</v>
      </c>
      <c r="F41">
        <v>2.8436744520000001</v>
      </c>
      <c r="G41">
        <v>0.32806695400000002</v>
      </c>
      <c r="H41">
        <v>0.236766791</v>
      </c>
      <c r="I41">
        <f>SUM($B$2:$B41)/SUM($B$2:$B$49)</f>
        <v>0.73077650712054099</v>
      </c>
    </row>
    <row r="42" spans="1:9" x14ac:dyDescent="0.2">
      <c r="A42" t="s">
        <v>43</v>
      </c>
      <c r="B42">
        <v>94.760472480000004</v>
      </c>
      <c r="C42">
        <v>25.578457910000001</v>
      </c>
      <c r="D42">
        <v>52.388224460000004</v>
      </c>
      <c r="E42">
        <v>0.22528543400000001</v>
      </c>
      <c r="F42">
        <v>12.731783760000001</v>
      </c>
      <c r="G42">
        <v>1.495410374</v>
      </c>
      <c r="H42">
        <v>2.341310547</v>
      </c>
      <c r="I42">
        <f>SUM($B$2:$B42)/SUM($B$2:$B$49)</f>
        <v>0.87427382683844845</v>
      </c>
    </row>
    <row r="43" spans="1:9" x14ac:dyDescent="0.2">
      <c r="A43" t="s">
        <v>76</v>
      </c>
      <c r="B43">
        <v>6.6131371349999997</v>
      </c>
      <c r="C43">
        <v>2.2955118969999999</v>
      </c>
      <c r="D43">
        <v>2.5781285980000002</v>
      </c>
      <c r="E43">
        <v>0.69579024199999995</v>
      </c>
      <c r="F43">
        <v>0.75984555200000004</v>
      </c>
      <c r="G43">
        <v>0.148348694</v>
      </c>
      <c r="H43">
        <v>0.135512153</v>
      </c>
      <c r="I43">
        <f>SUM($B$2:$B43)/SUM($B$2:$B$49)</f>
        <v>0.88428820761308791</v>
      </c>
    </row>
    <row r="44" spans="1:9" x14ac:dyDescent="0.2">
      <c r="A44" t="s">
        <v>64</v>
      </c>
      <c r="B44">
        <v>12.66481598</v>
      </c>
      <c r="C44">
        <v>2.8054318020000002</v>
      </c>
      <c r="D44">
        <v>2.212357752</v>
      </c>
      <c r="E44">
        <v>3.8134906690000001</v>
      </c>
      <c r="F44">
        <v>2.9819850940000001</v>
      </c>
      <c r="G44">
        <v>0.49690353599999998</v>
      </c>
      <c r="H44">
        <v>0.35464712300000001</v>
      </c>
      <c r="I44">
        <f>SUM($B$2:$B44)/SUM($B$2:$B$49)</f>
        <v>0.90346674377154879</v>
      </c>
    </row>
    <row r="45" spans="1:9" x14ac:dyDescent="0.2">
      <c r="A45" t="s">
        <v>85</v>
      </c>
      <c r="B45">
        <v>1.2945549620000001</v>
      </c>
      <c r="C45">
        <v>0.94075262100000001</v>
      </c>
      <c r="D45">
        <v>2.7936103E-2</v>
      </c>
      <c r="E45">
        <v>0</v>
      </c>
      <c r="F45">
        <v>0.15626203599999999</v>
      </c>
      <c r="G45">
        <v>2.7172613000000002E-2</v>
      </c>
      <c r="H45">
        <v>0.142431589</v>
      </c>
      <c r="I45">
        <f>SUM($B$2:$B45)/SUM($B$2:$B$49)</f>
        <v>0.90542710933762083</v>
      </c>
    </row>
    <row r="46" spans="1:9" x14ac:dyDescent="0.2">
      <c r="A46" t="s">
        <v>75</v>
      </c>
      <c r="B46">
        <v>6.9927399829999999</v>
      </c>
      <c r="C46">
        <v>3.6821943720000001</v>
      </c>
      <c r="D46">
        <v>0.63107264699999999</v>
      </c>
      <c r="E46">
        <v>0</v>
      </c>
      <c r="F46">
        <v>1.745487748</v>
      </c>
      <c r="G46">
        <v>0.40365579600000001</v>
      </c>
      <c r="H46">
        <v>0.53032942100000002</v>
      </c>
      <c r="I46">
        <f>SUM($B$2:$B46)/SUM($B$2:$B$49)</f>
        <v>0.9160163288590466</v>
      </c>
    </row>
    <row r="47" spans="1:9" x14ac:dyDescent="0.2">
      <c r="A47" t="s">
        <v>58</v>
      </c>
      <c r="B47">
        <v>14.59661348</v>
      </c>
      <c r="C47">
        <v>10.59602499</v>
      </c>
      <c r="D47">
        <v>1.142100903</v>
      </c>
      <c r="E47">
        <v>0</v>
      </c>
      <c r="F47">
        <v>2.0646165430000001</v>
      </c>
      <c r="G47">
        <v>0.37594137100000002</v>
      </c>
      <c r="H47">
        <v>0.417929679</v>
      </c>
      <c r="I47">
        <f>SUM($B$2:$B47)/SUM($B$2:$B$49)</f>
        <v>0.93812021728974593</v>
      </c>
    </row>
    <row r="48" spans="1:9" x14ac:dyDescent="0.2">
      <c r="A48" t="s">
        <v>47</v>
      </c>
      <c r="B48">
        <v>25.826538419999999</v>
      </c>
      <c r="C48">
        <v>0.70134347600000002</v>
      </c>
      <c r="D48">
        <v>9.6454868289999993</v>
      </c>
      <c r="E48">
        <v>14.538560329999999</v>
      </c>
      <c r="F48">
        <v>0.75339304699999998</v>
      </c>
      <c r="G48">
        <v>7.0153343000000007E-2</v>
      </c>
      <c r="H48">
        <v>0.117601393</v>
      </c>
      <c r="I48">
        <f>SUM($B$2:$B48)/SUM($B$2:$B$49)</f>
        <v>0.97722976311481291</v>
      </c>
    </row>
    <row r="49" spans="1:9" x14ac:dyDescent="0.2">
      <c r="A49" t="s">
        <v>57</v>
      </c>
      <c r="B49">
        <v>15.03664605</v>
      </c>
      <c r="C49">
        <v>2.7299734959999999</v>
      </c>
      <c r="D49">
        <v>7.035150958</v>
      </c>
      <c r="E49">
        <v>5.0120684300000002</v>
      </c>
      <c r="F49">
        <v>0.16138433399999999</v>
      </c>
      <c r="G49">
        <v>2.1578004000000001E-2</v>
      </c>
      <c r="H49">
        <v>7.6490826999999997E-2</v>
      </c>
      <c r="I49">
        <f>SUM($B$2:$B49)/SUM($B$2:$B$49)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6"/>
  <sheetViews>
    <sheetView showGridLines="0" tabSelected="1" showWhiteSpace="0" view="pageLayout" topLeftCell="A24" zoomScale="125" zoomScaleNormal="93" zoomScaleSheetLayoutView="125" zoomScalePageLayoutView="125" workbookViewId="0">
      <selection activeCell="E33" sqref="E33"/>
    </sheetView>
  </sheetViews>
  <sheetFormatPr baseColWidth="10" defaultRowHeight="16" x14ac:dyDescent="0.2"/>
  <cols>
    <col min="1" max="1" width="14.83203125" bestFit="1" customWidth="1"/>
    <col min="2" max="3" width="5.6640625" customWidth="1"/>
    <col min="4" max="4" width="5.5" hidden="1" customWidth="1"/>
    <col min="5" max="6" width="5.6640625" customWidth="1"/>
    <col min="7" max="7" width="5.5" hidden="1" customWidth="1"/>
    <col min="8" max="9" width="5.6640625" customWidth="1"/>
    <col min="10" max="11" width="5.5" hidden="1" customWidth="1"/>
    <col min="12" max="13" width="5.6640625" customWidth="1"/>
    <col min="14" max="14" width="5.5" hidden="1" customWidth="1"/>
    <col min="15" max="16" width="5.6640625" customWidth="1"/>
    <col min="17" max="17" width="5.5" hidden="1" customWidth="1"/>
    <col min="18" max="19" width="5.6640625" customWidth="1"/>
    <col min="20" max="20" width="5.5" hidden="1" customWidth="1"/>
    <col min="21" max="21" width="5.6640625" customWidth="1"/>
    <col min="22" max="22" width="14.5" customWidth="1"/>
    <col min="23" max="23" width="14.5" hidden="1" customWidth="1"/>
    <col min="24" max="24" width="14.5" customWidth="1"/>
    <col min="25" max="25" width="0.33203125" hidden="1" customWidth="1"/>
  </cols>
  <sheetData>
    <row r="1" spans="1:39" ht="30" customHeight="1" x14ac:dyDescent="0.2">
      <c r="A1" s="58" t="s">
        <v>33</v>
      </c>
      <c r="B1" s="61" t="s">
        <v>8</v>
      </c>
      <c r="C1" s="62"/>
      <c r="D1" s="59"/>
      <c r="E1" s="63" t="s">
        <v>16</v>
      </c>
      <c r="F1" s="63"/>
      <c r="G1" s="59"/>
      <c r="H1" s="61" t="s">
        <v>9</v>
      </c>
      <c r="I1" s="62"/>
      <c r="J1" s="59"/>
      <c r="K1" s="59"/>
      <c r="L1" s="63" t="s">
        <v>10</v>
      </c>
      <c r="M1" s="63"/>
      <c r="N1" s="59"/>
      <c r="O1" s="61" t="s">
        <v>11</v>
      </c>
      <c r="P1" s="62"/>
      <c r="Q1" s="59"/>
      <c r="R1" s="63" t="s">
        <v>23</v>
      </c>
      <c r="S1" s="63"/>
      <c r="T1" s="59"/>
      <c r="U1" s="61" t="s">
        <v>15</v>
      </c>
      <c r="V1" s="63"/>
      <c r="W1" s="63"/>
      <c r="X1" s="62"/>
      <c r="Y1" s="12"/>
    </row>
    <row r="2" spans="1:39" ht="16" customHeight="1" x14ac:dyDescent="0.2">
      <c r="A2" s="5"/>
      <c r="B2" s="6" t="s">
        <v>92</v>
      </c>
      <c r="C2" s="7" t="s">
        <v>0</v>
      </c>
      <c r="D2" s="4"/>
      <c r="E2" s="4" t="s">
        <v>93</v>
      </c>
      <c r="F2" s="4" t="s">
        <v>1</v>
      </c>
      <c r="G2" s="4"/>
      <c r="H2" s="6" t="s">
        <v>94</v>
      </c>
      <c r="I2" s="7" t="s">
        <v>2</v>
      </c>
      <c r="J2" s="4"/>
      <c r="K2" s="4"/>
      <c r="L2" s="4" t="s">
        <v>95</v>
      </c>
      <c r="M2" s="4" t="s">
        <v>3</v>
      </c>
      <c r="N2" s="4"/>
      <c r="O2" s="6" t="s">
        <v>96</v>
      </c>
      <c r="P2" s="7" t="s">
        <v>4</v>
      </c>
      <c r="Q2" s="4"/>
      <c r="R2" s="4" t="s">
        <v>97</v>
      </c>
      <c r="S2" s="4" t="s">
        <v>5</v>
      </c>
      <c r="T2" s="4"/>
      <c r="U2" s="6" t="s">
        <v>91</v>
      </c>
      <c r="V2" s="4" t="s">
        <v>18</v>
      </c>
      <c r="W2" s="4" t="s">
        <v>19</v>
      </c>
      <c r="X2" s="7" t="s">
        <v>20</v>
      </c>
      <c r="Y2" s="8"/>
    </row>
    <row r="3" spans="1:39" ht="19" customHeight="1" x14ac:dyDescent="0.2">
      <c r="A3" s="46" t="s">
        <v>7</v>
      </c>
      <c r="B3" s="47" t="s">
        <v>99</v>
      </c>
      <c r="C3" s="48" t="s">
        <v>13</v>
      </c>
      <c r="D3" s="49" t="s">
        <v>34</v>
      </c>
      <c r="E3" s="47" t="s">
        <v>99</v>
      </c>
      <c r="F3" s="49" t="s">
        <v>13</v>
      </c>
      <c r="G3" s="49" t="s">
        <v>34</v>
      </c>
      <c r="H3" s="47" t="s">
        <v>99</v>
      </c>
      <c r="I3" s="48" t="s">
        <v>13</v>
      </c>
      <c r="J3" s="49" t="s">
        <v>17</v>
      </c>
      <c r="K3" s="49" t="s">
        <v>34</v>
      </c>
      <c r="L3" s="47" t="s">
        <v>99</v>
      </c>
      <c r="M3" s="49" t="s">
        <v>13</v>
      </c>
      <c r="N3" s="49" t="s">
        <v>34</v>
      </c>
      <c r="O3" s="47" t="s">
        <v>99</v>
      </c>
      <c r="P3" s="48" t="s">
        <v>13</v>
      </c>
      <c r="Q3" s="49" t="s">
        <v>34</v>
      </c>
      <c r="R3" s="47" t="s">
        <v>99</v>
      </c>
      <c r="S3" s="49" t="s">
        <v>13</v>
      </c>
      <c r="T3" s="49" t="s">
        <v>34</v>
      </c>
      <c r="U3" s="47" t="s">
        <v>99</v>
      </c>
      <c r="V3" s="49" t="s">
        <v>13</v>
      </c>
      <c r="W3" s="49" t="s">
        <v>34</v>
      </c>
      <c r="X3" s="48" t="s">
        <v>12</v>
      </c>
      <c r="Y3" s="9" t="s">
        <v>24</v>
      </c>
      <c r="Z3" s="60" t="s">
        <v>8</v>
      </c>
      <c r="AA3" s="60"/>
      <c r="AB3" s="60" t="s">
        <v>16</v>
      </c>
      <c r="AC3" s="60"/>
      <c r="AD3" s="60" t="s">
        <v>9</v>
      </c>
      <c r="AE3" s="60"/>
      <c r="AF3" s="60" t="s">
        <v>10</v>
      </c>
      <c r="AG3" s="60"/>
      <c r="AH3" s="60" t="s">
        <v>11</v>
      </c>
      <c r="AI3" s="60"/>
      <c r="AJ3" s="60" t="s">
        <v>14</v>
      </c>
      <c r="AK3" s="60"/>
      <c r="AL3" s="60" t="s">
        <v>15</v>
      </c>
      <c r="AM3" s="60"/>
    </row>
    <row r="4" spans="1:39" x14ac:dyDescent="0.2">
      <c r="A4" s="13" t="str">
        <f>_xlfn.CONCAT(ROW(A4)-3, ". ", state_summ!A2)</f>
        <v>1. Texas</v>
      </c>
      <c r="B4" s="31">
        <f>HLOOKUP(B$2,state_summ!$A$1:$BN$49,ROW($A4)-2,FALSE)</f>
        <v>1023.13831607142</v>
      </c>
      <c r="C4" s="32">
        <f>HLOOKUP(C$2,state_summ!$A$1:$BN$49,ROW($A4)-2,FALSE)</f>
        <v>1165.08297331273</v>
      </c>
      <c r="D4" s="15">
        <f t="shared" ref="D4" si="0">IFERROR(C4/B4, "N/A")</f>
        <v>1.1387345728447937</v>
      </c>
      <c r="E4" s="14">
        <f>HLOOKUP(E$2,state_summ!$A$1:$BN$49,ROW($A4)-2,FALSE)</f>
        <v>2270.19130178571</v>
      </c>
      <c r="F4" s="14">
        <f>HLOOKUP(F$2,state_summ!$A$1:$BN$49,ROW($A4)-2,FALSE)</f>
        <v>4298.9073263264499</v>
      </c>
      <c r="G4" s="15">
        <f t="shared" ref="G4" si="1">IFERROR(F4/E4, "N/A")</f>
        <v>1.8936321899149962</v>
      </c>
      <c r="H4" s="31">
        <f>HLOOKUP(H$2,state_summ!$A$1:$BN$49,ROW($A4)-2,FALSE)</f>
        <v>9.0114173928571404</v>
      </c>
      <c r="I4" s="32">
        <f>HLOOKUP(I$2,state_summ!$A$1:$AC$49,ROW($A4)-2,FALSE)</f>
        <v>24.3805214735089</v>
      </c>
      <c r="J4" s="14">
        <f t="shared" ref="J4" si="2">I4-H4</f>
        <v>15.369104080651759</v>
      </c>
      <c r="K4" s="15">
        <f t="shared" ref="K4" si="3">IFERROR(I4/H4, "N/A")</f>
        <v>2.7055146166943738</v>
      </c>
      <c r="L4" s="14">
        <f>HLOOKUP(L$2,state_summ!$A$1:$BN$49,ROW($A4)-2,FALSE)</f>
        <v>512.64482892857097</v>
      </c>
      <c r="M4" s="14">
        <f>HLOOKUP(M$2,state_summ!$A$1:$BN$49,ROW($A4)-2,FALSE)</f>
        <v>627.04528280033105</v>
      </c>
      <c r="N4" s="15">
        <f t="shared" ref="N4" si="4">IFERROR(M4/L4, "N/A")</f>
        <v>1.2231573350907632</v>
      </c>
      <c r="O4" s="31">
        <f>HLOOKUP(O$2,state_summ!$A$1:$BN$49,ROW($A4)-2,FALSE)</f>
        <v>60.8746054285714</v>
      </c>
      <c r="P4" s="32">
        <f>HLOOKUP(P$2,state_summ!$A$1:$BN$49,ROW($A4)-2,FALSE)</f>
        <v>48.256176764904502</v>
      </c>
      <c r="Q4" s="15">
        <f t="shared" ref="Q4" si="5">IFERROR(P4/O4, "N/A")</f>
        <v>0.7927144073488408</v>
      </c>
      <c r="R4" s="14">
        <f>HLOOKUP(R$2,state_summ!$A$1:$BN$49,ROW($A4)-2,FALSE)</f>
        <v>93.995977535714204</v>
      </c>
      <c r="S4" s="14">
        <f>HLOOKUP(S$2,state_summ!$A$1:$BN$49,ROW($A4)-2,FALSE)</f>
        <v>109.96787975408699</v>
      </c>
      <c r="T4" s="15">
        <f t="shared" ref="T4" si="6">IFERROR(S4/R4, "N/A")</f>
        <v>1.1699211246811514</v>
      </c>
      <c r="U4" s="31">
        <f>HLOOKUP(U$2,state_summ!$A$1:$BN$49,ROW($A4)-2,FALSE)</f>
        <v>3969.8564464285701</v>
      </c>
      <c r="V4" s="16" t="str">
        <f>HLOOKUP(V$2,state_summ!$A$1:$AL$49,ROW($A4)-2,FALSE)</f>
        <v>6274 (6101, 6454)</v>
      </c>
      <c r="W4" s="17" t="str">
        <f>HLOOKUP(W$2,state_summ!$A$1:$AL$49,ROW($A4)-2,FALSE)</f>
        <v>1.22 (1.18, 1.25)</v>
      </c>
      <c r="X4" s="18" t="str">
        <f>HLOOKUP(X$2,state_summ!$A$1:$AM$49,ROW($A4)-2,FALSE)</f>
        <v>0.94 (0.91, 0.97)</v>
      </c>
      <c r="Y4" s="10" t="str">
        <f>state_summ!AN2</f>
        <v>94 (91, 97)</v>
      </c>
      <c r="Z4" s="2">
        <f>SUM(B4:B13)</f>
        <v>3952.6910493571309</v>
      </c>
      <c r="AA4" s="2">
        <f>SUM(C4:C13)</f>
        <v>4835.997444374997</v>
      </c>
      <c r="AB4" s="2">
        <f>SUM(E4:E13)</f>
        <v>5837.0589572857089</v>
      </c>
      <c r="AC4" s="2">
        <f>SUM(F4:F13)</f>
        <v>7881.2609869475682</v>
      </c>
      <c r="AD4" s="2">
        <f>SUM(H4:H13)</f>
        <v>664.94983439285625</v>
      </c>
      <c r="AE4" s="2">
        <f>SUM(I4:I13)</f>
        <v>772.9181460713362</v>
      </c>
      <c r="AF4" s="2">
        <f>SUM(L4:L13)</f>
        <v>1827.3849822857105</v>
      </c>
      <c r="AG4" s="2">
        <f t="shared" ref="AG4" si="7">SUM(M4:M13)</f>
        <v>2615.6436589685682</v>
      </c>
      <c r="AH4" s="2">
        <f>SUM(O4:O13)</f>
        <v>272.20299524999962</v>
      </c>
      <c r="AI4" s="2">
        <f t="shared" ref="AI4" si="8">SUM(P4:P13)</f>
        <v>213.55976459204504</v>
      </c>
      <c r="AJ4" s="2">
        <f>SUM(R4:R13)</f>
        <v>515.89910167856999</v>
      </c>
      <c r="AK4" s="2">
        <f>SUM(S4:S13)</f>
        <v>540.07612822112901</v>
      </c>
      <c r="AL4" s="2">
        <f>SUM(Z4,AB4,AD4,AF4,AH4,AJ4)</f>
        <v>13070.186920249977</v>
      </c>
      <c r="AM4" s="2">
        <f>SUM(AA4,AC4,AE4,AG4,AI4,AK4)</f>
        <v>16859.456129175644</v>
      </c>
    </row>
    <row r="5" spans="1:39" x14ac:dyDescent="0.2">
      <c r="A5" s="19" t="str">
        <f>_xlfn.CONCAT(ROW(A5)-3, ". ", state_summ!A3)</f>
        <v>2. California</v>
      </c>
      <c r="B5" s="33">
        <f>HLOOKUP(B$2,state_summ!$A$1:$BN$49,ROW($A5)-2,FALSE)</f>
        <v>759.60579142857102</v>
      </c>
      <c r="C5" s="34">
        <f>HLOOKUP(C$2,state_summ!$A$1:$BN$49,ROW($A5)-2,FALSE)</f>
        <v>1103.64210464251</v>
      </c>
      <c r="D5" s="21">
        <f t="shared" ref="D5:D51" si="9">IFERROR(C5/B5, "N/A")</f>
        <v>1.4529142840879594</v>
      </c>
      <c r="E5" s="20">
        <f>HLOOKUP(E$2,state_summ!$A$1:$BN$49,ROW($A5)-2,FALSE)</f>
        <v>231.03068728571401</v>
      </c>
      <c r="F5" s="20">
        <f>HLOOKUP(F$2,state_summ!$A$1:$BN$49,ROW($A5)-2,FALSE)</f>
        <v>230.79056996985901</v>
      </c>
      <c r="G5" s="21">
        <f t="shared" ref="G5:G51" si="10">IFERROR(F5/E5, "N/A")</f>
        <v>0.99896066917050697</v>
      </c>
      <c r="H5" s="33">
        <f>HLOOKUP(H$2,state_summ!$A$1:$BN$49,ROW($A5)-2,FALSE)</f>
        <v>0</v>
      </c>
      <c r="I5" s="34">
        <f>HLOOKUP(I$2,state_summ!$A$1:$AC$49,ROW($A5)-2,FALSE)</f>
        <v>0</v>
      </c>
      <c r="J5" s="20">
        <f t="shared" ref="J5:J51" si="11">I5-H5</f>
        <v>0</v>
      </c>
      <c r="K5" s="21" t="str">
        <f t="shared" ref="K5:K51" si="12">IFERROR(I5/H5, "N/A")</f>
        <v>N/A</v>
      </c>
      <c r="L5" s="20">
        <f>HLOOKUP(L$2,state_summ!$A$1:$BN$49,ROW($A5)-2,FALSE)</f>
        <v>356.218249678571</v>
      </c>
      <c r="M5" s="20">
        <f>HLOOKUP(M$2,state_summ!$A$1:$BN$49,ROW($A5)-2,FALSE)</f>
        <v>514.26394497370904</v>
      </c>
      <c r="N5" s="21">
        <f t="shared" ref="N5:N51" si="13">IFERROR(M5/L5, "N/A")</f>
        <v>1.4436765815276129</v>
      </c>
      <c r="O5" s="33">
        <f>HLOOKUP(O$2,state_summ!$A$1:$BN$49,ROW($A5)-2,FALSE)</f>
        <v>58.944358357142796</v>
      </c>
      <c r="P5" s="34">
        <f>HLOOKUP(P$2,state_summ!$A$1:$BN$49,ROW($A5)-2,FALSE)</f>
        <v>57.877325319065903</v>
      </c>
      <c r="Q5" s="21">
        <f t="shared" ref="Q5:Q51" si="14">IFERROR(P5/O5, "N/A")</f>
        <v>0.98189762230319377</v>
      </c>
      <c r="R5" s="20">
        <f>HLOOKUP(R$2,state_summ!$A$1:$BN$49,ROW($A5)-2,FALSE)</f>
        <v>217.52465432142799</v>
      </c>
      <c r="S5" s="20">
        <f>HLOOKUP(S$2,state_summ!$A$1:$BN$49,ROW($A5)-2,FALSE)</f>
        <v>148.362517370879</v>
      </c>
      <c r="T5" s="21">
        <f t="shared" ref="T5:T51" si="15">IFERROR(S5/R5, "N/A")</f>
        <v>0.68204920418652548</v>
      </c>
      <c r="U5" s="33">
        <f>HLOOKUP(U$2,state_summ!$A$1:$BN$49,ROW($A5)-2,FALSE)</f>
        <v>1623.32374107142</v>
      </c>
      <c r="V5" s="22" t="str">
        <f>HLOOKUP(V$2,state_summ!$A$1:$AL$49,ROW($A5)-2,FALSE)</f>
        <v>2055 (1970, 2122)</v>
      </c>
      <c r="W5" s="23" t="str">
        <f>HLOOKUP(W$2,state_summ!$A$1:$AL$49,ROW($A5)-2,FALSE)</f>
        <v>1.16 (1.12, 1.20)</v>
      </c>
      <c r="X5" s="24" t="str">
        <f>HLOOKUP(X$2,state_summ!$A$1:$AM$49,ROW($A5)-2,FALSE)</f>
        <v>0.85 (0.76, 0.93)</v>
      </c>
      <c r="Y5" s="10" t="str">
        <f>state_summ!AN3</f>
        <v>85 (76, 93)</v>
      </c>
      <c r="Z5" s="3">
        <f>Z4/$AL$4</f>
        <v>0.30242039180274655</v>
      </c>
      <c r="AA5" s="3">
        <f>AA4/$AM$4</f>
        <v>0.28684184159453407</v>
      </c>
      <c r="AB5" s="3">
        <f t="shared" ref="AB5" si="16">AB4/$AL$4</f>
        <v>0.44659338025550371</v>
      </c>
      <c r="AC5" s="3">
        <f t="shared" ref="AC5" si="17">AC4/$AM$4</f>
        <v>0.46746828169082394</v>
      </c>
      <c r="AD5" s="3">
        <f t="shared" ref="AD5" si="18">AD4/$AL$4</f>
        <v>5.0875311764870965E-2</v>
      </c>
      <c r="AE5" s="3">
        <f t="shared" ref="AE5" si="19">AE4/$AM$4</f>
        <v>4.5844785273576237E-2</v>
      </c>
      <c r="AF5" s="3">
        <f t="shared" ref="AF5" si="20">AF4/$AL$4</f>
        <v>0.13981322481735101</v>
      </c>
      <c r="AG5" s="3">
        <f t="shared" ref="AG5" si="21">AG4/$AM$4</f>
        <v>0.15514401170048076</v>
      </c>
      <c r="AH5" s="3">
        <f t="shared" ref="AH5" si="22">AH4/$AL$4</f>
        <v>2.0826251140163E-2</v>
      </c>
      <c r="AI5" s="3">
        <f t="shared" ref="AI5" si="23">AI4/$AM$4</f>
        <v>1.2667061318928039E-2</v>
      </c>
      <c r="AJ5" s="3">
        <f t="shared" ref="AJ5" si="24">AJ4/$AL$4</f>
        <v>3.9471440219364745E-2</v>
      </c>
      <c r="AK5" s="3">
        <f t="shared" ref="AK5" si="25">AK4/$AM$4</f>
        <v>3.2034018421656908E-2</v>
      </c>
      <c r="AL5" s="3">
        <f t="shared" ref="AL5" si="26">AL4/$AL$4</f>
        <v>1</v>
      </c>
      <c r="AM5" s="3">
        <f t="shared" ref="AM5" si="27">AM4/$AM$4</f>
        <v>1</v>
      </c>
    </row>
    <row r="6" spans="1:39" x14ac:dyDescent="0.2">
      <c r="A6" s="19" t="str">
        <f>_xlfn.CONCAT(ROW(A6)-3, ". ", state_summ!A4)</f>
        <v>3. Oklahoma</v>
      </c>
      <c r="B6" s="33">
        <f>HLOOKUP(B$2,state_summ!$A$1:$BN$49,ROW($A6)-2,FALSE)</f>
        <v>379.69665142857099</v>
      </c>
      <c r="C6" s="34">
        <f>HLOOKUP(C$2,state_summ!$A$1:$BN$49,ROW($A6)-2,FALSE)</f>
        <v>399.17224980996002</v>
      </c>
      <c r="D6" s="21">
        <f t="shared" si="9"/>
        <v>1.0512925207744499</v>
      </c>
      <c r="E6" s="20">
        <f>HLOOKUP(E$2,state_summ!$A$1:$BN$49,ROW($A6)-2,FALSE)</f>
        <v>762.65617964285696</v>
      </c>
      <c r="F6" s="20">
        <f>HLOOKUP(F$2,state_summ!$A$1:$BN$49,ROW($A6)-2,FALSE)</f>
        <v>894.15006633068504</v>
      </c>
      <c r="G6" s="21">
        <f t="shared" si="10"/>
        <v>1.1724156837612003</v>
      </c>
      <c r="H6" s="33">
        <f>HLOOKUP(H$2,state_summ!$A$1:$BN$49,ROW($A6)-2,FALSE)</f>
        <v>3.3555354999999998</v>
      </c>
      <c r="I6" s="34">
        <f>HLOOKUP(I$2,state_summ!$A$1:$AC$49,ROW($A6)-2,FALSE)</f>
        <v>20.414922931297198</v>
      </c>
      <c r="J6" s="20">
        <f t="shared" si="11"/>
        <v>17.0593874312972</v>
      </c>
      <c r="K6" s="21">
        <f t="shared" si="12"/>
        <v>6.0839537925607399</v>
      </c>
      <c r="L6" s="20">
        <f>HLOOKUP(L$2,state_summ!$A$1:$BN$49,ROW($A6)-2,FALSE)</f>
        <v>86.371345678571402</v>
      </c>
      <c r="M6" s="20">
        <f>HLOOKUP(M$2,state_summ!$A$1:$BN$49,ROW($A6)-2,FALSE)</f>
        <v>120.789567595479</v>
      </c>
      <c r="N6" s="21">
        <f t="shared" si="13"/>
        <v>1.3984912084731673</v>
      </c>
      <c r="O6" s="33">
        <f>HLOOKUP(O$2,state_summ!$A$1:$BN$49,ROW($A6)-2,FALSE)</f>
        <v>8.8097633214285693</v>
      </c>
      <c r="P6" s="34">
        <f>HLOOKUP(P$2,state_summ!$A$1:$BN$49,ROW($A6)-2,FALSE)</f>
        <v>3.1455126765998398</v>
      </c>
      <c r="Q6" s="21">
        <f t="shared" si="14"/>
        <v>0.35704848834574265</v>
      </c>
      <c r="R6" s="20">
        <f>HLOOKUP(R$2,state_summ!$A$1:$BN$49,ROW($A6)-2,FALSE)</f>
        <v>6.6861569285714202</v>
      </c>
      <c r="S6" s="20">
        <f>HLOOKUP(S$2,state_summ!$A$1:$BN$49,ROW($A6)-2,FALSE)</f>
        <v>6.3687895302400603</v>
      </c>
      <c r="T6" s="21">
        <f t="shared" si="15"/>
        <v>0.95253365996015149</v>
      </c>
      <c r="U6" s="33">
        <f>HLOOKUP(U$2,state_summ!$A$1:$BN$49,ROW($A6)-2,FALSE)</f>
        <v>1247.5756325</v>
      </c>
      <c r="V6" s="22" t="str">
        <f>HLOOKUP(V$2,state_summ!$A$1:$AL$49,ROW($A6)-2,FALSE)</f>
        <v>1444 (1384, 1511)</v>
      </c>
      <c r="W6" s="23" t="str">
        <f>HLOOKUP(W$2,state_summ!$A$1:$AL$49,ROW($A6)-2,FALSE)</f>
        <v>1.31 (1.26, 1.38)</v>
      </c>
      <c r="X6" s="24" t="str">
        <f>HLOOKUP(X$2,state_summ!$A$1:$AM$49,ROW($A6)-2,FALSE)</f>
        <v>0.86 (0.79, 0.92)</v>
      </c>
      <c r="Y6" s="10" t="str">
        <f>state_summ!AN4</f>
        <v>86 (79, 92)</v>
      </c>
    </row>
    <row r="7" spans="1:39" x14ac:dyDescent="0.2">
      <c r="A7" s="19" t="str">
        <f>_xlfn.CONCAT(ROW(A7)-3, ". ", state_summ!A5)</f>
        <v>4. Pennsylvania</v>
      </c>
      <c r="B7" s="33">
        <f>HLOOKUP(B$2,state_summ!$A$1:$BN$49,ROW($A7)-2,FALSE)</f>
        <v>198.78206607142801</v>
      </c>
      <c r="C7" s="34">
        <f>HLOOKUP(C$2,state_summ!$A$1:$BN$49,ROW($A7)-2,FALSE)</f>
        <v>195.53427327707701</v>
      </c>
      <c r="D7" s="21">
        <f t="shared" si="9"/>
        <v>0.98366154020562413</v>
      </c>
      <c r="E7" s="20">
        <f>HLOOKUP(E$2,state_summ!$A$1:$BN$49,ROW($A7)-2,FALSE)</f>
        <v>776.86058214285697</v>
      </c>
      <c r="F7" s="20">
        <f>HLOOKUP(F$2,state_summ!$A$1:$BN$49,ROW($A7)-2,FALSE)</f>
        <v>237.734773745572</v>
      </c>
      <c r="G7" s="21">
        <f t="shared" si="10"/>
        <v>0.30601986921490493</v>
      </c>
      <c r="H7" s="33">
        <f>HLOOKUP(H$2,state_summ!$A$1:$BN$49,ROW($A7)-2,FALSE)</f>
        <v>497.84749499999998</v>
      </c>
      <c r="I7" s="34">
        <f>HLOOKUP(I$2,state_summ!$A$1:$AC$49,ROW($A7)-2,FALSE)</f>
        <v>524.41799690167204</v>
      </c>
      <c r="J7" s="20">
        <f t="shared" si="11"/>
        <v>26.57050190167206</v>
      </c>
      <c r="K7" s="21">
        <f t="shared" si="12"/>
        <v>1.0533707654824538</v>
      </c>
      <c r="L7" s="20">
        <f>HLOOKUP(L$2,state_summ!$A$1:$BN$49,ROW($A7)-2,FALSE)</f>
        <v>110.305145107142</v>
      </c>
      <c r="M7" s="20">
        <f>HLOOKUP(M$2,state_summ!$A$1:$BN$49,ROW($A7)-2,FALSE)</f>
        <v>196.344279733804</v>
      </c>
      <c r="N7" s="21">
        <f t="shared" si="13"/>
        <v>1.7800101667342005</v>
      </c>
      <c r="O7" s="33">
        <f>HLOOKUP(O$2,state_summ!$A$1:$BN$49,ROW($A7)-2,FALSE)</f>
        <v>23.721975892857099</v>
      </c>
      <c r="P7" s="34">
        <f>HLOOKUP(P$2,state_summ!$A$1:$BN$49,ROW($A7)-2,FALSE)</f>
        <v>19.738841741146299</v>
      </c>
      <c r="Q7" s="21">
        <f t="shared" si="14"/>
        <v>0.83209096199654442</v>
      </c>
      <c r="R7" s="20">
        <f>HLOOKUP(R$2,state_summ!$A$1:$BN$49,ROW($A7)-2,FALSE)</f>
        <v>21.8486018571428</v>
      </c>
      <c r="S7" s="20">
        <f>HLOOKUP(S$2,state_summ!$A$1:$BN$49,ROW($A7)-2,FALSE)</f>
        <v>20.259300327989301</v>
      </c>
      <c r="T7" s="21">
        <f t="shared" si="15"/>
        <v>0.92725843330638935</v>
      </c>
      <c r="U7" s="33">
        <f>HLOOKUP(U$2,state_summ!$A$1:$BN$49,ROW($A7)-2,FALSE)</f>
        <v>1629.36586607142</v>
      </c>
      <c r="V7" s="22" t="str">
        <f>HLOOKUP(V$2,state_summ!$A$1:$AL$49,ROW($A7)-2,FALSE)</f>
        <v>1194 (1061, 1384)</v>
      </c>
      <c r="W7" s="23" t="str">
        <f>HLOOKUP(W$2,state_summ!$A$1:$AL$49,ROW($A7)-2,FALSE)</f>
        <v>1.00 (0.89, 1.16)</v>
      </c>
      <c r="X7" s="24" t="str">
        <f>HLOOKUP(X$2,state_summ!$A$1:$AM$49,ROW($A7)-2,FALSE)</f>
        <v>0.55 (0.38, 0.77)</v>
      </c>
      <c r="Y7" s="10" t="str">
        <f>state_summ!AN5</f>
        <v>55 (38, 77)</v>
      </c>
      <c r="Z7" s="2">
        <f>SUM(B4:B51)</f>
        <v>9381.6926308928323</v>
      </c>
      <c r="AA7" s="2">
        <f>SUM(C4:C51)</f>
        <v>10364.555530341931</v>
      </c>
      <c r="AB7" s="2">
        <f>SUM(E4:E51)</f>
        <v>9107.5574995714142</v>
      </c>
      <c r="AC7" s="2">
        <f>SUM(F4:F51)</f>
        <v>10101.188774867935</v>
      </c>
      <c r="AD7" s="2">
        <f>SUM(H4:H51)</f>
        <v>2128.8593735357103</v>
      </c>
      <c r="AE7" s="2">
        <f>SUM(I4:I51)</f>
        <v>1527.4142820093577</v>
      </c>
      <c r="AF7" s="2">
        <f>SUM(L4:L51)</f>
        <v>4546.2158876071317</v>
      </c>
      <c r="AG7" s="2">
        <f>SUM(M4:M51)</f>
        <v>6721.0359920151732</v>
      </c>
      <c r="AH7" s="2">
        <f>SUM(O4:O51)</f>
        <v>744.47929792856996</v>
      </c>
      <c r="AI7" s="2">
        <f>SUM(P4:P51)</f>
        <v>603.51344987914763</v>
      </c>
      <c r="AJ7" s="2">
        <f>SUM(R4:R51)</f>
        <v>1179.7821279642833</v>
      </c>
      <c r="AK7" s="2">
        <f>SUM(S4:S51)</f>
        <v>1095.0967928389225</v>
      </c>
      <c r="AL7" s="2">
        <f>SUM(Z7,AB7,AD7,AF7,AH7,AJ7)</f>
        <v>27088.586817499945</v>
      </c>
      <c r="AM7" s="2">
        <f>SUM(AA7,AC7,AE7,AG7,AI7,AK7)</f>
        <v>30412.804821952468</v>
      </c>
    </row>
    <row r="8" spans="1:39" x14ac:dyDescent="0.2">
      <c r="A8" s="19" t="str">
        <f>_xlfn.CONCAT(ROW(A8)-3, ". ", state_summ!A6)</f>
        <v>5. New Mexico</v>
      </c>
      <c r="B8" s="33">
        <f>HLOOKUP(B$2,state_summ!$A$1:$BN$49,ROW($A8)-2,FALSE)</f>
        <v>169.67807424999901</v>
      </c>
      <c r="C8" s="34">
        <f>HLOOKUP(C$2,state_summ!$A$1:$BN$49,ROW($A8)-2,FALSE)</f>
        <v>211.02449903763301</v>
      </c>
      <c r="D8" s="21">
        <f t="shared" si="9"/>
        <v>1.243675707485431</v>
      </c>
      <c r="E8" s="20">
        <f>HLOOKUP(E$2,state_summ!$A$1:$BN$49,ROW($A8)-2,FALSE)</f>
        <v>486.63874928571403</v>
      </c>
      <c r="F8" s="20">
        <f>HLOOKUP(F$2,state_summ!$A$1:$BN$49,ROW($A8)-2,FALSE)</f>
        <v>924.85679707509701</v>
      </c>
      <c r="G8" s="21">
        <f t="shared" si="10"/>
        <v>1.9004997001011474</v>
      </c>
      <c r="H8" s="33">
        <f>HLOOKUP(H$2,state_summ!$A$1:$BN$49,ROW($A8)-2,FALSE)</f>
        <v>28.419270571428498</v>
      </c>
      <c r="I8" s="34">
        <f>HLOOKUP(I$2,state_summ!$A$1:$AC$49,ROW($A8)-2,FALSE)</f>
        <v>32.050109741330402</v>
      </c>
      <c r="J8" s="20">
        <f t="shared" si="11"/>
        <v>3.630839169901904</v>
      </c>
      <c r="K8" s="21">
        <f t="shared" si="12"/>
        <v>1.1277597593779269</v>
      </c>
      <c r="L8" s="20">
        <f>HLOOKUP(L$2,state_summ!$A$1:$BN$49,ROW($A8)-2,FALSE)</f>
        <v>34.388731785714199</v>
      </c>
      <c r="M8" s="20">
        <f>HLOOKUP(M$2,state_summ!$A$1:$BN$49,ROW($A8)-2,FALSE)</f>
        <v>-34.084211834014397</v>
      </c>
      <c r="N8" s="21">
        <f t="shared" si="13"/>
        <v>-0.9911447751665472</v>
      </c>
      <c r="O8" s="33">
        <f>HLOOKUP(O$2,state_summ!$A$1:$BN$49,ROW($A8)-2,FALSE)</f>
        <v>3.8180699285714201</v>
      </c>
      <c r="P8" s="34">
        <f>HLOOKUP(P$2,state_summ!$A$1:$BN$49,ROW($A8)-2,FALSE)</f>
        <v>1.5910243644114499</v>
      </c>
      <c r="Q8" s="21">
        <f t="shared" si="14"/>
        <v>0.41670906876416275</v>
      </c>
      <c r="R8" s="20">
        <f>HLOOKUP(R$2,state_summ!$A$1:$BN$49,ROW($A8)-2,FALSE)</f>
        <v>6.4210925000000003</v>
      </c>
      <c r="S8" s="20">
        <f>HLOOKUP(S$2,state_summ!$A$1:$BN$49,ROW($A8)-2,FALSE)</f>
        <v>3.3228366148271</v>
      </c>
      <c r="T8" s="21">
        <f t="shared" si="15"/>
        <v>0.51748773512094703</v>
      </c>
      <c r="U8" s="33">
        <f>HLOOKUP(U$2,state_summ!$A$1:$BN$49,ROW($A8)-2,FALSE)</f>
        <v>729.36398857142797</v>
      </c>
      <c r="V8" s="22" t="str">
        <f>HLOOKUP(V$2,state_summ!$A$1:$AL$49,ROW($A8)-2,FALSE)</f>
        <v>1139 (1100, 1180)</v>
      </c>
      <c r="W8" s="23" t="str">
        <f>HLOOKUP(W$2,state_summ!$A$1:$AL$49,ROW($A8)-2,FALSE)</f>
        <v>0.90 (0.87, 0.93)</v>
      </c>
      <c r="X8" s="24" t="str">
        <f>HLOOKUP(X$2,state_summ!$A$1:$AM$49,ROW($A8)-2,FALSE)</f>
        <v>0.95 (0.93, 0.98)</v>
      </c>
      <c r="Y8" s="10" t="str">
        <f>state_summ!AN6</f>
        <v>95 (93, 98)</v>
      </c>
      <c r="Z8" s="3">
        <f>Z7/$AL$7</f>
        <v>0.3463337786536731</v>
      </c>
      <c r="AA8" s="3">
        <f>AA7/$AM$7</f>
        <v>0.34079577964018049</v>
      </c>
      <c r="AB8" s="3">
        <f t="shared" ref="AB8" si="28">AB7/$AL$7</f>
        <v>0.33621382912775982</v>
      </c>
      <c r="AC8" s="3">
        <f t="shared" ref="AC8" si="29">AC7/$AM$7</f>
        <v>0.33213604710265754</v>
      </c>
      <c r="AD8" s="3">
        <f t="shared" ref="AD8" si="30">AD7/$AL$7</f>
        <v>7.8588794161842751E-2</v>
      </c>
      <c r="AE8" s="3">
        <f t="shared" ref="AE8" si="31">AE7/$AM$7</f>
        <v>5.0222736474040852E-2</v>
      </c>
      <c r="AF8" s="3">
        <f t="shared" ref="AF8" si="32">AF7/$AL$7</f>
        <v>0.16782772457772346</v>
      </c>
      <c r="AG8" s="3">
        <f t="shared" ref="AG8" si="33">AG7/$AM$7</f>
        <v>0.22099362526286354</v>
      </c>
      <c r="AH8" s="3">
        <f t="shared" ref="AH8" si="34">AH7/$AL$7</f>
        <v>2.7483135349372179E-2</v>
      </c>
      <c r="AI8" s="3">
        <f t="shared" ref="AI8" si="35">AI7/$AM$7</f>
        <v>1.9844057574180781E-2</v>
      </c>
      <c r="AJ8" s="3">
        <f t="shared" ref="AJ8" si="36">AJ7/$AL$7</f>
        <v>4.3552738129628558E-2</v>
      </c>
      <c r="AK8" s="3">
        <f t="shared" ref="AK8" si="37">AK7/$AM$7</f>
        <v>3.6007753946076797E-2</v>
      </c>
      <c r="AL8" s="3">
        <f t="shared" ref="AL8" si="38">AL7/$AL$7</f>
        <v>1</v>
      </c>
      <c r="AM8" s="3">
        <f t="shared" ref="AM8" si="39">AM7/$AM$7</f>
        <v>1</v>
      </c>
    </row>
    <row r="9" spans="1:39" x14ac:dyDescent="0.2">
      <c r="A9" s="19" t="str">
        <f>_xlfn.CONCAT(ROW(A9)-3, ". ", state_summ!A7)</f>
        <v>6. Louisiana</v>
      </c>
      <c r="B9" s="33">
        <f>HLOOKUP(B$2,state_summ!$A$1:$BN$49,ROW($A9)-2,FALSE)</f>
        <v>61.670610500000002</v>
      </c>
      <c r="C9" s="34">
        <f>HLOOKUP(C$2,state_summ!$A$1:$BN$49,ROW($A9)-2,FALSE)</f>
        <v>79.024701518411803</v>
      </c>
      <c r="D9" s="21">
        <f t="shared" si="9"/>
        <v>1.2813996955391223</v>
      </c>
      <c r="E9" s="20">
        <f>HLOOKUP(E$2,state_summ!$A$1:$BN$49,ROW($A9)-2,FALSE)</f>
        <v>627.605404999999</v>
      </c>
      <c r="F9" s="20">
        <f>HLOOKUP(F$2,state_summ!$A$1:$BN$49,ROW($A9)-2,FALSE)</f>
        <v>730.73108347281197</v>
      </c>
      <c r="G9" s="21">
        <f t="shared" si="10"/>
        <v>1.1643161095351198</v>
      </c>
      <c r="H9" s="33">
        <f>HLOOKUP(H$2,state_summ!$A$1:$BN$49,ROW($A9)-2,FALSE)</f>
        <v>0.69013896428571397</v>
      </c>
      <c r="I9" s="34">
        <f>HLOOKUP(I$2,state_summ!$A$1:$AC$49,ROW($A9)-2,FALSE)</f>
        <v>1.7327400652975899</v>
      </c>
      <c r="J9" s="20">
        <f t="shared" si="11"/>
        <v>1.0426011010118761</v>
      </c>
      <c r="K9" s="21">
        <f t="shared" si="12"/>
        <v>2.5107118348127995</v>
      </c>
      <c r="L9" s="20">
        <f>HLOOKUP(L$2,state_summ!$A$1:$BN$49,ROW($A9)-2,FALSE)</f>
        <v>132.51324535714201</v>
      </c>
      <c r="M9" s="20">
        <f>HLOOKUP(M$2,state_summ!$A$1:$BN$49,ROW($A9)-2,FALSE)</f>
        <v>126.338655404463</v>
      </c>
      <c r="N9" s="21">
        <f t="shared" si="13"/>
        <v>0.95340397908120345</v>
      </c>
      <c r="O9" s="33">
        <f>HLOOKUP(O$2,state_summ!$A$1:$BN$49,ROW($A9)-2,FALSE)</f>
        <v>10.1029026071428</v>
      </c>
      <c r="P9" s="34">
        <f>HLOOKUP(P$2,state_summ!$A$1:$BN$49,ROW($A9)-2,FALSE)</f>
        <v>9.0357610268040798</v>
      </c>
      <c r="Q9" s="21">
        <f t="shared" si="14"/>
        <v>0.8943727736636552</v>
      </c>
      <c r="R9" s="20">
        <f>HLOOKUP(R$2,state_summ!$A$1:$BN$49,ROW($A9)-2,FALSE)</f>
        <v>118.748542321428</v>
      </c>
      <c r="S9" s="20">
        <f>HLOOKUP(S$2,state_summ!$A$1:$BN$49,ROW($A9)-2,FALSE)</f>
        <v>173.958726631785</v>
      </c>
      <c r="T9" s="21">
        <f t="shared" si="15"/>
        <v>1.4649335750237196</v>
      </c>
      <c r="U9" s="33">
        <f>HLOOKUP(U$2,state_summ!$A$1:$BN$49,ROW($A9)-2,FALSE)</f>
        <v>951.33084499999995</v>
      </c>
      <c r="V9" s="22" t="str">
        <f>HLOOKUP(V$2,state_summ!$A$1:$AL$49,ROW($A9)-2,FALSE)</f>
        <v>1121 (1010, 1258)</v>
      </c>
      <c r="W9" s="23" t="str">
        <f>HLOOKUP(W$2,state_summ!$A$1:$AL$49,ROW($A9)-2,FALSE)</f>
        <v>1.56 (1.40, 1.75)</v>
      </c>
      <c r="X9" s="24" t="str">
        <f>HLOOKUP(X$2,state_summ!$A$1:$AM$49,ROW($A9)-2,FALSE)</f>
        <v>0.55 (0.37, 0.76)</v>
      </c>
      <c r="Y9" s="10" t="str">
        <f>state_summ!AN7</f>
        <v>55 (37, 76)</v>
      </c>
    </row>
    <row r="10" spans="1:39" x14ac:dyDescent="0.2">
      <c r="A10" s="19" t="str">
        <f>_xlfn.CONCAT(ROW(A10)-3, ". ", state_summ!A8)</f>
        <v>7. Iowa</v>
      </c>
      <c r="B10" s="33">
        <f>HLOOKUP(B$2,state_summ!$A$1:$BN$49,ROW($A10)-2,FALSE)</f>
        <v>555.41527964285694</v>
      </c>
      <c r="C10" s="34">
        <f>HLOOKUP(C$2,state_summ!$A$1:$BN$49,ROW($A10)-2,FALSE)</f>
        <v>792.88102031679102</v>
      </c>
      <c r="D10" s="21">
        <f t="shared" si="9"/>
        <v>1.4275462872152693</v>
      </c>
      <c r="E10" s="20">
        <f>HLOOKUP(E$2,state_summ!$A$1:$BN$49,ROW($A10)-2,FALSE)</f>
        <v>56.866154642857097</v>
      </c>
      <c r="F10" s="20">
        <f>HLOOKUP(F$2,state_summ!$A$1:$BN$49,ROW($A10)-2,FALSE)</f>
        <v>59.063531487134497</v>
      </c>
      <c r="G10" s="21">
        <f t="shared" si="10"/>
        <v>1.0386412068492732</v>
      </c>
      <c r="H10" s="33">
        <f>HLOOKUP(H$2,state_summ!$A$1:$BN$49,ROW($A10)-2,FALSE)</f>
        <v>0</v>
      </c>
      <c r="I10" s="34">
        <f>HLOOKUP(I$2,state_summ!$A$1:$AC$49,ROW($A10)-2,FALSE)</f>
        <v>0</v>
      </c>
      <c r="J10" s="20">
        <f t="shared" si="11"/>
        <v>0</v>
      </c>
      <c r="K10" s="21" t="str">
        <f t="shared" si="12"/>
        <v>N/A</v>
      </c>
      <c r="L10" s="20">
        <f>HLOOKUP(L$2,state_summ!$A$1:$BN$49,ROW($A10)-2,FALSE)</f>
        <v>64.696299571428497</v>
      </c>
      <c r="M10" s="20">
        <f>HLOOKUP(M$2,state_summ!$A$1:$BN$49,ROW($A10)-2,FALSE)</f>
        <v>116.43266462864</v>
      </c>
      <c r="N10" s="21">
        <f t="shared" si="13"/>
        <v>1.7996804361289864</v>
      </c>
      <c r="O10" s="33">
        <f>HLOOKUP(O$2,state_summ!$A$1:$BN$49,ROW($A10)-2,FALSE)</f>
        <v>23.716033249999999</v>
      </c>
      <c r="P10" s="34">
        <f>HLOOKUP(P$2,state_summ!$A$1:$BN$49,ROW($A10)-2,FALSE)</f>
        <v>12.966711119269499</v>
      </c>
      <c r="Q10" s="21">
        <f t="shared" si="14"/>
        <v>0.54674873249595823</v>
      </c>
      <c r="R10" s="20">
        <f>HLOOKUP(R$2,state_summ!$A$1:$BN$49,ROW($A10)-2,FALSE)</f>
        <v>5.8867073214285703</v>
      </c>
      <c r="S10" s="20">
        <f>HLOOKUP(S$2,state_summ!$A$1:$BN$49,ROW($A10)-2,FALSE)</f>
        <v>7.4151287878479701</v>
      </c>
      <c r="T10" s="21">
        <f t="shared" si="15"/>
        <v>1.2596394525774532</v>
      </c>
      <c r="U10" s="33">
        <f>HLOOKUP(U$2,state_summ!$A$1:$BN$49,ROW($A10)-2,FALSE)</f>
        <v>706.58047464285698</v>
      </c>
      <c r="V10" s="22" t="str">
        <f>HLOOKUP(V$2,state_summ!$A$1:$AL$49,ROW($A10)-2,FALSE)</f>
        <v>989 (952, 1010)</v>
      </c>
      <c r="W10" s="23" t="str">
        <f>HLOOKUP(W$2,state_summ!$A$1:$AL$49,ROW($A10)-2,FALSE)</f>
        <v>1.33 (1.28, 1.36)</v>
      </c>
      <c r="X10" s="24" t="str">
        <f>HLOOKUP(X$2,state_summ!$A$1:$AM$49,ROW($A10)-2,FALSE)</f>
        <v>0.74 (0.59, 0.88)</v>
      </c>
      <c r="Y10" s="10" t="str">
        <f>state_summ!AN8</f>
        <v>74 (59, 88)</v>
      </c>
      <c r="Z10" s="2">
        <f>AA4-Z4</f>
        <v>883.30639501786618</v>
      </c>
      <c r="AA10" s="2"/>
      <c r="AB10" s="2">
        <f>AC4-AB4</f>
        <v>2044.2020296618593</v>
      </c>
      <c r="AC10" s="2"/>
      <c r="AD10" s="2">
        <f t="shared" ref="AD10:AJ10" si="40">AE4-AD4</f>
        <v>107.96831167847995</v>
      </c>
      <c r="AE10" s="2"/>
      <c r="AF10" s="2">
        <f t="shared" si="40"/>
        <v>788.25867668285764</v>
      </c>
      <c r="AG10" s="2"/>
      <c r="AH10" s="2">
        <f t="shared" si="40"/>
        <v>-58.643230657954575</v>
      </c>
      <c r="AI10" s="2"/>
      <c r="AJ10" s="2">
        <f t="shared" si="40"/>
        <v>24.17702654255902</v>
      </c>
      <c r="AK10" s="2"/>
      <c r="AL10" s="2">
        <f>SUM(AJ10,AF10,AD10,AB10,Z10)</f>
        <v>3847.912439583622</v>
      </c>
      <c r="AM10" s="2"/>
    </row>
    <row r="11" spans="1:39" x14ac:dyDescent="0.2">
      <c r="A11" s="19" t="str">
        <f>_xlfn.CONCAT(ROW(A11)-3, ". ", state_summ!A9)</f>
        <v>8. Illinois</v>
      </c>
      <c r="B11" s="33">
        <f>HLOOKUP(B$2,state_summ!$A$1:$BN$49,ROW($A11)-2,FALSE)</f>
        <v>159.63096899999999</v>
      </c>
      <c r="C11" s="34">
        <f>HLOOKUP(C$2,state_summ!$A$1:$BN$49,ROW($A11)-2,FALSE)</f>
        <v>191.21044333387499</v>
      </c>
      <c r="D11" s="21">
        <f t="shared" si="9"/>
        <v>1.197827993726424</v>
      </c>
      <c r="E11" s="20">
        <f>HLOOKUP(E$2,state_summ!$A$1:$BN$49,ROW($A11)-2,FALSE)</f>
        <v>139.99692996428499</v>
      </c>
      <c r="F11" s="20">
        <f>HLOOKUP(F$2,state_summ!$A$1:$BN$49,ROW($A11)-2,FALSE)</f>
        <v>121.05212151056701</v>
      </c>
      <c r="G11" s="21">
        <f t="shared" si="10"/>
        <v>0.86467697214109596</v>
      </c>
      <c r="H11" s="33">
        <f>HLOOKUP(H$2,state_summ!$A$1:$BN$49,ROW($A11)-2,FALSE)</f>
        <v>125.625976964285</v>
      </c>
      <c r="I11" s="34">
        <f>HLOOKUP(I$2,state_summ!$A$1:$AC$49,ROW($A11)-2,FALSE)</f>
        <v>169.83891794362199</v>
      </c>
      <c r="J11" s="20">
        <f t="shared" si="11"/>
        <v>44.212940979336992</v>
      </c>
      <c r="K11" s="21">
        <f t="shared" si="12"/>
        <v>1.3519410718048113</v>
      </c>
      <c r="L11" s="20">
        <f>HLOOKUP(L$2,state_summ!$A$1:$BN$49,ROW($A11)-2,FALSE)</f>
        <v>162.35950321428501</v>
      </c>
      <c r="M11" s="20">
        <f>HLOOKUP(M$2,state_summ!$A$1:$BN$49,ROW($A11)-2,FALSE)</f>
        <v>367.52087746767501</v>
      </c>
      <c r="N11" s="21">
        <f t="shared" si="13"/>
        <v>2.2636240576728932</v>
      </c>
      <c r="O11" s="33">
        <f>HLOOKUP(O$2,state_summ!$A$1:$BN$49,ROW($A11)-2,FALSE)</f>
        <v>25.0702181071428</v>
      </c>
      <c r="P11" s="34">
        <f>HLOOKUP(P$2,state_summ!$A$1:$BN$49,ROW($A11)-2,FALSE)</f>
        <v>36.608588960589302</v>
      </c>
      <c r="Q11" s="21">
        <f t="shared" si="14"/>
        <v>1.4602421408595199</v>
      </c>
      <c r="R11" s="20">
        <f>HLOOKUP(R$2,state_summ!$A$1:$BN$49,ROW($A11)-2,FALSE)</f>
        <v>17.486291392857101</v>
      </c>
      <c r="S11" s="20">
        <f>HLOOKUP(S$2,state_summ!$A$1:$BN$49,ROW($A11)-2,FALSE)</f>
        <v>20.7104589583777</v>
      </c>
      <c r="T11" s="21">
        <f t="shared" si="15"/>
        <v>1.1843825825090404</v>
      </c>
      <c r="U11" s="33">
        <f>HLOOKUP(U$2,state_summ!$A$1:$BN$49,ROW($A11)-2,FALSE)</f>
        <v>630.16988857142803</v>
      </c>
      <c r="V11" s="22" t="str">
        <f>HLOOKUP(V$2,state_summ!$A$1:$AL$49,ROW($A11)-2,FALSE)</f>
        <v>907 (862, 944)</v>
      </c>
      <c r="W11" s="23" t="str">
        <f>HLOOKUP(W$2,state_summ!$A$1:$AL$49,ROW($A11)-2,FALSE)</f>
        <v>1.24 (1.18, 1.29)</v>
      </c>
      <c r="X11" s="24" t="str">
        <f>HLOOKUP(X$2,state_summ!$A$1:$AM$49,ROW($A11)-2,FALSE)</f>
        <v>0.53 (0.33, 0.79)</v>
      </c>
      <c r="Y11" s="10" t="str">
        <f>state_summ!AN9</f>
        <v>53 (33, 79)</v>
      </c>
      <c r="Z11" s="3">
        <f>Z10/$AL$10</f>
        <v>0.22955470242286691</v>
      </c>
      <c r="AA11" s="3"/>
      <c r="AB11" s="3">
        <f>AB10/$AL$10</f>
        <v>0.53124962216735372</v>
      </c>
      <c r="AC11" s="3"/>
      <c r="AD11" s="3">
        <f>AD10/$AL$10</f>
        <v>2.8058931530719308E-2</v>
      </c>
      <c r="AE11" s="3"/>
      <c r="AF11" s="3">
        <f>AF10/$AL$10</f>
        <v>0.2048535898514765</v>
      </c>
      <c r="AG11" s="3"/>
      <c r="AH11" s="3">
        <f>AH10/$AL$10</f>
        <v>-1.5240271596278913E-2</v>
      </c>
      <c r="AI11" s="3"/>
      <c r="AJ11" s="3">
        <f>AJ10/$AL$10</f>
        <v>6.2831540275836385E-3</v>
      </c>
      <c r="AK11" s="3"/>
      <c r="AL11" s="3">
        <f>AL10/$AL$10</f>
        <v>1</v>
      </c>
      <c r="AM11" s="3"/>
    </row>
    <row r="12" spans="1:39" x14ac:dyDescent="0.2">
      <c r="A12" s="19" t="str">
        <f>_xlfn.CONCAT(ROW(A12)-3, ". ", state_summ!A10)</f>
        <v>9. Florida</v>
      </c>
      <c r="B12" s="33">
        <f>HLOOKUP(B$2,state_summ!$A$1:$BN$49,ROW($A12)-2,FALSE)</f>
        <v>154.646340964285</v>
      </c>
      <c r="C12" s="34">
        <f>HLOOKUP(C$2,state_summ!$A$1:$BN$49,ROW($A12)-2,FALSE)</f>
        <v>249.97944252352099</v>
      </c>
      <c r="D12" s="21">
        <f t="shared" si="9"/>
        <v>1.6164588244687459</v>
      </c>
      <c r="E12" s="20">
        <f>HLOOKUP(E$2,state_summ!$A$1:$BN$49,ROW($A12)-2,FALSE)</f>
        <v>56.384702535714197</v>
      </c>
      <c r="F12" s="20">
        <f>HLOOKUP(F$2,state_summ!$A$1:$BN$49,ROW($A12)-2,FALSE)</f>
        <v>25.699834458563</v>
      </c>
      <c r="G12" s="21">
        <f t="shared" si="10"/>
        <v>0.45579444960775783</v>
      </c>
      <c r="H12" s="33">
        <f>HLOOKUP(H$2,state_summ!$A$1:$BN$49,ROW($A12)-2,FALSE)</f>
        <v>0</v>
      </c>
      <c r="I12" s="34">
        <f>HLOOKUP(I$2,state_summ!$A$1:$AC$49,ROW($A12)-2,FALSE)</f>
        <v>0</v>
      </c>
      <c r="J12" s="20">
        <f t="shared" si="11"/>
        <v>0</v>
      </c>
      <c r="K12" s="21" t="str">
        <f t="shared" si="12"/>
        <v>N/A</v>
      </c>
      <c r="L12" s="20">
        <f>HLOOKUP(L$2,state_summ!$A$1:$BN$49,ROW($A12)-2,FALSE)</f>
        <v>312.985471535714</v>
      </c>
      <c r="M12" s="20">
        <f>HLOOKUP(M$2,state_summ!$A$1:$BN$49,ROW($A12)-2,FALSE)</f>
        <v>540.41623187236996</v>
      </c>
      <c r="N12" s="21">
        <f t="shared" si="13"/>
        <v>1.7266495764826719</v>
      </c>
      <c r="O12" s="33">
        <f>HLOOKUP(O$2,state_summ!$A$1:$BN$49,ROW($A12)-2,FALSE)</f>
        <v>37.761824285714198</v>
      </c>
      <c r="P12" s="34">
        <f>HLOOKUP(P$2,state_summ!$A$1:$BN$49,ROW($A12)-2,FALSE)</f>
        <v>15.3248477246329</v>
      </c>
      <c r="Q12" s="21">
        <f t="shared" si="14"/>
        <v>0.40582911484047379</v>
      </c>
      <c r="R12" s="20">
        <f>HLOOKUP(R$2,state_summ!$A$1:$BN$49,ROW($A12)-2,FALSE)</f>
        <v>22.268730964285702</v>
      </c>
      <c r="S12" s="20">
        <f>HLOOKUP(S$2,state_summ!$A$1:$BN$49,ROW($A12)-2,FALSE)</f>
        <v>46.552020854268697</v>
      </c>
      <c r="T12" s="21">
        <f t="shared" si="15"/>
        <v>2.090465816347066</v>
      </c>
      <c r="U12" s="33">
        <f>HLOOKUP(U$2,state_summ!$A$1:$BN$49,ROW($A12)-2,FALSE)</f>
        <v>584.04707035714205</v>
      </c>
      <c r="V12" s="22" t="str">
        <f>HLOOKUP(V$2,state_summ!$A$1:$AL$49,ROW($A12)-2,FALSE)</f>
        <v>878 (699, 1106)</v>
      </c>
      <c r="W12" s="23" t="str">
        <f>HLOOKUP(W$2,state_summ!$A$1:$AL$49,ROW($A12)-2,FALSE)</f>
        <v>1.69 (1.34, 2.12)</v>
      </c>
      <c r="X12" s="24" t="str">
        <f>HLOOKUP(X$2,state_summ!$A$1:$AM$49,ROW($A12)-2,FALSE)</f>
        <v>0.34 (0.14, 0.58)</v>
      </c>
      <c r="Y12" s="10" t="str">
        <f>state_summ!AN10</f>
        <v>34 (14, 58)</v>
      </c>
    </row>
    <row r="13" spans="1:39" x14ac:dyDescent="0.2">
      <c r="A13" s="50" t="str">
        <f>_xlfn.CONCAT(ROW(A13)-3, ". ", state_summ!A11)</f>
        <v>10. Kansas</v>
      </c>
      <c r="B13" s="51">
        <f>HLOOKUP(B$2,state_summ!$A$1:$BN$49,ROW($A13)-2,FALSE)</f>
        <v>490.42694999999998</v>
      </c>
      <c r="C13" s="52">
        <f>HLOOKUP(C$2,state_summ!$A$1:$BN$49,ROW($A13)-2,FALSE)</f>
        <v>448.44573660248801</v>
      </c>
      <c r="D13" s="53">
        <f t="shared" si="9"/>
        <v>0.9143986410259225</v>
      </c>
      <c r="E13" s="54">
        <f>HLOOKUP(E$2,state_summ!$A$1:$BN$49,ROW($A13)-2,FALSE)</f>
        <v>428.82826499999999</v>
      </c>
      <c r="F13" s="54">
        <f>HLOOKUP(F$2,state_summ!$A$1:$BN$49,ROW($A13)-2,FALSE)</f>
        <v>358.27488257082803</v>
      </c>
      <c r="G13" s="53">
        <f t="shared" si="10"/>
        <v>0.83547403893917305</v>
      </c>
      <c r="H13" s="51">
        <f>HLOOKUP(H$2,state_summ!$A$1:$BN$49,ROW($A13)-2,FALSE)</f>
        <v>0</v>
      </c>
      <c r="I13" s="52">
        <f>HLOOKUP(I$2,state_summ!$A$1:$AC$49,ROW($A13)-2,FALSE)</f>
        <v>8.2937014608189197E-2</v>
      </c>
      <c r="J13" s="54">
        <f t="shared" si="11"/>
        <v>8.2937014608189197E-2</v>
      </c>
      <c r="K13" s="53" t="str">
        <f t="shared" si="12"/>
        <v>N/A</v>
      </c>
      <c r="L13" s="54">
        <f>HLOOKUP(L$2,state_summ!$A$1:$BN$49,ROW($A13)-2,FALSE)</f>
        <v>54.902161428571397</v>
      </c>
      <c r="M13" s="54">
        <f>HLOOKUP(M$2,state_summ!$A$1:$BN$49,ROW($A13)-2,FALSE)</f>
        <v>40.576366326111398</v>
      </c>
      <c r="N13" s="53">
        <f t="shared" si="13"/>
        <v>0.73906682852371686</v>
      </c>
      <c r="O13" s="51">
        <f>HLOOKUP(O$2,state_summ!$A$1:$BN$49,ROW($A13)-2,FALSE)</f>
        <v>19.3832440714285</v>
      </c>
      <c r="P13" s="52">
        <f>HLOOKUP(P$2,state_summ!$A$1:$BN$49,ROW($A13)-2,FALSE)</f>
        <v>9.0149748946213304</v>
      </c>
      <c r="Q13" s="53">
        <f t="shared" si="14"/>
        <v>0.46509113032888449</v>
      </c>
      <c r="R13" s="54">
        <f>HLOOKUP(R$2,state_summ!$A$1:$BN$49,ROW($A13)-2,FALSE)</f>
        <v>5.0323465357142796</v>
      </c>
      <c r="S13" s="54">
        <f>HLOOKUP(S$2,state_summ!$A$1:$BN$49,ROW($A13)-2,FALSE)</f>
        <v>3.1584693908271801</v>
      </c>
      <c r="T13" s="53">
        <f t="shared" si="15"/>
        <v>0.62763352412472018</v>
      </c>
      <c r="U13" s="51">
        <f>HLOOKUP(U$2,state_summ!$A$1:$BN$49,ROW($A13)-2,FALSE)</f>
        <v>998.57296678571402</v>
      </c>
      <c r="V13" s="55" t="str">
        <f>HLOOKUP(V$2,state_summ!$A$1:$AL$49,ROW($A13)-2,FALSE)</f>
        <v>860 (839, 888)</v>
      </c>
      <c r="W13" s="56" t="str">
        <f>HLOOKUP(W$2,state_summ!$A$1:$AL$49,ROW($A13)-2,FALSE)</f>
        <v>0.98 (0.96, 1.01)</v>
      </c>
      <c r="X13" s="57" t="str">
        <f>HLOOKUP(X$2,state_summ!$A$1:$AM$49,ROW($A13)-2,FALSE)</f>
        <v>0.79 (0.69, 0.89)</v>
      </c>
      <c r="Y13" s="10" t="str">
        <f>state_summ!AN11</f>
        <v>79 (69, 89)</v>
      </c>
      <c r="Z13" s="2">
        <f>AA7-Z7</f>
        <v>982.86289944909913</v>
      </c>
      <c r="AA13" s="2"/>
      <c r="AB13" s="2">
        <f t="shared" ref="AB13" si="41">AC7-AB7</f>
        <v>993.63127529652047</v>
      </c>
      <c r="AC13" s="2"/>
      <c r="AD13" s="2">
        <f t="shared" ref="AD13" si="42">AE7-AD7</f>
        <v>-601.4450915263526</v>
      </c>
      <c r="AE13" s="2"/>
      <c r="AF13" s="2">
        <f t="shared" ref="AF13" si="43">AG7-AF7</f>
        <v>2174.8201044080415</v>
      </c>
      <c r="AG13" s="2"/>
      <c r="AH13" s="2">
        <f t="shared" ref="AH13" si="44">AI7-AH7</f>
        <v>-140.96584804942233</v>
      </c>
      <c r="AI13" s="2"/>
      <c r="AJ13" s="2">
        <f t="shared" ref="AJ13" si="45">AK7-AJ7</f>
        <v>-84.68533512536078</v>
      </c>
      <c r="AK13" s="2"/>
      <c r="AL13" s="2">
        <f>SUM(AJ13,AF13,AD13,AB13,Z13)</f>
        <v>3465.1838525019475</v>
      </c>
      <c r="AM13" s="2"/>
    </row>
    <row r="14" spans="1:39" x14ac:dyDescent="0.2">
      <c r="A14" s="38" t="str">
        <f>_xlfn.CONCAT(ROW(A14)-3, ". ", state_summ!A12)</f>
        <v>11. Colorado</v>
      </c>
      <c r="B14" s="39">
        <f>HLOOKUP(B$2,state_summ!$A$1:$BN$49,ROW($A14)-2,FALSE)</f>
        <v>262.84391592857099</v>
      </c>
      <c r="C14" s="40">
        <f>HLOOKUP(C$2,state_summ!$A$1:$BN$49,ROW($A14)-2,FALSE)</f>
        <v>232.115122421027</v>
      </c>
      <c r="D14" s="41">
        <f t="shared" si="9"/>
        <v>0.88309109838443178</v>
      </c>
      <c r="E14" s="42">
        <f>HLOOKUP(E$2,state_summ!$A$1:$BN$49,ROW($A14)-2,FALSE)</f>
        <v>464.80676107142801</v>
      </c>
      <c r="F14" s="42">
        <f>HLOOKUP(F$2,state_summ!$A$1:$BN$49,ROW($A14)-2,FALSE)</f>
        <v>350.62172321008302</v>
      </c>
      <c r="G14" s="41">
        <f t="shared" si="10"/>
        <v>0.75433868991462905</v>
      </c>
      <c r="H14" s="39">
        <f>HLOOKUP(H$2,state_summ!$A$1:$BN$49,ROW($A14)-2,FALSE)</f>
        <v>65.0166053214285</v>
      </c>
      <c r="I14" s="40">
        <f>HLOOKUP(I$2,state_summ!$A$1:$AC$49,ROW($A14)-2,FALSE)</f>
        <v>102.02377153818</v>
      </c>
      <c r="J14" s="42">
        <f t="shared" si="11"/>
        <v>37.0071662167515</v>
      </c>
      <c r="K14" s="41">
        <f t="shared" si="12"/>
        <v>1.5691956083187641</v>
      </c>
      <c r="L14" s="42">
        <f>HLOOKUP(L$2,state_summ!$A$1:$BN$49,ROW($A14)-2,FALSE)</f>
        <v>73.763657892857097</v>
      </c>
      <c r="M14" s="42">
        <f>HLOOKUP(M$2,state_summ!$A$1:$BN$49,ROW($A14)-2,FALSE)</f>
        <v>110.029624091946</v>
      </c>
      <c r="N14" s="41">
        <f t="shared" si="13"/>
        <v>1.4916508648712326</v>
      </c>
      <c r="O14" s="39">
        <f>HLOOKUP(O$2,state_summ!$A$1:$BN$49,ROW($A14)-2,FALSE)</f>
        <v>14.0982402857142</v>
      </c>
      <c r="P14" s="40">
        <f>HLOOKUP(P$2,state_summ!$A$1:$BN$49,ROW($A14)-2,FALSE)</f>
        <v>3.7403009758207002</v>
      </c>
      <c r="Q14" s="41">
        <f t="shared" si="14"/>
        <v>0.2653026831732157</v>
      </c>
      <c r="R14" s="42">
        <f>HLOOKUP(R$2,state_summ!$A$1:$BN$49,ROW($A14)-2,FALSE)</f>
        <v>10.273468178571401</v>
      </c>
      <c r="S14" s="42">
        <f>HLOOKUP(S$2,state_summ!$A$1:$BN$49,ROW($A14)-2,FALSE)</f>
        <v>5.24086823578312</v>
      </c>
      <c r="T14" s="41">
        <f t="shared" si="15"/>
        <v>0.51013622125336644</v>
      </c>
      <c r="U14" s="39">
        <f>HLOOKUP(U$2,state_summ!$A$1:$BN$49,ROW($A14)-2,FALSE)</f>
        <v>890.80264892857099</v>
      </c>
      <c r="V14" s="43" t="str">
        <f>HLOOKUP(V$2,state_summ!$A$1:$AL$49,ROW($A14)-2,FALSE)</f>
        <v>804 (740, 861)</v>
      </c>
      <c r="W14" s="44" t="str">
        <f>HLOOKUP(W$2,state_summ!$A$1:$AL$49,ROW($A14)-2,FALSE)</f>
        <v>0.86 (0.80, 0.93)</v>
      </c>
      <c r="X14" s="45" t="str">
        <f>HLOOKUP(X$2,state_summ!$A$1:$AM$49,ROW($A14)-2,FALSE)</f>
        <v>0.57 (0.45, 0.71)</v>
      </c>
      <c r="Y14" s="10" t="str">
        <f>state_summ!AN12</f>
        <v>57 (45, 71)</v>
      </c>
      <c r="Z14" s="3">
        <f>Z13/$AL$10</f>
        <v>0.25542756361562469</v>
      </c>
      <c r="AA14" s="3"/>
      <c r="AB14" s="3">
        <f>AB13/$AL$10</f>
        <v>0.25822606176663421</v>
      </c>
      <c r="AC14" s="3"/>
      <c r="AD14" s="3">
        <f>AD13/$AL$10</f>
        <v>-0.15630425613100341</v>
      </c>
      <c r="AE14" s="3"/>
      <c r="AF14" s="3">
        <f>AF13/$AL$10</f>
        <v>0.56519480070169581</v>
      </c>
      <c r="AG14" s="3"/>
      <c r="AH14" s="3">
        <f>AH13/$AL$10</f>
        <v>-3.6634370002628251E-2</v>
      </c>
      <c r="AI14" s="3"/>
      <c r="AJ14" s="3">
        <f>AJ13/$AL$10</f>
        <v>-2.2008124263483624E-2</v>
      </c>
      <c r="AK14" s="3"/>
      <c r="AL14" s="3">
        <f>AL13/$AL$10</f>
        <v>0.90053604568946766</v>
      </c>
      <c r="AM14" s="3"/>
    </row>
    <row r="15" spans="1:39" x14ac:dyDescent="0.2">
      <c r="A15" s="19" t="str">
        <f>_xlfn.CONCAT(ROW(A15)-3, ". ", state_summ!A13)</f>
        <v>12. Michigan</v>
      </c>
      <c r="B15" s="33">
        <f>HLOOKUP(B$2,state_summ!$A$1:$BN$49,ROW($A15)-2,FALSE)</f>
        <v>181.54699739285701</v>
      </c>
      <c r="C15" s="34">
        <f>HLOOKUP(C$2,state_summ!$A$1:$BN$49,ROW($A15)-2,FALSE)</f>
        <v>187.07800011193899</v>
      </c>
      <c r="D15" s="21">
        <f t="shared" si="9"/>
        <v>1.0304659553642368</v>
      </c>
      <c r="E15" s="20">
        <f>HLOOKUP(E$2,state_summ!$A$1:$BN$49,ROW($A15)-2,FALSE)</f>
        <v>127.131542392857</v>
      </c>
      <c r="F15" s="20">
        <f>HLOOKUP(F$2,state_summ!$A$1:$BN$49,ROW($A15)-2,FALSE)</f>
        <v>121.402673526371</v>
      </c>
      <c r="G15" s="21">
        <f t="shared" si="10"/>
        <v>0.95493747060204093</v>
      </c>
      <c r="H15" s="33">
        <f>HLOOKUP(H$2,state_summ!$A$1:$BN$49,ROW($A15)-2,FALSE)</f>
        <v>0</v>
      </c>
      <c r="I15" s="34">
        <f>HLOOKUP(I$2,state_summ!$A$1:$AC$49,ROW($A15)-2,FALSE)</f>
        <v>0</v>
      </c>
      <c r="J15" s="20">
        <f t="shared" si="11"/>
        <v>0</v>
      </c>
      <c r="K15" s="21" t="str">
        <f t="shared" si="12"/>
        <v>N/A</v>
      </c>
      <c r="L15" s="20">
        <f>HLOOKUP(L$2,state_summ!$A$1:$BN$49,ROW($A15)-2,FALSE)</f>
        <v>197.42778167857099</v>
      </c>
      <c r="M15" s="20">
        <f>HLOOKUP(M$2,state_summ!$A$1:$BN$49,ROW($A15)-2,FALSE)</f>
        <v>392.41226207367203</v>
      </c>
      <c r="N15" s="21">
        <f t="shared" si="13"/>
        <v>1.9876243289434925</v>
      </c>
      <c r="O15" s="33">
        <f>HLOOKUP(O$2,state_summ!$A$1:$BN$49,ROW($A15)-2,FALSE)</f>
        <v>23.386571892857098</v>
      </c>
      <c r="P15" s="34">
        <f>HLOOKUP(P$2,state_summ!$A$1:$BN$49,ROW($A15)-2,FALSE)</f>
        <v>18.915477791434402</v>
      </c>
      <c r="Q15" s="21">
        <f t="shared" si="14"/>
        <v>0.80881789251086045</v>
      </c>
      <c r="R15" s="20">
        <f>HLOOKUP(R$2,state_summ!$A$1:$BN$49,ROW($A15)-2,FALSE)</f>
        <v>27.5165614285714</v>
      </c>
      <c r="S15" s="20">
        <f>HLOOKUP(S$2,state_summ!$A$1:$BN$49,ROW($A15)-2,FALSE)</f>
        <v>22.282923043139998</v>
      </c>
      <c r="T15" s="21">
        <f t="shared" si="15"/>
        <v>0.80980042150189835</v>
      </c>
      <c r="U15" s="33">
        <f>HLOOKUP(U$2,state_summ!$A$1:$BN$49,ROW($A15)-2,FALSE)</f>
        <v>557.00945464285701</v>
      </c>
      <c r="V15" s="22" t="str">
        <f>HLOOKUP(V$2,state_summ!$A$1:$AL$49,ROW($A15)-2,FALSE)</f>
        <v>742 (674, 813)</v>
      </c>
      <c r="W15" s="23" t="str">
        <f>HLOOKUP(W$2,state_summ!$A$1:$AL$49,ROW($A15)-2,FALSE)</f>
        <v>1.31 (1.19, 1.43)</v>
      </c>
      <c r="X15" s="24" t="str">
        <f>HLOOKUP(X$2,state_summ!$A$1:$AM$49,ROW($A15)-2,FALSE)</f>
        <v>0.48 (0.25, 0.74)</v>
      </c>
      <c r="Y15" s="10" t="str">
        <f>state_summ!AN13</f>
        <v>48 (25, 74)</v>
      </c>
    </row>
    <row r="16" spans="1:39" x14ac:dyDescent="0.2">
      <c r="A16" s="19" t="str">
        <f>_xlfn.CONCAT(ROW(A16)-3, ". ", state_summ!A14)</f>
        <v>13. Alabama</v>
      </c>
      <c r="B16" s="33">
        <f>HLOOKUP(B$2,state_summ!$A$1:$BN$49,ROW($A16)-2,FALSE)</f>
        <v>101.743488571428</v>
      </c>
      <c r="C16" s="34">
        <f>HLOOKUP(C$2,state_summ!$A$1:$BN$49,ROW($A16)-2,FALSE)</f>
        <v>108.66510476916</v>
      </c>
      <c r="D16" s="21">
        <f t="shared" si="9"/>
        <v>1.068030065559161</v>
      </c>
      <c r="E16" s="20">
        <f>HLOOKUP(E$2,state_summ!$A$1:$BN$49,ROW($A16)-2,FALSE)</f>
        <v>108.07697771428499</v>
      </c>
      <c r="F16" s="20">
        <f>HLOOKUP(F$2,state_summ!$A$1:$BN$49,ROW($A16)-2,FALSE)</f>
        <v>119.58952875525</v>
      </c>
      <c r="G16" s="21">
        <f t="shared" si="10"/>
        <v>1.106521770727156</v>
      </c>
      <c r="H16" s="33">
        <f>HLOOKUP(H$2,state_summ!$A$1:$BN$49,ROW($A16)-2,FALSE)</f>
        <v>183.46791682142799</v>
      </c>
      <c r="I16" s="34">
        <f>HLOOKUP(I$2,state_summ!$A$1:$AC$49,ROW($A16)-2,FALSE)</f>
        <v>153.69349758064899</v>
      </c>
      <c r="J16" s="20">
        <f t="shared" si="11"/>
        <v>-29.774419240778997</v>
      </c>
      <c r="K16" s="21">
        <f t="shared" si="12"/>
        <v>0.83771321026248491</v>
      </c>
      <c r="L16" s="20">
        <f>HLOOKUP(L$2,state_summ!$A$1:$BN$49,ROW($A16)-2,FALSE)</f>
        <v>168.797808857142</v>
      </c>
      <c r="M16" s="20">
        <f>HLOOKUP(M$2,state_summ!$A$1:$BN$49,ROW($A16)-2,FALSE)</f>
        <v>259.00218521543002</v>
      </c>
      <c r="N16" s="21">
        <f t="shared" si="13"/>
        <v>1.5343930526647436</v>
      </c>
      <c r="O16" s="33">
        <f>HLOOKUP(O$2,state_summ!$A$1:$BN$49,ROW($A16)-2,FALSE)</f>
        <v>19.426814178571401</v>
      </c>
      <c r="P16" s="34">
        <f>HLOOKUP(P$2,state_summ!$A$1:$BN$49,ROW($A16)-2,FALSE)</f>
        <v>25.0727296915104</v>
      </c>
      <c r="Q16" s="21">
        <f t="shared" si="14"/>
        <v>1.2906248786363892</v>
      </c>
      <c r="R16" s="20">
        <f>HLOOKUP(R$2,state_summ!$A$1:$BN$49,ROW($A16)-2,FALSE)</f>
        <v>10.054219178571399</v>
      </c>
      <c r="S16" s="20">
        <f>HLOOKUP(S$2,state_summ!$A$1:$BN$49,ROW($A16)-2,FALSE)</f>
        <v>10.500529015994401</v>
      </c>
      <c r="T16" s="21">
        <f t="shared" si="15"/>
        <v>1.0443903031648867</v>
      </c>
      <c r="U16" s="33">
        <f>HLOOKUP(U$2,state_summ!$A$1:$BN$49,ROW($A16)-2,FALSE)</f>
        <v>591.56722535714198</v>
      </c>
      <c r="V16" s="22" t="str">
        <f>HLOOKUP(V$2,state_summ!$A$1:$AL$49,ROW($A16)-2,FALSE)</f>
        <v>677 (629, 717)</v>
      </c>
      <c r="W16" s="23" t="str">
        <f>HLOOKUP(W$2,state_summ!$A$1:$AL$49,ROW($A16)-2,FALSE)</f>
        <v>1.04 (0.97, 1.11)</v>
      </c>
      <c r="X16" s="24" t="str">
        <f>HLOOKUP(X$2,state_summ!$A$1:$AM$49,ROW($A16)-2,FALSE)</f>
        <v>0.73 (0.59, 0.89)</v>
      </c>
      <c r="Y16" s="10" t="str">
        <f>state_summ!AN14</f>
        <v>73 (59, 89)</v>
      </c>
    </row>
    <row r="17" spans="1:33" x14ac:dyDescent="0.2">
      <c r="A17" s="19" t="str">
        <f>_xlfn.CONCAT(ROW(A17)-3, ". ", state_summ!A15)</f>
        <v>14. North Carolina</v>
      </c>
      <c r="B17" s="33">
        <f>HLOOKUP(B$2,state_summ!$A$1:$BN$49,ROW($A17)-2,FALSE)</f>
        <v>265.61441789285698</v>
      </c>
      <c r="C17" s="34">
        <f>HLOOKUP(C$2,state_summ!$A$1:$BN$49,ROW($A17)-2,FALSE)</f>
        <v>375.10513372086501</v>
      </c>
      <c r="D17" s="21">
        <f t="shared" si="9"/>
        <v>1.412216764046951</v>
      </c>
      <c r="E17" s="20">
        <f>HLOOKUP(E$2,state_summ!$A$1:$BN$49,ROW($A17)-2,FALSE)</f>
        <v>41.212603714285699</v>
      </c>
      <c r="F17" s="20">
        <f>HLOOKUP(F$2,state_summ!$A$1:$BN$49,ROW($A17)-2,FALSE)</f>
        <v>23.498596926615999</v>
      </c>
      <c r="G17" s="21">
        <f t="shared" si="10"/>
        <v>0.57017986753577965</v>
      </c>
      <c r="H17" s="33">
        <f>HLOOKUP(H$2,state_summ!$A$1:$BN$49,ROW($A17)-2,FALSE)</f>
        <v>0</v>
      </c>
      <c r="I17" s="34">
        <f>HLOOKUP(I$2,state_summ!$A$1:$AC$49,ROW($A17)-2,FALSE)</f>
        <v>0</v>
      </c>
      <c r="J17" s="20">
        <f t="shared" si="11"/>
        <v>0</v>
      </c>
      <c r="K17" s="21" t="str">
        <f t="shared" si="12"/>
        <v>N/A</v>
      </c>
      <c r="L17" s="20">
        <f>HLOOKUP(L$2,state_summ!$A$1:$BN$49,ROW($A17)-2,FALSE)</f>
        <v>186.57082564285699</v>
      </c>
      <c r="M17" s="20">
        <f>HLOOKUP(M$2,state_summ!$A$1:$BN$49,ROW($A17)-2,FALSE)</f>
        <v>225.34061041374</v>
      </c>
      <c r="N17" s="21">
        <f t="shared" si="13"/>
        <v>1.2078019681656875</v>
      </c>
      <c r="O17" s="33">
        <f>HLOOKUP(O$2,state_summ!$A$1:$BN$49,ROW($A17)-2,FALSE)</f>
        <v>32.479269821428502</v>
      </c>
      <c r="P17" s="34">
        <f>HLOOKUP(P$2,state_summ!$A$1:$BN$49,ROW($A17)-2,FALSE)</f>
        <v>16.8922705257147</v>
      </c>
      <c r="Q17" s="21">
        <f t="shared" si="14"/>
        <v>0.52009391278155725</v>
      </c>
      <c r="R17" s="20">
        <f>HLOOKUP(R$2,state_summ!$A$1:$BN$49,ROW($A17)-2,FALSE)</f>
        <v>11.997475178571399</v>
      </c>
      <c r="S17" s="20">
        <f>HLOOKUP(S$2,state_summ!$A$1:$BN$49,ROW($A17)-2,FALSE)</f>
        <v>13.1685180184519</v>
      </c>
      <c r="T17" s="21">
        <f t="shared" si="15"/>
        <v>1.097607440103072</v>
      </c>
      <c r="U17" s="33">
        <f>HLOOKUP(U$2,state_summ!$A$1:$BN$49,ROW($A17)-2,FALSE)</f>
        <v>537.87459214285695</v>
      </c>
      <c r="V17" s="22" t="str">
        <f>HLOOKUP(V$2,state_summ!$A$1:$AL$49,ROW($A17)-2,FALSE)</f>
        <v>654 (547, 744)</v>
      </c>
      <c r="W17" s="23" t="str">
        <f>HLOOKUP(W$2,state_summ!$A$1:$AL$49,ROW($A17)-2,FALSE)</f>
        <v>1.10 (0.92, 1.25)</v>
      </c>
      <c r="X17" s="24" t="str">
        <f>HLOOKUP(X$2,state_summ!$A$1:$AM$49,ROW($A17)-2,FALSE)</f>
        <v>0.45 (0.28, 0.70)</v>
      </c>
      <c r="Y17" s="10" t="str">
        <f>state_summ!AN15</f>
        <v>45 (28, 70)</v>
      </c>
    </row>
    <row r="18" spans="1:33" x14ac:dyDescent="0.2">
      <c r="A18" s="19" t="str">
        <f>_xlfn.CONCAT(ROW(A18)-3, ". ", state_summ!A16)</f>
        <v>15. Ohio</v>
      </c>
      <c r="B18" s="33">
        <f>HLOOKUP(B$2,state_summ!$A$1:$BN$49,ROW($A18)-2,FALSE)</f>
        <v>165.424232678571</v>
      </c>
      <c r="C18" s="34">
        <f>HLOOKUP(C$2,state_summ!$A$1:$BN$49,ROW($A18)-2,FALSE)</f>
        <v>146.009385494235</v>
      </c>
      <c r="D18" s="21">
        <f t="shared" si="9"/>
        <v>0.88263601486935606</v>
      </c>
      <c r="E18" s="20">
        <f>HLOOKUP(E$2,state_summ!$A$1:$BN$49,ROW($A18)-2,FALSE)</f>
        <v>326.89101089285703</v>
      </c>
      <c r="F18" s="20">
        <f>HLOOKUP(F$2,state_summ!$A$1:$BN$49,ROW($A18)-2,FALSE)</f>
        <v>159.63068973916299</v>
      </c>
      <c r="G18" s="21">
        <f t="shared" si="10"/>
        <v>0.48833000731085907</v>
      </c>
      <c r="H18" s="33">
        <f>HLOOKUP(H$2,state_summ!$A$1:$BN$49,ROW($A18)-2,FALSE)</f>
        <v>29.5735038571428</v>
      </c>
      <c r="I18" s="34">
        <f>HLOOKUP(I$2,state_summ!$A$1:$AC$49,ROW($A18)-2,FALSE)</f>
        <v>32.3884762460793</v>
      </c>
      <c r="J18" s="20">
        <f t="shared" si="11"/>
        <v>2.8149723889364999</v>
      </c>
      <c r="K18" s="21">
        <f t="shared" si="12"/>
        <v>1.0951856230000494</v>
      </c>
      <c r="L18" s="20">
        <f>HLOOKUP(L$2,state_summ!$A$1:$BN$49,ROW($A18)-2,FALSE)</f>
        <v>189.001439464285</v>
      </c>
      <c r="M18" s="20">
        <f>HLOOKUP(M$2,state_summ!$A$1:$BN$49,ROW($A18)-2,FALSE)</f>
        <v>243.50773197136101</v>
      </c>
      <c r="N18" s="21">
        <f t="shared" si="13"/>
        <v>1.2883908856015664</v>
      </c>
      <c r="O18" s="33">
        <f>HLOOKUP(O$2,state_summ!$A$1:$BN$49,ROW($A18)-2,FALSE)</f>
        <v>18.829527142857099</v>
      </c>
      <c r="P18" s="34">
        <f>HLOOKUP(P$2,state_summ!$A$1:$BN$49,ROW($A18)-2,FALSE)</f>
        <v>24.347114414100599</v>
      </c>
      <c r="Q18" s="21">
        <f t="shared" si="14"/>
        <v>1.2930284562847651</v>
      </c>
      <c r="R18" s="20">
        <f>HLOOKUP(R$2,state_summ!$A$1:$BN$49,ROW($A18)-2,FALSE)</f>
        <v>17.703126285714202</v>
      </c>
      <c r="S18" s="20">
        <f>HLOOKUP(S$2,state_summ!$A$1:$BN$49,ROW($A18)-2,FALSE)</f>
        <v>16.062962001620701</v>
      </c>
      <c r="T18" s="21">
        <f t="shared" si="15"/>
        <v>0.90735171530595382</v>
      </c>
      <c r="U18" s="33">
        <f>HLOOKUP(U$2,state_summ!$A$1:$BN$49,ROW($A18)-2,FALSE)</f>
        <v>747.42284035714295</v>
      </c>
      <c r="V18" s="22" t="str">
        <f>HLOOKUP(V$2,state_summ!$A$1:$AL$49,ROW($A18)-2,FALSE)</f>
        <v>622 (578, 673)</v>
      </c>
      <c r="W18" s="23" t="str">
        <f>HLOOKUP(W$2,state_summ!$A$1:$AL$49,ROW($A18)-2,FALSE)</f>
        <v>0.86 (0.80, 0.93)</v>
      </c>
      <c r="X18" s="24" t="str">
        <f>HLOOKUP(X$2,state_summ!$A$1:$AM$49,ROW($A18)-2,FALSE)</f>
        <v>0.61 (0.43, 0.82)</v>
      </c>
      <c r="Y18" s="10" t="str">
        <f>state_summ!AN16</f>
        <v>61 (43, 82)</v>
      </c>
    </row>
    <row r="19" spans="1:33" x14ac:dyDescent="0.2">
      <c r="A19" s="19" t="str">
        <f>_xlfn.CONCAT(ROW(A19)-3, ". ", state_summ!A17)</f>
        <v>16. Indiana</v>
      </c>
      <c r="B19" s="33">
        <f>HLOOKUP(B$2,state_summ!$A$1:$BN$49,ROW($A19)-2,FALSE)</f>
        <v>140.45805717857101</v>
      </c>
      <c r="C19" s="34">
        <f>HLOOKUP(C$2,state_summ!$A$1:$BN$49,ROW($A19)-2,FALSE)</f>
        <v>169.82441903396</v>
      </c>
      <c r="D19" s="21">
        <f t="shared" si="9"/>
        <v>1.2090756660406754</v>
      </c>
      <c r="E19" s="20">
        <f>HLOOKUP(E$2,state_summ!$A$1:$BN$49,ROW($A19)-2,FALSE)</f>
        <v>83.215895607142798</v>
      </c>
      <c r="F19" s="20">
        <f>HLOOKUP(F$2,state_summ!$A$1:$BN$49,ROW($A19)-2,FALSE)</f>
        <v>60.250019947301297</v>
      </c>
      <c r="G19" s="21">
        <f t="shared" si="10"/>
        <v>0.72402056731730668</v>
      </c>
      <c r="H19" s="33">
        <f>HLOOKUP(H$2,state_summ!$A$1:$BN$49,ROW($A19)-2,FALSE)</f>
        <v>131.89794874999899</v>
      </c>
      <c r="I19" s="34">
        <f>HLOOKUP(I$2,state_summ!$A$1:$AC$49,ROW($A19)-2,FALSE)</f>
        <v>79.470732986249303</v>
      </c>
      <c r="J19" s="20">
        <f t="shared" si="11"/>
        <v>-52.427215763749686</v>
      </c>
      <c r="K19" s="21">
        <f t="shared" si="12"/>
        <v>0.60251682258439909</v>
      </c>
      <c r="L19" s="20">
        <f>HLOOKUP(L$2,state_summ!$A$1:$BN$49,ROW($A19)-2,FALSE)</f>
        <v>116.593924428571</v>
      </c>
      <c r="M19" s="20">
        <f>HLOOKUP(M$2,state_summ!$A$1:$BN$49,ROW($A19)-2,FALSE)</f>
        <v>274.45361496454802</v>
      </c>
      <c r="N19" s="21">
        <f t="shared" si="13"/>
        <v>2.3539272420038206</v>
      </c>
      <c r="O19" s="33">
        <f>HLOOKUP(O$2,state_summ!$A$1:$BN$49,ROW($A19)-2,FALSE)</f>
        <v>15.1139256071428</v>
      </c>
      <c r="P19" s="34">
        <f>HLOOKUP(P$2,state_summ!$A$1:$BN$49,ROW($A19)-2,FALSE)</f>
        <v>16.663720778224299</v>
      </c>
      <c r="Q19" s="21">
        <f t="shared" si="14"/>
        <v>1.1025408759686544</v>
      </c>
      <c r="R19" s="20">
        <f>HLOOKUP(R$2,state_summ!$A$1:$BN$49,ROW($A19)-2,FALSE)</f>
        <v>12.6666474285714</v>
      </c>
      <c r="S19" s="20">
        <f>HLOOKUP(S$2,state_summ!$A$1:$BN$49,ROW($A19)-2,FALSE)</f>
        <v>15.8234694236119</v>
      </c>
      <c r="T19" s="21">
        <f t="shared" si="15"/>
        <v>1.2492231676015428</v>
      </c>
      <c r="U19" s="33">
        <f>HLOOKUP(U$2,state_summ!$A$1:$BN$49,ROW($A19)-2,FALSE)</f>
        <v>499.946398928571</v>
      </c>
      <c r="V19" s="22" t="str">
        <f>HLOOKUP(V$2,state_summ!$A$1:$AL$49,ROW($A19)-2,FALSE)</f>
        <v>616 (561, 676)</v>
      </c>
      <c r="W19" s="23" t="str">
        <f>HLOOKUP(W$2,state_summ!$A$1:$AL$49,ROW($A19)-2,FALSE)</f>
        <v>1.41 (1.28, 1.54)</v>
      </c>
      <c r="X19" s="24" t="str">
        <f>HLOOKUP(X$2,state_summ!$A$1:$AM$49,ROW($A19)-2,FALSE)</f>
        <v>0.52 (0.34, 0.73)</v>
      </c>
      <c r="Y19" s="10" t="str">
        <f>state_summ!AN17</f>
        <v>52 (34, 73)</v>
      </c>
    </row>
    <row r="20" spans="1:33" x14ac:dyDescent="0.2">
      <c r="A20" s="19" t="str">
        <f>_xlfn.CONCAT(ROW(A20)-3, ". ", state_summ!A18)</f>
        <v>17. Nebraska</v>
      </c>
      <c r="B20" s="33">
        <f>HLOOKUP(B$2,state_summ!$A$1:$BN$49,ROW($A20)-2,FALSE)</f>
        <v>531.43694857142805</v>
      </c>
      <c r="C20" s="34">
        <f>HLOOKUP(C$2,state_summ!$A$1:$BN$49,ROW($A20)-2,FALSE)</f>
        <v>532.76406647314695</v>
      </c>
      <c r="D20" s="21">
        <f t="shared" si="9"/>
        <v>1.0024972255039593</v>
      </c>
      <c r="E20" s="20">
        <f>HLOOKUP(E$2,state_summ!$A$1:$BN$49,ROW($A20)-2,FALSE)</f>
        <v>45.399059142857098</v>
      </c>
      <c r="F20" s="20">
        <f>HLOOKUP(F$2,state_summ!$A$1:$BN$49,ROW($A20)-2,FALSE)</f>
        <v>24.355524587215299</v>
      </c>
      <c r="G20" s="21">
        <f t="shared" si="10"/>
        <v>0.53647641706793603</v>
      </c>
      <c r="H20" s="33">
        <f>HLOOKUP(H$2,state_summ!$A$1:$BN$49,ROW($A20)-2,FALSE)</f>
        <v>0</v>
      </c>
      <c r="I20" s="34">
        <f>HLOOKUP(I$2,state_summ!$A$1:$AC$49,ROW($A20)-2,FALSE)</f>
        <v>0</v>
      </c>
      <c r="J20" s="20">
        <f t="shared" si="11"/>
        <v>0</v>
      </c>
      <c r="K20" s="21" t="str">
        <f t="shared" si="12"/>
        <v>N/A</v>
      </c>
      <c r="L20" s="20">
        <f>HLOOKUP(L$2,state_summ!$A$1:$BN$49,ROW($A20)-2,FALSE)</f>
        <v>47.461276821428498</v>
      </c>
      <c r="M20" s="20">
        <f>HLOOKUP(M$2,state_summ!$A$1:$BN$49,ROW($A20)-2,FALSE)</f>
        <v>45.726200406173099</v>
      </c>
      <c r="N20" s="21">
        <f t="shared" si="13"/>
        <v>0.96344227270194249</v>
      </c>
      <c r="O20" s="33">
        <f>HLOOKUP(O$2,state_summ!$A$1:$BN$49,ROW($A20)-2,FALSE)</f>
        <v>21.732771785714199</v>
      </c>
      <c r="P20" s="34">
        <f>HLOOKUP(P$2,state_summ!$A$1:$BN$49,ROW($A20)-2,FALSE)</f>
        <v>4.8260246580856796</v>
      </c>
      <c r="Q20" s="21">
        <f t="shared" si="14"/>
        <v>0.2220620869565296</v>
      </c>
      <c r="R20" s="20">
        <f>HLOOKUP(R$2,state_summ!$A$1:$BN$49,ROW($A20)-2,FALSE)</f>
        <v>4.2564230357142803</v>
      </c>
      <c r="S20" s="20">
        <f>HLOOKUP(S$2,state_summ!$A$1:$BN$49,ROW($A20)-2,FALSE)</f>
        <v>3.4578189296845099</v>
      </c>
      <c r="T20" s="21">
        <f t="shared" si="15"/>
        <v>0.81237670707799969</v>
      </c>
      <c r="U20" s="33">
        <f>HLOOKUP(U$2,state_summ!$A$1:$BN$49,ROW($A20)-2,FALSE)</f>
        <v>650.28647928571399</v>
      </c>
      <c r="V20" s="22" t="str">
        <f>HLOOKUP(V$2,state_summ!$A$1:$AL$49,ROW($A20)-2,FALSE)</f>
        <v>611 (604, 619)</v>
      </c>
      <c r="W20" s="23" t="str">
        <f>HLOOKUP(W$2,state_summ!$A$1:$AL$49,ROW($A20)-2,FALSE)</f>
        <v>1.11 (1.10, 1.12)</v>
      </c>
      <c r="X20" s="24" t="str">
        <f>HLOOKUP(X$2,state_summ!$A$1:$AM$49,ROW($A20)-2,FALSE)</f>
        <v>0.63 (0.54, 0.72)</v>
      </c>
      <c r="Y20" s="10" t="str">
        <f>state_summ!AN18</f>
        <v>63 (54, 72)</v>
      </c>
    </row>
    <row r="21" spans="1:33" x14ac:dyDescent="0.2">
      <c r="A21" s="19" t="str">
        <f>_xlfn.CONCAT(ROW(A21)-3, ". ", state_summ!A19)</f>
        <v>18. West Virginia</v>
      </c>
      <c r="B21" s="33">
        <f>HLOOKUP(B$2,state_summ!$A$1:$BN$49,ROW($A21)-2,FALSE)</f>
        <v>28.053739071428499</v>
      </c>
      <c r="C21" s="34">
        <f>HLOOKUP(C$2,state_summ!$A$1:$BN$49,ROW($A21)-2,FALSE)</f>
        <v>25.943982337197198</v>
      </c>
      <c r="D21" s="21">
        <f t="shared" si="9"/>
        <v>0.92479588090344811</v>
      </c>
      <c r="E21" s="20">
        <f>HLOOKUP(E$2,state_summ!$A$1:$BN$49,ROW($A21)-2,FALSE)</f>
        <v>297.985305571428</v>
      </c>
      <c r="F21" s="20">
        <f>HLOOKUP(F$2,state_summ!$A$1:$BN$49,ROW($A21)-2,FALSE)</f>
        <v>182.06416687342301</v>
      </c>
      <c r="G21" s="21">
        <f t="shared" si="10"/>
        <v>0.61098370781837652</v>
      </c>
      <c r="H21" s="33">
        <f>HLOOKUP(H$2,state_summ!$A$1:$BN$49,ROW($A21)-2,FALSE)</f>
        <v>578.57567571428501</v>
      </c>
      <c r="I21" s="34">
        <f>HLOOKUP(I$2,state_summ!$A$1:$AC$49,ROW($A21)-2,FALSE)</f>
        <v>360.497459274861</v>
      </c>
      <c r="J21" s="20">
        <f t="shared" si="11"/>
        <v>-218.07821643942401</v>
      </c>
      <c r="K21" s="21">
        <f t="shared" si="12"/>
        <v>0.62307745452624863</v>
      </c>
      <c r="L21" s="20">
        <f>HLOOKUP(L$2,state_summ!$A$1:$BN$49,ROW($A21)-2,FALSE)</f>
        <v>30.167295214285701</v>
      </c>
      <c r="M21" s="20">
        <f>HLOOKUP(M$2,state_summ!$A$1:$BN$49,ROW($A21)-2,FALSE)</f>
        <v>32.282305982542603</v>
      </c>
      <c r="N21" s="21">
        <f t="shared" si="13"/>
        <v>1.0701093934087713</v>
      </c>
      <c r="O21" s="33">
        <f>HLOOKUP(O$2,state_summ!$A$1:$BN$49,ROW($A21)-2,FALSE)</f>
        <v>4.1977968571428503</v>
      </c>
      <c r="P21" s="34">
        <f>HLOOKUP(P$2,state_summ!$A$1:$BN$49,ROW($A21)-2,FALSE)</f>
        <v>1.73829304004588</v>
      </c>
      <c r="Q21" s="21">
        <f t="shared" si="14"/>
        <v>0.41409651281434706</v>
      </c>
      <c r="R21" s="20">
        <f>HLOOKUP(R$2,state_summ!$A$1:$BN$49,ROW($A21)-2,FALSE)</f>
        <v>4.7296153214285699</v>
      </c>
      <c r="S21" s="20">
        <f>HLOOKUP(S$2,state_summ!$A$1:$BN$49,ROW($A21)-2,FALSE)</f>
        <v>4.46406296750932</v>
      </c>
      <c r="T21" s="21">
        <f t="shared" si="15"/>
        <v>0.94385328702820581</v>
      </c>
      <c r="U21" s="33">
        <f>HLOOKUP(U$2,state_summ!$A$1:$BN$49,ROW($A21)-2,FALSE)</f>
        <v>943.70942785714203</v>
      </c>
      <c r="V21" s="22" t="str">
        <f>HLOOKUP(V$2,state_summ!$A$1:$AL$49,ROW($A21)-2,FALSE)</f>
        <v>607 (485, 730)</v>
      </c>
      <c r="W21" s="23" t="str">
        <f>HLOOKUP(W$2,state_summ!$A$1:$AL$49,ROW($A21)-2,FALSE)</f>
        <v>0.53 (0.42, 0.64)</v>
      </c>
      <c r="X21" s="24" t="str">
        <f>HLOOKUP(X$2,state_summ!$A$1:$AM$49,ROW($A21)-2,FALSE)</f>
        <v>0.64 (0.49, 0.83)</v>
      </c>
      <c r="Y21" s="10" t="str">
        <f>state_summ!AN19</f>
        <v>64 (49, 83)</v>
      </c>
      <c r="Z21">
        <f>B4/SUM($B4,$E4,$H4,$L4,$O4,$R4)</f>
        <v>0.25772677921585441</v>
      </c>
      <c r="AA21">
        <f>C4/SUM($C4,$F4,$I4,$M4,$P4,$S4)</f>
        <v>0.18571083828826115</v>
      </c>
      <c r="AC21">
        <f>E4/SUM($B4,$E4,$H4,$L4,$O4,$R4)</f>
        <v>0.57185727796771979</v>
      </c>
      <c r="AD21">
        <f>F4/SUM($C4,$F4,$I4,$M4,$P4,$S4)</f>
        <v>0.68523332808275395</v>
      </c>
      <c r="AF21" t="e">
        <f>SUM(B4:B1a3)</f>
        <v>#NAME?</v>
      </c>
      <c r="AG21">
        <f>I4/SUM($C4,$F4,$I4,$M4,$P4,$S4)</f>
        <v>3.8861842327644787E-3</v>
      </c>
    </row>
    <row r="22" spans="1:33" x14ac:dyDescent="0.2">
      <c r="A22" s="19" t="str">
        <f>_xlfn.CONCAT(ROW(A22)-3, ". ", state_summ!A20)</f>
        <v>19. Arkansas</v>
      </c>
      <c r="B22" s="33">
        <f>HLOOKUP(B$2,state_summ!$A$1:$BN$49,ROW($A22)-2,FALSE)</f>
        <v>123.703162964285</v>
      </c>
      <c r="C22" s="34">
        <f>HLOOKUP(C$2,state_summ!$A$1:$BN$49,ROW($A22)-2,FALSE)</f>
        <v>121.824039583661</v>
      </c>
      <c r="D22" s="21">
        <f t="shared" si="9"/>
        <v>0.9848094152518434</v>
      </c>
      <c r="E22" s="20">
        <f>HLOOKUP(E$2,state_summ!$A$1:$BN$49,ROW($A22)-2,FALSE)</f>
        <v>168.59133917857099</v>
      </c>
      <c r="F22" s="20">
        <f>HLOOKUP(F$2,state_summ!$A$1:$BN$49,ROW($A22)-2,FALSE)</f>
        <v>134.48820188846901</v>
      </c>
      <c r="G22" s="21">
        <f t="shared" si="10"/>
        <v>0.79771714575456254</v>
      </c>
      <c r="H22" s="33">
        <f>HLOOKUP(H$2,state_summ!$A$1:$BN$49,ROW($A22)-2,FALSE)</f>
        <v>0</v>
      </c>
      <c r="I22" s="34">
        <f>HLOOKUP(I$2,state_summ!$A$1:$AC$49,ROW($A22)-2,FALSE)</f>
        <v>13.421572968788301</v>
      </c>
      <c r="J22" s="20">
        <f t="shared" si="11"/>
        <v>13.421572968788301</v>
      </c>
      <c r="K22" s="21" t="str">
        <f t="shared" si="12"/>
        <v>N/A</v>
      </c>
      <c r="L22" s="20">
        <f>HLOOKUP(L$2,state_summ!$A$1:$BN$49,ROW($A22)-2,FALSE)</f>
        <v>66.041003357142799</v>
      </c>
      <c r="M22" s="20">
        <f>HLOOKUP(M$2,state_summ!$A$1:$BN$49,ROW($A22)-2,FALSE)</f>
        <v>106.306937931397</v>
      </c>
      <c r="N22" s="21">
        <f t="shared" si="13"/>
        <v>1.6097111268358577</v>
      </c>
      <c r="O22" s="33">
        <f>HLOOKUP(O$2,state_summ!$A$1:$BN$49,ROW($A22)-2,FALSE)</f>
        <v>16.312539857142799</v>
      </c>
      <c r="P22" s="34">
        <f>HLOOKUP(P$2,state_summ!$A$1:$BN$49,ROW($A22)-2,FALSE)</f>
        <v>10.4809054425419</v>
      </c>
      <c r="Q22" s="21">
        <f t="shared" si="14"/>
        <v>0.64250604346892115</v>
      </c>
      <c r="R22" s="20">
        <f>HLOOKUP(R$2,state_summ!$A$1:$BN$49,ROW($A22)-2,FALSE)</f>
        <v>232.84030028571399</v>
      </c>
      <c r="S22" s="20">
        <f>HLOOKUP(S$2,state_summ!$A$1:$BN$49,ROW($A22)-2,FALSE)</f>
        <v>218.00233773086001</v>
      </c>
      <c r="T22" s="21">
        <f t="shared" si="15"/>
        <v>0.93627407911497018</v>
      </c>
      <c r="U22" s="33">
        <f>HLOOKUP(U$2,state_summ!$A$1:$BN$49,ROW($A22)-2,FALSE)</f>
        <v>607.48834571428495</v>
      </c>
      <c r="V22" s="22" t="str">
        <f>HLOOKUP(V$2,state_summ!$A$1:$AL$49,ROW($A22)-2,FALSE)</f>
        <v>605 (569, 636)</v>
      </c>
      <c r="W22" s="23" t="str">
        <f>HLOOKUP(W$2,state_summ!$A$1:$AL$49,ROW($A22)-2,FALSE)</f>
        <v>1.15 (1.08, 1.21)</v>
      </c>
      <c r="X22" s="24" t="str">
        <f>HLOOKUP(X$2,state_summ!$A$1:$AM$49,ROW($A22)-2,FALSE)</f>
        <v>0.75 (0.63, 0.86)</v>
      </c>
      <c r="Y22" s="10" t="str">
        <f>state_summ!AN20</f>
        <v>75 (63, 86)</v>
      </c>
    </row>
    <row r="23" spans="1:33" x14ac:dyDescent="0.2">
      <c r="A23" s="19" t="str">
        <f>_xlfn.CONCAT(ROW(A23)-3, ". ", state_summ!A21)</f>
        <v>20. Georgia</v>
      </c>
      <c r="B23" s="33">
        <f>HLOOKUP(B$2,state_summ!$A$1:$BN$49,ROW($A23)-2,FALSE)</f>
        <v>113.628775964285</v>
      </c>
      <c r="C23" s="34">
        <f>HLOOKUP(C$2,state_summ!$A$1:$BN$49,ROW($A23)-2,FALSE)</f>
        <v>126.77083365312799</v>
      </c>
      <c r="D23" s="21">
        <f t="shared" si="9"/>
        <v>1.115657830310288</v>
      </c>
      <c r="E23" s="20">
        <f>HLOOKUP(E$2,state_summ!$A$1:$BN$49,ROW($A23)-2,FALSE)</f>
        <v>50.921894321428503</v>
      </c>
      <c r="F23" s="20">
        <f>HLOOKUP(F$2,state_summ!$A$1:$BN$49,ROW($A23)-2,FALSE)</f>
        <v>47.459514047907497</v>
      </c>
      <c r="G23" s="21">
        <f t="shared" si="10"/>
        <v>0.93200605908991097</v>
      </c>
      <c r="H23" s="33">
        <f>HLOOKUP(H$2,state_summ!$A$1:$BN$49,ROW($A23)-2,FALSE)</f>
        <v>0</v>
      </c>
      <c r="I23" s="34">
        <f>HLOOKUP(I$2,state_summ!$A$1:$AC$49,ROW($A23)-2,FALSE)</f>
        <v>1.06780534132991E-2</v>
      </c>
      <c r="J23" s="20">
        <f t="shared" si="11"/>
        <v>1.06780534132991E-2</v>
      </c>
      <c r="K23" s="21" t="str">
        <f t="shared" si="12"/>
        <v>N/A</v>
      </c>
      <c r="L23" s="20">
        <f>HLOOKUP(L$2,state_summ!$A$1:$BN$49,ROW($A23)-2,FALSE)</f>
        <v>257.95540371428501</v>
      </c>
      <c r="M23" s="20">
        <f>HLOOKUP(M$2,state_summ!$A$1:$BN$49,ROW($A23)-2,FALSE)</f>
        <v>373.83444564884098</v>
      </c>
      <c r="N23" s="21">
        <f t="shared" si="13"/>
        <v>1.4492212229944414</v>
      </c>
      <c r="O23" s="33">
        <f>HLOOKUP(O$2,state_summ!$A$1:$BN$49,ROW($A23)-2,FALSE)</f>
        <v>29.6836664642857</v>
      </c>
      <c r="P23" s="34">
        <f>HLOOKUP(P$2,state_summ!$A$1:$BN$49,ROW($A23)-2,FALSE)</f>
        <v>8.7006012076952803</v>
      </c>
      <c r="Q23" s="21">
        <f t="shared" si="14"/>
        <v>0.29311073206416483</v>
      </c>
      <c r="R23" s="20">
        <f>HLOOKUP(R$2,state_summ!$A$1:$BN$49,ROW($A23)-2,FALSE)</f>
        <v>13.997036749999999</v>
      </c>
      <c r="S23" s="20">
        <f>HLOOKUP(S$2,state_summ!$A$1:$BN$49,ROW($A23)-2,FALSE)</f>
        <v>17.880619201416199</v>
      </c>
      <c r="T23" s="21">
        <f t="shared" si="15"/>
        <v>1.2774574733767274</v>
      </c>
      <c r="U23" s="33">
        <f>HLOOKUP(U$2,state_summ!$A$1:$BN$49,ROW($A23)-2,FALSE)</f>
        <v>466.18677714285701</v>
      </c>
      <c r="V23" s="22" t="str">
        <f>HLOOKUP(V$2,state_summ!$A$1:$AL$49,ROW($A23)-2,FALSE)</f>
        <v>575 (509, 655)</v>
      </c>
      <c r="W23" s="23" t="str">
        <f>HLOOKUP(W$2,state_summ!$A$1:$AL$49,ROW($A23)-2,FALSE)</f>
        <v>1.53 (1.35, 1.74)</v>
      </c>
      <c r="X23" s="24" t="str">
        <f>HLOOKUP(X$2,state_summ!$A$1:$AM$49,ROW($A23)-2,FALSE)</f>
        <v>0.57 (0.43, 0.73)</v>
      </c>
      <c r="Y23" s="10" t="str">
        <f>state_summ!AN21</f>
        <v>57 (43, 73)</v>
      </c>
    </row>
    <row r="24" spans="1:33" x14ac:dyDescent="0.2">
      <c r="A24" s="19" t="str">
        <f>_xlfn.CONCAT(ROW(A24)-3, ". ", state_summ!A22)</f>
        <v>21. Wisconsin</v>
      </c>
      <c r="B24" s="33">
        <f>HLOOKUP(B$2,state_summ!$A$1:$BN$49,ROW($A24)-2,FALSE)</f>
        <v>423.84099928571402</v>
      </c>
      <c r="C24" s="34">
        <f>HLOOKUP(C$2,state_summ!$A$1:$BN$49,ROW($A24)-2,FALSE)</f>
        <v>407.36047884614402</v>
      </c>
      <c r="D24" s="21">
        <f t="shared" si="9"/>
        <v>0.96111626655433502</v>
      </c>
      <c r="E24" s="20">
        <f>HLOOKUP(E$2,state_summ!$A$1:$BN$49,ROW($A24)-2,FALSE)</f>
        <v>46.592572178571402</v>
      </c>
      <c r="F24" s="20">
        <f>HLOOKUP(F$2,state_summ!$A$1:$BN$49,ROW($A24)-2,FALSE)</f>
        <v>15.9537067882397</v>
      </c>
      <c r="G24" s="21">
        <f t="shared" si="10"/>
        <v>0.34240880128049767</v>
      </c>
      <c r="H24" s="33">
        <f>HLOOKUP(H$2,state_summ!$A$1:$BN$49,ROW($A24)-2,FALSE)</f>
        <v>0</v>
      </c>
      <c r="I24" s="34">
        <f>HLOOKUP(I$2,state_summ!$A$1:$AC$49,ROW($A24)-2,FALSE)</f>
        <v>0</v>
      </c>
      <c r="J24" s="20">
        <f t="shared" si="11"/>
        <v>0</v>
      </c>
      <c r="K24" s="21" t="str">
        <f t="shared" si="12"/>
        <v>N/A</v>
      </c>
      <c r="L24" s="20">
        <f>HLOOKUP(L$2,state_summ!$A$1:$BN$49,ROW($A24)-2,FALSE)</f>
        <v>85.415491821428503</v>
      </c>
      <c r="M24" s="20">
        <f>HLOOKUP(M$2,state_summ!$A$1:$BN$49,ROW($A24)-2,FALSE)</f>
        <v>113.551232967454</v>
      </c>
      <c r="N24" s="21">
        <f t="shared" si="13"/>
        <v>1.3293985733272682</v>
      </c>
      <c r="O24" s="33">
        <f>HLOOKUP(O$2,state_summ!$A$1:$BN$49,ROW($A24)-2,FALSE)</f>
        <v>16.606659000000001</v>
      </c>
      <c r="P24" s="34">
        <f>HLOOKUP(P$2,state_summ!$A$1:$BN$49,ROW($A24)-2,FALSE)</f>
        <v>8.0159243451277806</v>
      </c>
      <c r="Q24" s="21">
        <f t="shared" si="14"/>
        <v>0.48269337891069963</v>
      </c>
      <c r="R24" s="20">
        <f>HLOOKUP(R$2,state_summ!$A$1:$BN$49,ROW($A24)-2,FALSE)</f>
        <v>16.8354161785714</v>
      </c>
      <c r="S24" s="20">
        <f>HLOOKUP(S$2,state_summ!$A$1:$BN$49,ROW($A24)-2,FALSE)</f>
        <v>13.8275422230766</v>
      </c>
      <c r="T24" s="21">
        <f t="shared" si="15"/>
        <v>0.82133652512117239</v>
      </c>
      <c r="U24" s="33">
        <f>HLOOKUP(U$2,state_summ!$A$1:$BN$49,ROW($A24)-2,FALSE)</f>
        <v>589.29113857142795</v>
      </c>
      <c r="V24" s="22" t="str">
        <f>HLOOKUP(V$2,state_summ!$A$1:$AL$49,ROW($A24)-2,FALSE)</f>
        <v>559 (518, 595)</v>
      </c>
      <c r="W24" s="23" t="str">
        <f>HLOOKUP(W$2,state_summ!$A$1:$AL$49,ROW($A24)-2,FALSE)</f>
        <v>1.08 (1.00, 1.15)</v>
      </c>
      <c r="X24" s="24" t="str">
        <f>HLOOKUP(X$2,state_summ!$A$1:$AM$49,ROW($A24)-2,FALSE)</f>
        <v>0.45 (0.20, 0.69)</v>
      </c>
      <c r="Y24" s="10" t="str">
        <f>state_summ!AN22</f>
        <v>45 (20, 69)</v>
      </c>
    </row>
    <row r="25" spans="1:33" x14ac:dyDescent="0.2">
      <c r="A25" s="19" t="str">
        <f>_xlfn.CONCAT(ROW(A25)-3, ". ", state_summ!A23)</f>
        <v>22. Idaho</v>
      </c>
      <c r="B25" s="33">
        <f>HLOOKUP(B$2,state_summ!$A$1:$BN$49,ROW($A25)-2,FALSE)</f>
        <v>316.18109185714201</v>
      </c>
      <c r="C25" s="34">
        <f>HLOOKUP(C$2,state_summ!$A$1:$BN$49,ROW($A25)-2,FALSE)</f>
        <v>316.72103019814</v>
      </c>
      <c r="D25" s="21">
        <f t="shared" si="9"/>
        <v>1.0017076870024915</v>
      </c>
      <c r="E25" s="20">
        <f>HLOOKUP(E$2,state_summ!$A$1:$BN$49,ROW($A25)-2,FALSE)</f>
        <v>12.9116869642857</v>
      </c>
      <c r="F25" s="20">
        <f>HLOOKUP(F$2,state_summ!$A$1:$BN$49,ROW($A25)-2,FALSE)</f>
        <v>10.505427936316099</v>
      </c>
      <c r="G25" s="21">
        <f t="shared" si="10"/>
        <v>0.81363713087024025</v>
      </c>
      <c r="H25" s="33">
        <f>HLOOKUP(H$2,state_summ!$A$1:$BN$49,ROW($A25)-2,FALSE)</f>
        <v>0</v>
      </c>
      <c r="I25" s="34">
        <f>HLOOKUP(I$2,state_summ!$A$1:$AC$49,ROW($A25)-2,FALSE)</f>
        <v>0</v>
      </c>
      <c r="J25" s="20">
        <f t="shared" si="11"/>
        <v>0</v>
      </c>
      <c r="K25" s="21" t="str">
        <f t="shared" si="12"/>
        <v>N/A</v>
      </c>
      <c r="L25" s="20">
        <f>HLOOKUP(L$2,state_summ!$A$1:$BN$49,ROW($A25)-2,FALSE)</f>
        <v>20.121642392857101</v>
      </c>
      <c r="M25" s="20">
        <f>HLOOKUP(M$2,state_summ!$A$1:$BN$49,ROW($A25)-2,FALSE)</f>
        <v>219.46118726306901</v>
      </c>
      <c r="N25" s="21">
        <f t="shared" si="13"/>
        <v>10.906723366725503</v>
      </c>
      <c r="O25" s="33">
        <f>HLOOKUP(O$2,state_summ!$A$1:$BN$49,ROW($A25)-2,FALSE)</f>
        <v>5.0555373928571399</v>
      </c>
      <c r="P25" s="34">
        <f>HLOOKUP(P$2,state_summ!$A$1:$BN$49,ROW($A25)-2,FALSE)</f>
        <v>1.5200832223785501</v>
      </c>
      <c r="Q25" s="21">
        <f t="shared" si="14"/>
        <v>0.30067688244700613</v>
      </c>
      <c r="R25" s="20">
        <f>HLOOKUP(R$2,state_summ!$A$1:$BN$49,ROW($A25)-2,FALSE)</f>
        <v>8.3027309999999996</v>
      </c>
      <c r="S25" s="20">
        <f>HLOOKUP(S$2,state_summ!$A$1:$BN$49,ROW($A25)-2,FALSE)</f>
        <v>3.2783057834821698</v>
      </c>
      <c r="T25" s="21">
        <f t="shared" si="15"/>
        <v>0.39484668158972874</v>
      </c>
      <c r="U25" s="33">
        <f>HLOOKUP(U$2,state_summ!$A$1:$BN$49,ROW($A25)-2,FALSE)</f>
        <v>362.57268964285697</v>
      </c>
      <c r="V25" s="22" t="str">
        <f>HLOOKUP(V$2,state_summ!$A$1:$AL$49,ROW($A25)-2,FALSE)</f>
        <v>551 (498, 596)</v>
      </c>
      <c r="W25" s="23" t="str">
        <f>HLOOKUP(W$2,state_summ!$A$1:$AL$49,ROW($A25)-2,FALSE)</f>
        <v>1.11 (1.00, 1.20)</v>
      </c>
      <c r="X25" s="24" t="str">
        <f>HLOOKUP(X$2,state_summ!$A$1:$AM$49,ROW($A25)-2,FALSE)</f>
        <v>0.61 (0.50, 0.75)</v>
      </c>
      <c r="Y25" s="10" t="str">
        <f>state_summ!AN23</f>
        <v>61 (50, 75)</v>
      </c>
    </row>
    <row r="26" spans="1:33" x14ac:dyDescent="0.2">
      <c r="A26" s="19" t="str">
        <f>_xlfn.CONCAT(ROW(A26)-3, ". ", state_summ!A24)</f>
        <v>23. Minnesota</v>
      </c>
      <c r="B26" s="33">
        <f>HLOOKUP(B$2,state_summ!$A$1:$BN$49,ROW($A26)-2,FALSE)</f>
        <v>294.83397085714199</v>
      </c>
      <c r="C26" s="34">
        <f>HLOOKUP(C$2,state_summ!$A$1:$BN$49,ROW($A26)-2,FALSE)</f>
        <v>381.42598859808999</v>
      </c>
      <c r="D26" s="21">
        <f t="shared" si="9"/>
        <v>1.2936975596441871</v>
      </c>
      <c r="E26" s="20">
        <f>HLOOKUP(E$2,state_summ!$A$1:$BN$49,ROW($A26)-2,FALSE)</f>
        <v>47.952358607142799</v>
      </c>
      <c r="F26" s="20">
        <f>HLOOKUP(F$2,state_summ!$A$1:$BN$49,ROW($A26)-2,FALSE)</f>
        <v>26.254948593724599</v>
      </c>
      <c r="G26" s="21">
        <f t="shared" si="10"/>
        <v>0.54752152670575338</v>
      </c>
      <c r="H26" s="33">
        <f>HLOOKUP(H$2,state_summ!$A$1:$BN$49,ROW($A26)-2,FALSE)</f>
        <v>0</v>
      </c>
      <c r="I26" s="34">
        <f>HLOOKUP(I$2,state_summ!$A$1:$AC$49,ROW($A26)-2,FALSE)</f>
        <v>0</v>
      </c>
      <c r="J26" s="20">
        <f t="shared" si="11"/>
        <v>0</v>
      </c>
      <c r="K26" s="21" t="str">
        <f t="shared" si="12"/>
        <v>N/A</v>
      </c>
      <c r="L26" s="20">
        <f>HLOOKUP(L$2,state_summ!$A$1:$BN$49,ROW($A26)-2,FALSE)</f>
        <v>54.168701892857101</v>
      </c>
      <c r="M26" s="20">
        <f>HLOOKUP(M$2,state_summ!$A$1:$BN$49,ROW($A26)-2,FALSE)</f>
        <v>82.786789272579099</v>
      </c>
      <c r="N26" s="21">
        <f t="shared" si="13"/>
        <v>1.5283140702970341</v>
      </c>
      <c r="O26" s="33">
        <f>HLOOKUP(O$2,state_summ!$A$1:$BN$49,ROW($A26)-2,FALSE)</f>
        <v>17.897773428571401</v>
      </c>
      <c r="P26" s="34">
        <f>HLOOKUP(P$2,state_summ!$A$1:$BN$49,ROW($A26)-2,FALSE)</f>
        <v>3.7531212192062702</v>
      </c>
      <c r="Q26" s="21">
        <f t="shared" si="14"/>
        <v>0.20969766067185286</v>
      </c>
      <c r="R26" s="20">
        <f>HLOOKUP(R$2,state_summ!$A$1:$BN$49,ROW($A26)-2,FALSE)</f>
        <v>15.548587392857099</v>
      </c>
      <c r="S26" s="20">
        <f>HLOOKUP(S$2,state_summ!$A$1:$BN$49,ROW($A26)-2,FALSE)</f>
        <v>9.6514283703846306</v>
      </c>
      <c r="T26" s="21">
        <f t="shared" si="15"/>
        <v>0.62072702339624897</v>
      </c>
      <c r="U26" s="33">
        <f>HLOOKUP(U$2,state_summ!$A$1:$BN$49,ROW($A26)-2,FALSE)</f>
        <v>430.40139214285699</v>
      </c>
      <c r="V26" s="22" t="str">
        <f>HLOOKUP(V$2,state_summ!$A$1:$AL$49,ROW($A26)-2,FALSE)</f>
        <v>504 (475, 534)</v>
      </c>
      <c r="W26" s="23" t="str">
        <f>HLOOKUP(W$2,state_summ!$A$1:$AL$49,ROW($A26)-2,FALSE)</f>
        <v>1.23 (1.16, 1.30)</v>
      </c>
      <c r="X26" s="24" t="str">
        <f>HLOOKUP(X$2,state_summ!$A$1:$AM$49,ROW($A26)-2,FALSE)</f>
        <v>0.53 (0.33, 0.69)</v>
      </c>
      <c r="Y26" s="10" t="str">
        <f>state_summ!AN24</f>
        <v>54 (33, 69)</v>
      </c>
    </row>
    <row r="27" spans="1:33" x14ac:dyDescent="0.2">
      <c r="A27" s="19" t="str">
        <f>_xlfn.CONCAT(ROW(A27)-3, ". ", state_summ!A25)</f>
        <v>24. Mississippi</v>
      </c>
      <c r="B27" s="33">
        <f>HLOOKUP(B$2,state_summ!$A$1:$BN$49,ROW($A27)-2,FALSE)</f>
        <v>76.593951571428505</v>
      </c>
      <c r="C27" s="34">
        <f>HLOOKUP(C$2,state_summ!$A$1:$BN$49,ROW($A27)-2,FALSE)</f>
        <v>104.239416753565</v>
      </c>
      <c r="D27" s="21">
        <f t="shared" si="9"/>
        <v>1.3609353560555681</v>
      </c>
      <c r="E27" s="20">
        <f>HLOOKUP(E$2,state_summ!$A$1:$BN$49,ROW($A27)-2,FALSE)</f>
        <v>90.9444611071428</v>
      </c>
      <c r="F27" s="20">
        <f>HLOOKUP(F$2,state_summ!$A$1:$BN$49,ROW($A27)-2,FALSE)</f>
        <v>131.604149431769</v>
      </c>
      <c r="G27" s="21">
        <f t="shared" si="10"/>
        <v>1.447082624160305</v>
      </c>
      <c r="H27" s="33">
        <f>HLOOKUP(H$2,state_summ!$A$1:$BN$49,ROW($A27)-2,FALSE)</f>
        <v>2.9106664642857099</v>
      </c>
      <c r="I27" s="34">
        <f>HLOOKUP(I$2,state_summ!$A$1:$AC$49,ROW($A27)-2,FALSE)</f>
        <v>5.8468177271598201</v>
      </c>
      <c r="J27" s="20">
        <f t="shared" si="11"/>
        <v>2.9361512628741102</v>
      </c>
      <c r="K27" s="21">
        <f t="shared" si="12"/>
        <v>2.0087556574760805</v>
      </c>
      <c r="L27" s="20">
        <f>HLOOKUP(L$2,state_summ!$A$1:$BN$49,ROW($A27)-2,FALSE)</f>
        <v>74.153472357142803</v>
      </c>
      <c r="M27" s="20">
        <f>HLOOKUP(M$2,state_summ!$A$1:$BN$49,ROW($A27)-2,FALSE)</f>
        <v>133.72168438992401</v>
      </c>
      <c r="N27" s="21">
        <f t="shared" si="13"/>
        <v>1.803309813273273</v>
      </c>
      <c r="O27" s="33">
        <f>HLOOKUP(O$2,state_summ!$A$1:$BN$49,ROW($A27)-2,FALSE)</f>
        <v>12.863056357142799</v>
      </c>
      <c r="P27" s="34">
        <f>HLOOKUP(P$2,state_summ!$A$1:$BN$49,ROW($A27)-2,FALSE)</f>
        <v>24.0761791158431</v>
      </c>
      <c r="Q27" s="21">
        <f t="shared" si="14"/>
        <v>1.8717308272130599</v>
      </c>
      <c r="R27" s="20">
        <f>HLOOKUP(R$2,state_summ!$A$1:$BN$49,ROW($A27)-2,FALSE)</f>
        <v>40.157271642857097</v>
      </c>
      <c r="S27" s="20">
        <f>HLOOKUP(S$2,state_summ!$A$1:$BN$49,ROW($A27)-2,FALSE)</f>
        <v>23.446745418297301</v>
      </c>
      <c r="T27" s="21">
        <f t="shared" si="15"/>
        <v>0.58387296893134044</v>
      </c>
      <c r="U27" s="33">
        <f>HLOOKUP(U$2,state_summ!$A$1:$BN$49,ROW($A27)-2,FALSE)</f>
        <v>297.62287946428501</v>
      </c>
      <c r="V27" s="22" t="str">
        <f>HLOOKUP(V$2,state_summ!$A$1:$AL$49,ROW($A27)-2,FALSE)</f>
        <v>423 (380, 478)</v>
      </c>
      <c r="W27" s="23" t="str">
        <f>HLOOKUP(W$2,state_summ!$A$1:$AL$49,ROW($A27)-2,FALSE)</f>
        <v>1.38 (1.24, 1.56)</v>
      </c>
      <c r="X27" s="24" t="str">
        <f>HLOOKUP(X$2,state_summ!$A$1:$AM$49,ROW($A27)-2,FALSE)</f>
        <v>0.56 (0.35, 0.75)</v>
      </c>
      <c r="Y27" s="10" t="str">
        <f>state_summ!AN25</f>
        <v>56 (35, 75)</v>
      </c>
    </row>
    <row r="28" spans="1:33" x14ac:dyDescent="0.2">
      <c r="A28" s="25" t="str">
        <f>_xlfn.CONCAT(ROW(A28)-3, ". ", state_summ!A26)</f>
        <v>25. New York</v>
      </c>
      <c r="B28" s="35">
        <f>HLOOKUP(B$2,state_summ!$A$1:$BN$49,ROW($A28)-2,FALSE)</f>
        <v>230.1066165</v>
      </c>
      <c r="C28" s="36">
        <f>HLOOKUP(C$2,state_summ!$A$1:$BN$49,ROW($A28)-2,FALSE)</f>
        <v>139.193530441717</v>
      </c>
      <c r="D28" s="27">
        <f t="shared" si="9"/>
        <v>0.60490885728927746</v>
      </c>
      <c r="E28" s="26">
        <f>HLOOKUP(E$2,state_summ!$A$1:$BN$49,ROW($A28)-2,FALSE)</f>
        <v>138.917468428571</v>
      </c>
      <c r="F28" s="26">
        <f>HLOOKUP(F$2,state_summ!$A$1:$BN$49,ROW($A28)-2,FALSE)</f>
        <v>46.755472423310401</v>
      </c>
      <c r="G28" s="27">
        <f t="shared" si="10"/>
        <v>0.33657014450526984</v>
      </c>
      <c r="H28" s="35">
        <f>HLOOKUP(H$2,state_summ!$A$1:$BN$49,ROW($A28)-2,FALSE)</f>
        <v>0</v>
      </c>
      <c r="I28" s="36">
        <f>HLOOKUP(I$2,state_summ!$A$1:$AC$49,ROW($A28)-2,FALSE)</f>
        <v>0</v>
      </c>
      <c r="J28" s="26">
        <f t="shared" si="11"/>
        <v>0</v>
      </c>
      <c r="K28" s="27" t="str">
        <f t="shared" si="12"/>
        <v>N/A</v>
      </c>
      <c r="L28" s="26">
        <f>HLOOKUP(L$2,state_summ!$A$1:$BN$49,ROW($A28)-2,FALSE)</f>
        <v>108.519220035714</v>
      </c>
      <c r="M28" s="26">
        <f>HLOOKUP(M$2,state_summ!$A$1:$BN$49,ROW($A28)-2,FALSE)</f>
        <v>153.50042449249699</v>
      </c>
      <c r="N28" s="27">
        <f t="shared" si="13"/>
        <v>1.4144998871350121</v>
      </c>
      <c r="O28" s="35">
        <f>HLOOKUP(O$2,state_summ!$A$1:$BN$49,ROW($A28)-2,FALSE)</f>
        <v>29.743526535714199</v>
      </c>
      <c r="P28" s="36">
        <f>HLOOKUP(P$2,state_summ!$A$1:$BN$49,ROW($A28)-2,FALSE)</f>
        <v>43.0610814970128</v>
      </c>
      <c r="Q28" s="27">
        <f t="shared" si="14"/>
        <v>1.4477463338218386</v>
      </c>
      <c r="R28" s="26">
        <f>HLOOKUP(R$2,state_summ!$A$1:$BN$49,ROW($A28)-2,FALSE)</f>
        <v>26.645046821428501</v>
      </c>
      <c r="S28" s="26">
        <f>HLOOKUP(S$2,state_summ!$A$1:$BN$49,ROW($A28)-2,FALSE)</f>
        <v>22.944049262694101</v>
      </c>
      <c r="T28" s="27">
        <f t="shared" si="15"/>
        <v>0.86109997916168113</v>
      </c>
      <c r="U28" s="35">
        <f>HLOOKUP(U$2,state_summ!$A$1:$BN$49,ROW($A28)-2,FALSE)</f>
        <v>533.93187821428501</v>
      </c>
      <c r="V28" s="28" t="str">
        <f>HLOOKUP(V$2,state_summ!$A$1:$AL$49,ROW($A28)-2,FALSE)</f>
        <v>405 (352, 445)</v>
      </c>
      <c r="W28" s="29" t="str">
        <f>HLOOKUP(W$2,state_summ!$A$1:$AL$49,ROW($A28)-2,FALSE)</f>
        <v>0.91 (0.79, 0.99)</v>
      </c>
      <c r="X28" s="30" t="str">
        <f>HLOOKUP(X$2,state_summ!$A$1:$AM$49,ROW($A28)-2,FALSE)</f>
        <v>0.30 (0.14, 0.50)</v>
      </c>
      <c r="Y28" s="10" t="str">
        <f>state_summ!AN26</f>
        <v>30 (14, 50)</v>
      </c>
    </row>
    <row r="29" spans="1:33" x14ac:dyDescent="0.2">
      <c r="A29" s="38" t="str">
        <f>_xlfn.CONCAT(ROW(A29)-3, ". ", state_summ!A27)</f>
        <v>26. Kentucky</v>
      </c>
      <c r="B29" s="39">
        <f>HLOOKUP(B$2,state_summ!$A$1:$BN$49,ROW($A29)-2,FALSE)</f>
        <v>154.445323357142</v>
      </c>
      <c r="C29" s="40">
        <f>HLOOKUP(C$2,state_summ!$A$1:$BN$49,ROW($A29)-2,FALSE)</f>
        <v>142.95563290750201</v>
      </c>
      <c r="D29" s="41">
        <f t="shared" si="9"/>
        <v>0.92560674418693123</v>
      </c>
      <c r="E29" s="42">
        <f>HLOOKUP(E$2,state_summ!$A$1:$BN$49,ROW($A29)-2,FALSE)</f>
        <v>114.522882178571</v>
      </c>
      <c r="F29" s="42">
        <f>HLOOKUP(F$2,state_summ!$A$1:$BN$49,ROW($A29)-2,FALSE)</f>
        <v>67.8564487558899</v>
      </c>
      <c r="G29" s="41">
        <f t="shared" si="10"/>
        <v>0.59251432958248484</v>
      </c>
      <c r="H29" s="39">
        <f>HLOOKUP(H$2,state_summ!$A$1:$BN$49,ROW($A29)-2,FALSE)</f>
        <v>60.955722285714202</v>
      </c>
      <c r="I29" s="40">
        <f>HLOOKUP(I$2,state_summ!$A$1:$AC$49,ROW($A29)-2,FALSE)</f>
        <v>69.150986924073294</v>
      </c>
      <c r="J29" s="42">
        <f t="shared" si="11"/>
        <v>8.1952646383590917</v>
      </c>
      <c r="K29" s="41">
        <f t="shared" si="12"/>
        <v>1.1344461903009844</v>
      </c>
      <c r="L29" s="42">
        <f>HLOOKUP(L$2,state_summ!$A$1:$BN$49,ROW($A29)-2,FALSE)</f>
        <v>159.768547928571</v>
      </c>
      <c r="M29" s="42">
        <f>HLOOKUP(M$2,state_summ!$A$1:$BN$49,ROW($A29)-2,FALSE)</f>
        <v>104.734326964473</v>
      </c>
      <c r="N29" s="41">
        <f t="shared" si="13"/>
        <v>0.65553782845480579</v>
      </c>
      <c r="O29" s="39">
        <f>HLOOKUP(O$2,state_summ!$A$1:$BN$49,ROW($A29)-2,FALSE)</f>
        <v>12.6124751428571</v>
      </c>
      <c r="P29" s="40">
        <f>HLOOKUP(P$2,state_summ!$A$1:$BN$49,ROW($A29)-2,FALSE)</f>
        <v>3.8880615063264701</v>
      </c>
      <c r="Q29" s="41">
        <f t="shared" si="14"/>
        <v>0.30827109368206917</v>
      </c>
      <c r="R29" s="42">
        <f>HLOOKUP(R$2,state_summ!$A$1:$BN$49,ROW($A29)-2,FALSE)</f>
        <v>9.4731709285714292</v>
      </c>
      <c r="S29" s="42">
        <f>HLOOKUP(S$2,state_summ!$A$1:$BN$49,ROW($A29)-2,FALSE)</f>
        <v>6.9076772560942503</v>
      </c>
      <c r="T29" s="41">
        <f t="shared" si="15"/>
        <v>0.72918321733860447</v>
      </c>
      <c r="U29" s="39">
        <f>HLOOKUP(U$2,state_summ!$A$1:$BN$49,ROW($A29)-2,FALSE)</f>
        <v>511.77812178571401</v>
      </c>
      <c r="V29" s="43" t="str">
        <f>HLOOKUP(V$2,state_summ!$A$1:$AL$49,ROW($A29)-2,FALSE)</f>
        <v>395 (347, 449)</v>
      </c>
      <c r="W29" s="44" t="str">
        <f>HLOOKUP(W$2,state_summ!$A$1:$AL$49,ROW($A29)-2,FALSE)</f>
        <v>0.70 (0.61, 0.79)</v>
      </c>
      <c r="X29" s="45" t="str">
        <f>HLOOKUP(X$2,state_summ!$A$1:$AM$49,ROW($A29)-2,FALSE)</f>
        <v>0.62 (0.45, 0.82)</v>
      </c>
      <c r="Y29" s="10" t="str">
        <f>state_summ!AN27</f>
        <v>62 (45, 82)</v>
      </c>
    </row>
    <row r="30" spans="1:33" x14ac:dyDescent="0.2">
      <c r="A30" s="19" t="str">
        <f>_xlfn.CONCAT(ROW(A30)-3, ". ", state_summ!A28)</f>
        <v>27. South Dakota</v>
      </c>
      <c r="B30" s="33">
        <f>HLOOKUP(B$2,state_summ!$A$1:$BN$49,ROW($A30)-2,FALSE)</f>
        <v>332.070043607142</v>
      </c>
      <c r="C30" s="34">
        <f>HLOOKUP(C$2,state_summ!$A$1:$BN$49,ROW($A30)-2,FALSE)</f>
        <v>347.40684484902698</v>
      </c>
      <c r="D30" s="21">
        <f t="shared" si="9"/>
        <v>1.0461854405031166</v>
      </c>
      <c r="E30" s="20">
        <f>HLOOKUP(E$2,state_summ!$A$1:$BN$49,ROW($A30)-2,FALSE)</f>
        <v>12.2320835714285</v>
      </c>
      <c r="F30" s="20">
        <f>HLOOKUP(F$2,state_summ!$A$1:$BN$49,ROW($A30)-2,FALSE)</f>
        <v>11.560673041964501</v>
      </c>
      <c r="G30" s="21">
        <f t="shared" si="10"/>
        <v>0.94511069798180014</v>
      </c>
      <c r="H30" s="33">
        <f>HLOOKUP(H$2,state_summ!$A$1:$BN$49,ROW($A30)-2,FALSE)</f>
        <v>0</v>
      </c>
      <c r="I30" s="34">
        <f>HLOOKUP(I$2,state_summ!$A$1:$AC$49,ROW($A30)-2,FALSE)</f>
        <v>0</v>
      </c>
      <c r="J30" s="20">
        <f t="shared" si="11"/>
        <v>0</v>
      </c>
      <c r="K30" s="21" t="str">
        <f t="shared" si="12"/>
        <v>N/A</v>
      </c>
      <c r="L30" s="20">
        <f>HLOOKUP(L$2,state_summ!$A$1:$BN$49,ROW($A30)-2,FALSE)</f>
        <v>11.172137107142801</v>
      </c>
      <c r="M30" s="20">
        <f>HLOOKUP(M$2,state_summ!$A$1:$BN$49,ROW($A30)-2,FALSE)</f>
        <v>18.4457936340896</v>
      </c>
      <c r="N30" s="21">
        <f t="shared" si="13"/>
        <v>1.6510532816766503</v>
      </c>
      <c r="O30" s="33">
        <f>HLOOKUP(O$2,state_summ!$A$1:$BN$49,ROW($A30)-2,FALSE)</f>
        <v>4.7304706428571404</v>
      </c>
      <c r="P30" s="34">
        <f>HLOOKUP(P$2,state_summ!$A$1:$BN$49,ROW($A30)-2,FALSE)</f>
        <v>11.808672767263801</v>
      </c>
      <c r="Q30" s="21">
        <f t="shared" si="14"/>
        <v>2.49629976778199</v>
      </c>
      <c r="R30" s="20">
        <f>HLOOKUP(R$2,state_summ!$A$1:$BN$49,ROW($A30)-2,FALSE)</f>
        <v>1.92975396428571</v>
      </c>
      <c r="S30" s="20">
        <f>HLOOKUP(S$2,state_summ!$A$1:$BN$49,ROW($A30)-2,FALSE)</f>
        <v>2.49421862033401</v>
      </c>
      <c r="T30" s="21">
        <f t="shared" si="15"/>
        <v>1.2925060222675766</v>
      </c>
      <c r="U30" s="33">
        <f>HLOOKUP(U$2,state_summ!$A$1:$BN$49,ROW($A30)-2,FALSE)</f>
        <v>362.13448892857099</v>
      </c>
      <c r="V30" s="22" t="str">
        <f>HLOOKUP(V$2,state_summ!$A$1:$AL$49,ROW($A30)-2,FALSE)</f>
        <v>392 (376, 401)</v>
      </c>
      <c r="W30" s="23" t="str">
        <f>HLOOKUP(W$2,state_summ!$A$1:$AL$49,ROW($A30)-2,FALSE)</f>
        <v>1.22 (1.17, 1.25)</v>
      </c>
      <c r="X30" s="24" t="str">
        <f>HLOOKUP(X$2,state_summ!$A$1:$AM$49,ROW($A30)-2,FALSE)</f>
        <v>0.40 (0.27, 0.53)</v>
      </c>
      <c r="Y30" s="10" t="str">
        <f>state_summ!AN28</f>
        <v>40 (27, 53)</v>
      </c>
    </row>
    <row r="31" spans="1:33" x14ac:dyDescent="0.2">
      <c r="A31" s="19" t="str">
        <f>_xlfn.CONCAT(ROW(A31)-3, ". ", state_summ!A29)</f>
        <v>28. Missouri</v>
      </c>
      <c r="B31" s="33">
        <f>HLOOKUP(B$2,state_summ!$A$1:$BN$49,ROW($A31)-2,FALSE)</f>
        <v>331.16923392857097</v>
      </c>
      <c r="C31" s="34">
        <f>HLOOKUP(C$2,state_summ!$A$1:$BN$49,ROW($A31)-2,FALSE)</f>
        <v>266.20679272912798</v>
      </c>
      <c r="D31" s="21">
        <f t="shared" si="9"/>
        <v>0.80383914161103931</v>
      </c>
      <c r="E31" s="20">
        <f>HLOOKUP(E$2,state_summ!$A$1:$BN$49,ROW($A31)-2,FALSE)</f>
        <v>41.188154428571401</v>
      </c>
      <c r="F31" s="20">
        <f>HLOOKUP(F$2,state_summ!$A$1:$BN$49,ROW($A31)-2,FALSE)</f>
        <v>13.5483194393251</v>
      </c>
      <c r="G31" s="21">
        <f t="shared" si="10"/>
        <v>0.32893727886789947</v>
      </c>
      <c r="H31" s="33">
        <f>HLOOKUP(H$2,state_summ!$A$1:$BN$49,ROW($A31)-2,FALSE)</f>
        <v>0.22819314285714201</v>
      </c>
      <c r="I31" s="34">
        <f>HLOOKUP(I$2,state_summ!$A$1:$AC$49,ROW($A31)-2,FALSE)</f>
        <v>0.26602535668817701</v>
      </c>
      <c r="J31" s="20">
        <f t="shared" si="11"/>
        <v>3.7832213831034994E-2</v>
      </c>
      <c r="K31" s="21">
        <f t="shared" si="12"/>
        <v>1.1657903184878762</v>
      </c>
      <c r="L31" s="20">
        <f>HLOOKUP(L$2,state_summ!$A$1:$BN$49,ROW($A31)-2,FALSE)</f>
        <v>65.401209249999994</v>
      </c>
      <c r="M31" s="20">
        <f>HLOOKUP(M$2,state_summ!$A$1:$BN$49,ROW($A31)-2,FALSE)</f>
        <v>53.546425394484899</v>
      </c>
      <c r="N31" s="21">
        <f t="shared" si="13"/>
        <v>0.81873754336560534</v>
      </c>
      <c r="O31" s="33">
        <f>HLOOKUP(O$2,state_summ!$A$1:$BN$49,ROW($A31)-2,FALSE)</f>
        <v>15.93274225</v>
      </c>
      <c r="P31" s="34">
        <f>HLOOKUP(P$2,state_summ!$A$1:$BN$49,ROW($A31)-2,FALSE)</f>
        <v>8.6944831558914704</v>
      </c>
      <c r="Q31" s="21">
        <f t="shared" si="14"/>
        <v>0.54569910310897485</v>
      </c>
      <c r="R31" s="20">
        <f>HLOOKUP(R$2,state_summ!$A$1:$BN$49,ROW($A31)-2,FALSE)</f>
        <v>43.950671321428501</v>
      </c>
      <c r="S31" s="20">
        <f>HLOOKUP(S$2,state_summ!$A$1:$BN$49,ROW($A31)-2,FALSE)</f>
        <v>24.4517056424191</v>
      </c>
      <c r="T31" s="21">
        <f t="shared" si="15"/>
        <v>0.55634430390366929</v>
      </c>
      <c r="U31" s="33">
        <f>HLOOKUP(U$2,state_summ!$A$1:$BN$49,ROW($A31)-2,FALSE)</f>
        <v>497.87020428571401</v>
      </c>
      <c r="V31" s="22" t="str">
        <f>HLOOKUP(V$2,state_summ!$A$1:$AL$49,ROW($A31)-2,FALSE)</f>
        <v>367 (339, 394)</v>
      </c>
      <c r="W31" s="23" t="str">
        <f>HLOOKUP(W$2,state_summ!$A$1:$AL$49,ROW($A31)-2,FALSE)</f>
        <v>0.84 (0.77, 0.90)</v>
      </c>
      <c r="X31" s="24" t="str">
        <f>HLOOKUP(X$2,state_summ!$A$1:$AM$49,ROW($A31)-2,FALSE)</f>
        <v>0.55 (0.43, 0.69)</v>
      </c>
      <c r="Y31" s="10" t="str">
        <f>state_summ!AN29</f>
        <v>55 (43, 69)</v>
      </c>
    </row>
    <row r="32" spans="1:33" x14ac:dyDescent="0.2">
      <c r="A32" s="19" t="str">
        <f>_xlfn.CONCAT(ROW(A32)-3, ". ", state_summ!A30)</f>
        <v>29. Virginia</v>
      </c>
      <c r="B32" s="33">
        <f>HLOOKUP(B$2,state_summ!$A$1:$BN$49,ROW($A32)-2,FALSE)</f>
        <v>112.21727210714199</v>
      </c>
      <c r="C32" s="34">
        <f>HLOOKUP(C$2,state_summ!$A$1:$BN$49,ROW($A32)-2,FALSE)</f>
        <v>108.84119991460599</v>
      </c>
      <c r="D32" s="21">
        <f t="shared" si="9"/>
        <v>0.96991486132979055</v>
      </c>
      <c r="E32" s="20">
        <f>HLOOKUP(E$2,state_summ!$A$1:$BN$49,ROW($A32)-2,FALSE)</f>
        <v>78.936625642857095</v>
      </c>
      <c r="F32" s="20">
        <f>HLOOKUP(F$2,state_summ!$A$1:$BN$49,ROW($A32)-2,FALSE)</f>
        <v>31.192838906830801</v>
      </c>
      <c r="G32" s="21">
        <f t="shared" si="10"/>
        <v>0.39516306470915652</v>
      </c>
      <c r="H32" s="33">
        <f>HLOOKUP(H$2,state_summ!$A$1:$BN$49,ROW($A32)-2,FALSE)</f>
        <v>152.53962678571401</v>
      </c>
      <c r="I32" s="34">
        <f>HLOOKUP(I$2,state_summ!$A$1:$AC$49,ROW($A32)-2,FALSE)</f>
        <v>19.986254453186799</v>
      </c>
      <c r="J32" s="20">
        <f t="shared" si="11"/>
        <v>-132.5533723325272</v>
      </c>
      <c r="K32" s="21">
        <f t="shared" si="12"/>
        <v>0.13102336012178178</v>
      </c>
      <c r="L32" s="20">
        <f>HLOOKUP(L$2,state_summ!$A$1:$BN$49,ROW($A32)-2,FALSE)</f>
        <v>138.19447146428499</v>
      </c>
      <c r="M32" s="20">
        <f>HLOOKUP(M$2,state_summ!$A$1:$BN$49,ROW($A32)-2,FALSE)</f>
        <v>169.10405034676501</v>
      </c>
      <c r="N32" s="21">
        <f t="shared" si="13"/>
        <v>1.223667260744713</v>
      </c>
      <c r="O32" s="33">
        <f>HLOOKUP(O$2,state_summ!$A$1:$BN$49,ROW($A32)-2,FALSE)</f>
        <v>20.6980430357142</v>
      </c>
      <c r="P32" s="34">
        <f>HLOOKUP(P$2,state_summ!$A$1:$BN$49,ROW($A32)-2,FALSE)</f>
        <v>22.242581248474</v>
      </c>
      <c r="Q32" s="21">
        <f t="shared" si="14"/>
        <v>1.0746224273519347</v>
      </c>
      <c r="R32" s="20">
        <f>HLOOKUP(R$2,state_summ!$A$1:$BN$49,ROW($A32)-2,FALSE)</f>
        <v>14.3888885357142</v>
      </c>
      <c r="S32" s="20">
        <f>HLOOKUP(S$2,state_summ!$A$1:$BN$49,ROW($A32)-2,FALSE)</f>
        <v>10.5796346914659</v>
      </c>
      <c r="T32" s="21">
        <f t="shared" si="15"/>
        <v>0.73526420509871404</v>
      </c>
      <c r="U32" s="33">
        <f>HLOOKUP(U$2,state_summ!$A$1:$BN$49,ROW($A32)-2,FALSE)</f>
        <v>516.97492749999901</v>
      </c>
      <c r="V32" s="22" t="str">
        <f>HLOOKUP(V$2,state_summ!$A$1:$AL$49,ROW($A32)-2,FALSE)</f>
        <v>362 (299, 428)</v>
      </c>
      <c r="W32" s="23" t="str">
        <f>HLOOKUP(W$2,state_summ!$A$1:$AL$49,ROW($A32)-2,FALSE)</f>
        <v>0.66 (0.54, 0.78)</v>
      </c>
      <c r="X32" s="24" t="str">
        <f>HLOOKUP(X$2,state_summ!$A$1:$AM$49,ROW($A32)-2,FALSE)</f>
        <v>0.55 (0.39, 0.75)</v>
      </c>
      <c r="Y32" s="10" t="str">
        <f>state_summ!AN30</f>
        <v>55 (39, 75)</v>
      </c>
    </row>
    <row r="33" spans="1:25" x14ac:dyDescent="0.2">
      <c r="A33" s="19" t="str">
        <f>_xlfn.CONCAT(ROW(A33)-3, ". ", state_summ!A31)</f>
        <v>30. Tennessee</v>
      </c>
      <c r="B33" s="33">
        <f>HLOOKUP(B$2,state_summ!$A$1:$BN$49,ROW($A33)-2,FALSE)</f>
        <v>131.665867535714</v>
      </c>
      <c r="C33" s="34">
        <f>HLOOKUP(C$2,state_summ!$A$1:$BN$49,ROW($A33)-2,FALSE)</f>
        <v>121.64490813402</v>
      </c>
      <c r="D33" s="21">
        <f t="shared" si="9"/>
        <v>0.92389098564990013</v>
      </c>
      <c r="E33" s="20">
        <f>HLOOKUP(E$2,state_summ!$A$1:$BN$49,ROW($A33)-2,FALSE)</f>
        <v>53.336626392857099</v>
      </c>
      <c r="F33" s="20">
        <f>HLOOKUP(F$2,state_summ!$A$1:$BN$49,ROW($A33)-2,FALSE)</f>
        <v>39.650684687168798</v>
      </c>
      <c r="G33" s="21">
        <f t="shared" si="10"/>
        <v>0.74340443647704846</v>
      </c>
      <c r="H33" s="33">
        <f>HLOOKUP(H$2,state_summ!$A$1:$BN$49,ROW($A33)-2,FALSE)</f>
        <v>1.74313007142857</v>
      </c>
      <c r="I33" s="34">
        <f>HLOOKUP(I$2,state_summ!$A$1:$AC$49,ROW($A33)-2,FALSE)</f>
        <v>2.3687132206890098</v>
      </c>
      <c r="J33" s="20">
        <f t="shared" si="11"/>
        <v>0.62558314926043979</v>
      </c>
      <c r="K33" s="21">
        <f t="shared" si="12"/>
        <v>1.3588849504201068</v>
      </c>
      <c r="L33" s="20">
        <f>HLOOKUP(L$2,state_summ!$A$1:$BN$49,ROW($A33)-2,FALSE)</f>
        <v>115.51817357142799</v>
      </c>
      <c r="M33" s="20">
        <f>HLOOKUP(M$2,state_summ!$A$1:$BN$49,ROW($A33)-2,FALSE)</f>
        <v>131.92825328117399</v>
      </c>
      <c r="N33" s="21">
        <f t="shared" si="13"/>
        <v>1.1420562600879351</v>
      </c>
      <c r="O33" s="33">
        <f>HLOOKUP(O$2,state_summ!$A$1:$BN$49,ROW($A33)-2,FALSE)</f>
        <v>15.496528</v>
      </c>
      <c r="P33" s="34">
        <f>HLOOKUP(P$2,state_summ!$A$1:$BN$49,ROW($A33)-2,FALSE)</f>
        <v>19.508974893422199</v>
      </c>
      <c r="Q33" s="21">
        <f t="shared" si="14"/>
        <v>1.2589255408322559</v>
      </c>
      <c r="R33" s="20">
        <f>HLOOKUP(R$2,state_summ!$A$1:$BN$49,ROW($A33)-2,FALSE)</f>
        <v>9.55847535714285</v>
      </c>
      <c r="S33" s="20">
        <f>HLOOKUP(S$2,state_summ!$A$1:$BN$49,ROW($A33)-2,FALSE)</f>
        <v>7.3614088391559003</v>
      </c>
      <c r="T33" s="21">
        <f t="shared" si="15"/>
        <v>0.77014466890421729</v>
      </c>
      <c r="U33" s="33">
        <f>HLOOKUP(U$2,state_summ!$A$1:$BN$49,ROW($A33)-2,FALSE)</f>
        <v>327.318800964285</v>
      </c>
      <c r="V33" s="22" t="str">
        <f>HLOOKUP(V$2,state_summ!$A$1:$AL$49,ROW($A33)-2,FALSE)</f>
        <v>322 (301, 349)</v>
      </c>
      <c r="W33" s="23" t="str">
        <f>HLOOKUP(W$2,state_summ!$A$1:$AL$49,ROW($A33)-2,FALSE)</f>
        <v>0.89 (0.83, 0.96)</v>
      </c>
      <c r="X33" s="24" t="str">
        <f>HLOOKUP(X$2,state_summ!$A$1:$AM$49,ROW($A33)-2,FALSE)</f>
        <v>0.59 (0.42, 0.77)</v>
      </c>
      <c r="Y33" s="10" t="str">
        <f>state_summ!AN31</f>
        <v>59 (42, 77)</v>
      </c>
    </row>
    <row r="34" spans="1:25" x14ac:dyDescent="0.2">
      <c r="A34" s="19" t="str">
        <f>_xlfn.CONCAT(ROW(A34)-3, ". ", state_summ!A32)</f>
        <v>31. Montana</v>
      </c>
      <c r="B34" s="33">
        <f>HLOOKUP(B$2,state_summ!$A$1:$BN$49,ROW($A34)-2,FALSE)</f>
        <v>214.65000189285701</v>
      </c>
      <c r="C34" s="34">
        <f>HLOOKUP(C$2,state_summ!$A$1:$BN$49,ROW($A34)-2,FALSE)</f>
        <v>211.085433224837</v>
      </c>
      <c r="D34" s="21">
        <f t="shared" si="9"/>
        <v>0.98339357728121868</v>
      </c>
      <c r="E34" s="20">
        <f>HLOOKUP(E$2,state_summ!$A$1:$BN$49,ROW($A34)-2,FALSE)</f>
        <v>75.947826821428507</v>
      </c>
      <c r="F34" s="20">
        <f>HLOOKUP(F$2,state_summ!$A$1:$BN$49,ROW($A34)-2,FALSE)</f>
        <v>62.754932823133302</v>
      </c>
      <c r="G34" s="21">
        <f t="shared" si="10"/>
        <v>0.82629003948572677</v>
      </c>
      <c r="H34" s="33">
        <f>HLOOKUP(H$2,state_summ!$A$1:$BN$49,ROW($A34)-2,FALSE)</f>
        <v>19.9901775714285</v>
      </c>
      <c r="I34" s="34">
        <f>HLOOKUP(I$2,state_summ!$A$1:$AC$49,ROW($A34)-2,FALSE)</f>
        <v>10.4158957033205</v>
      </c>
      <c r="J34" s="20">
        <f t="shared" si="11"/>
        <v>-9.5742818681080006</v>
      </c>
      <c r="K34" s="21">
        <f t="shared" si="12"/>
        <v>0.52105068432246937</v>
      </c>
      <c r="L34" s="20">
        <f>HLOOKUP(L$2,state_summ!$A$1:$BN$49,ROW($A34)-2,FALSE)</f>
        <v>13.311863071428499</v>
      </c>
      <c r="M34" s="20">
        <f>HLOOKUP(M$2,state_summ!$A$1:$BN$49,ROW($A34)-2,FALSE)</f>
        <v>18.712377189039799</v>
      </c>
      <c r="N34" s="21">
        <f t="shared" si="13"/>
        <v>1.4056918320623748</v>
      </c>
      <c r="O34" s="33">
        <f>HLOOKUP(O$2,state_summ!$A$1:$BN$49,ROW($A34)-2,FALSE)</f>
        <v>1.64130503571428</v>
      </c>
      <c r="P34" s="34">
        <f>HLOOKUP(P$2,state_summ!$A$1:$BN$49,ROW($A34)-2,FALSE)</f>
        <v>0.67566328687543697</v>
      </c>
      <c r="Q34" s="21">
        <f t="shared" si="14"/>
        <v>0.41166222741855835</v>
      </c>
      <c r="R34" s="20">
        <f>HLOOKUP(R$2,state_summ!$A$1:$BN$49,ROW($A34)-2,FALSE)</f>
        <v>7.8768010357142799</v>
      </c>
      <c r="S34" s="20">
        <f>HLOOKUP(S$2,state_summ!$A$1:$BN$49,ROW($A34)-2,FALSE)</f>
        <v>2.7180194732562502</v>
      </c>
      <c r="T34" s="21">
        <f t="shared" si="15"/>
        <v>0.34506641223162193</v>
      </c>
      <c r="U34" s="33">
        <f>HLOOKUP(U$2,state_summ!$A$1:$BN$49,ROW($A34)-2,FALSE)</f>
        <v>333.41797550000001</v>
      </c>
      <c r="V34" s="22" t="str">
        <f>HLOOKUP(V$2,state_summ!$A$1:$AL$49,ROW($A34)-2,FALSE)</f>
        <v>306 (292, 322)</v>
      </c>
      <c r="W34" s="23" t="str">
        <f>HLOOKUP(W$2,state_summ!$A$1:$AL$49,ROW($A34)-2,FALSE)</f>
        <v>0.95 (0.90, 1.00)</v>
      </c>
      <c r="X34" s="24" t="str">
        <f>HLOOKUP(X$2,state_summ!$A$1:$AM$49,ROW($A34)-2,FALSE)</f>
        <v>0.30 (0.23, 0.38)</v>
      </c>
      <c r="Y34" s="10" t="str">
        <f>state_summ!AN32</f>
        <v>30 (23, 38)</v>
      </c>
    </row>
    <row r="35" spans="1:25" x14ac:dyDescent="0.2">
      <c r="A35" s="19" t="str">
        <f>_xlfn.CONCAT(ROW(A35)-3, ". ", state_summ!A33)</f>
        <v>32. North Dakota</v>
      </c>
      <c r="B35" s="33">
        <f>HLOOKUP(B$2,state_summ!$A$1:$BN$49,ROW($A35)-2,FALSE)</f>
        <v>135.584248607142</v>
      </c>
      <c r="C35" s="34">
        <f>HLOOKUP(C$2,state_summ!$A$1:$BN$49,ROW($A35)-2,FALSE)</f>
        <v>123.766137552307</v>
      </c>
      <c r="D35" s="21">
        <f t="shared" si="9"/>
        <v>0.9128356636095819</v>
      </c>
      <c r="E35" s="20">
        <f>HLOOKUP(E$2,state_summ!$A$1:$BN$49,ROW($A35)-2,FALSE)</f>
        <v>143.48071957142801</v>
      </c>
      <c r="F35" s="20">
        <f>HLOOKUP(F$2,state_summ!$A$1:$BN$49,ROW($A35)-2,FALSE)</f>
        <v>140.689406802013</v>
      </c>
      <c r="G35" s="21">
        <f t="shared" si="10"/>
        <v>0.98054572922583205</v>
      </c>
      <c r="H35" s="33">
        <f>HLOOKUP(H$2,state_summ!$A$1:$BN$49,ROW($A35)-2,FALSE)</f>
        <v>5.3139944999999997</v>
      </c>
      <c r="I35" s="34">
        <f>HLOOKUP(I$2,state_summ!$A$1:$AC$49,ROW($A35)-2,FALSE)</f>
        <v>5.8675962703318802</v>
      </c>
      <c r="J35" s="20">
        <f t="shared" si="11"/>
        <v>0.55360177033188052</v>
      </c>
      <c r="K35" s="21">
        <f t="shared" si="12"/>
        <v>1.1041780849287444</v>
      </c>
      <c r="L35" s="20">
        <f>HLOOKUP(L$2,state_summ!$A$1:$BN$49,ROW($A35)-2,FALSE)</f>
        <v>18.278781964285699</v>
      </c>
      <c r="M35" s="20">
        <f>HLOOKUP(M$2,state_summ!$A$1:$BN$49,ROW($A35)-2,FALSE)</f>
        <v>25.542081228456201</v>
      </c>
      <c r="N35" s="21">
        <f t="shared" si="13"/>
        <v>1.3973623230673695</v>
      </c>
      <c r="O35" s="33">
        <f>HLOOKUP(O$2,state_summ!$A$1:$BN$49,ROW($A35)-2,FALSE)</f>
        <v>1.53474982142857</v>
      </c>
      <c r="P35" s="34">
        <f>HLOOKUP(P$2,state_summ!$A$1:$BN$49,ROW($A35)-2,FALSE)</f>
        <v>1.5286333045759599</v>
      </c>
      <c r="Q35" s="21">
        <f t="shared" si="14"/>
        <v>0.99601464892374658</v>
      </c>
      <c r="R35" s="20">
        <f>HLOOKUP(R$2,state_summ!$A$1:$BN$49,ROW($A35)-2,FALSE)</f>
        <v>2.8836245357142798</v>
      </c>
      <c r="S35" s="20">
        <f>HLOOKUP(S$2,state_summ!$A$1:$BN$49,ROW($A35)-2,FALSE)</f>
        <v>2.3821403221937598</v>
      </c>
      <c r="T35" s="21">
        <f t="shared" si="15"/>
        <v>0.82609240304709042</v>
      </c>
      <c r="U35" s="33">
        <f>HLOOKUP(U$2,state_summ!$A$1:$BN$49,ROW($A35)-2,FALSE)</f>
        <v>307.07611903571399</v>
      </c>
      <c r="V35" s="22" t="str">
        <f>HLOOKUP(V$2,state_summ!$A$1:$AL$49,ROW($A35)-2,FALSE)</f>
        <v>300 (286, 317)</v>
      </c>
      <c r="W35" s="23" t="str">
        <f>HLOOKUP(W$2,state_summ!$A$1:$AL$49,ROW($A35)-2,FALSE)</f>
        <v>1.02 (0.97, 1.08)</v>
      </c>
      <c r="X35" s="24" t="str">
        <f>HLOOKUP(X$2,state_summ!$A$1:$AM$49,ROW($A35)-2,FALSE)</f>
        <v>0.58 (0.47, 0.70)</v>
      </c>
      <c r="Y35" s="10" t="str">
        <f>state_summ!AN33</f>
        <v>58 (47, 70)</v>
      </c>
    </row>
    <row r="36" spans="1:25" x14ac:dyDescent="0.2">
      <c r="A36" s="19" t="str">
        <f>_xlfn.CONCAT(ROW(A36)-3, ". ", state_summ!A34)</f>
        <v>33. Washington</v>
      </c>
      <c r="B36" s="33">
        <f>HLOOKUP(B$2,state_summ!$A$1:$BN$49,ROW($A36)-2,FALSE)</f>
        <v>147.28777485714201</v>
      </c>
      <c r="C36" s="34">
        <f>HLOOKUP(C$2,state_summ!$A$1:$BN$49,ROW($A36)-2,FALSE)</f>
        <v>148.90163226505399</v>
      </c>
      <c r="D36" s="21">
        <f t="shared" si="9"/>
        <v>1.0109571714928636</v>
      </c>
      <c r="E36" s="20">
        <f>HLOOKUP(E$2,state_summ!$A$1:$BN$49,ROW($A36)-2,FALSE)</f>
        <v>25.5845877142857</v>
      </c>
      <c r="F36" s="20">
        <f>HLOOKUP(F$2,state_summ!$A$1:$BN$49,ROW($A36)-2,FALSE)</f>
        <v>20.1580252515136</v>
      </c>
      <c r="G36" s="21">
        <f t="shared" si="10"/>
        <v>0.78789720892230508</v>
      </c>
      <c r="H36" s="33">
        <f>HLOOKUP(H$2,state_summ!$A$1:$BN$49,ROW($A36)-2,FALSE)</f>
        <v>0</v>
      </c>
      <c r="I36" s="34">
        <f>HLOOKUP(I$2,state_summ!$A$1:$AC$49,ROW($A36)-2,FALSE)</f>
        <v>0</v>
      </c>
      <c r="J36" s="20">
        <f t="shared" si="11"/>
        <v>0</v>
      </c>
      <c r="K36" s="21" t="str">
        <f t="shared" si="12"/>
        <v>N/A</v>
      </c>
      <c r="L36" s="20">
        <f>HLOOKUP(L$2,state_summ!$A$1:$BN$49,ROW($A36)-2,FALSE)</f>
        <v>71.019829499999901</v>
      </c>
      <c r="M36" s="20">
        <f>HLOOKUP(M$2,state_summ!$A$1:$BN$49,ROW($A36)-2,FALSE)</f>
        <v>97.515335426735007</v>
      </c>
      <c r="N36" s="21">
        <f t="shared" si="13"/>
        <v>1.3730719450225537</v>
      </c>
      <c r="O36" s="33">
        <f>HLOOKUP(O$2,state_summ!$A$1:$BN$49,ROW($A36)-2,FALSE)</f>
        <v>18.224232749999999</v>
      </c>
      <c r="P36" s="34">
        <f>HLOOKUP(P$2,state_summ!$A$1:$BN$49,ROW($A36)-2,FALSE)</f>
        <v>13.628673497665099</v>
      </c>
      <c r="Q36" s="21">
        <f t="shared" si="14"/>
        <v>0.74783249778595484</v>
      </c>
      <c r="R36" s="20">
        <f>HLOOKUP(R$2,state_summ!$A$1:$BN$49,ROW($A36)-2,FALSE)</f>
        <v>21.4960921071428</v>
      </c>
      <c r="S36" s="20">
        <f>HLOOKUP(S$2,state_summ!$A$1:$BN$49,ROW($A36)-2,FALSE)</f>
        <v>13.0105083133055</v>
      </c>
      <c r="T36" s="21">
        <f t="shared" si="15"/>
        <v>0.6052499332649548</v>
      </c>
      <c r="U36" s="33">
        <f>HLOOKUP(U$2,state_summ!$A$1:$BN$49,ROW($A36)-2,FALSE)</f>
        <v>283.61251692857098</v>
      </c>
      <c r="V36" s="22" t="str">
        <f>HLOOKUP(V$2,state_summ!$A$1:$AL$49,ROW($A36)-2,FALSE)</f>
        <v>293 (269, 337)</v>
      </c>
      <c r="W36" s="23" t="str">
        <f>HLOOKUP(W$2,state_summ!$A$1:$AL$49,ROW($A36)-2,FALSE)</f>
        <v>1.07 (0.99, 1.23)</v>
      </c>
      <c r="X36" s="24" t="str">
        <f>HLOOKUP(X$2,state_summ!$A$1:$AM$49,ROW($A36)-2,FALSE)</f>
        <v>0.09 (0.05, 0.14)</v>
      </c>
      <c r="Y36" s="10" t="str">
        <f>state_summ!AN34</f>
        <v>9 (5, 14)</v>
      </c>
    </row>
    <row r="37" spans="1:25" x14ac:dyDescent="0.2">
      <c r="A37" s="19" t="str">
        <f>_xlfn.CONCAT(ROW(A37)-3, ". ", state_summ!A35)</f>
        <v>34. Utah</v>
      </c>
      <c r="B37" s="33">
        <f>HLOOKUP(B$2,state_summ!$A$1:$BN$49,ROW($A37)-2,FALSE)</f>
        <v>91.820475857142796</v>
      </c>
      <c r="C37" s="34">
        <f>HLOOKUP(C$2,state_summ!$A$1:$BN$49,ROW($A37)-2,FALSE)</f>
        <v>104.97422260605801</v>
      </c>
      <c r="D37" s="21">
        <f t="shared" si="9"/>
        <v>1.1432550487908626</v>
      </c>
      <c r="E37" s="20">
        <f>HLOOKUP(E$2,state_summ!$A$1:$BN$49,ROW($A37)-2,FALSE)</f>
        <v>129.274446821428</v>
      </c>
      <c r="F37" s="20">
        <f>HLOOKUP(F$2,state_summ!$A$1:$BN$49,ROW($A37)-2,FALSE)</f>
        <v>48.7305198213922</v>
      </c>
      <c r="G37" s="21">
        <f t="shared" si="10"/>
        <v>0.37695399995565737</v>
      </c>
      <c r="H37" s="33">
        <f>HLOOKUP(H$2,state_summ!$A$1:$BN$49,ROW($A37)-2,FALSE)</f>
        <v>27.8316096785714</v>
      </c>
      <c r="I37" s="34">
        <f>HLOOKUP(I$2,state_summ!$A$1:$AC$49,ROW($A37)-2,FALSE)</f>
        <v>79.157438984509298</v>
      </c>
      <c r="J37" s="20">
        <f t="shared" si="11"/>
        <v>51.325829305937901</v>
      </c>
      <c r="K37" s="21">
        <f t="shared" si="12"/>
        <v>2.8441559758383494</v>
      </c>
      <c r="L37" s="20">
        <f>HLOOKUP(L$2,state_summ!$A$1:$BN$49,ROW($A37)-2,FALSE)</f>
        <v>32.066995428571403</v>
      </c>
      <c r="M37" s="20">
        <f>HLOOKUP(M$2,state_summ!$A$1:$BN$49,ROW($A37)-2,FALSE)</f>
        <v>49.101194746161802</v>
      </c>
      <c r="N37" s="21">
        <f t="shared" si="13"/>
        <v>1.5312065907619483</v>
      </c>
      <c r="O37" s="33">
        <f>HLOOKUP(O$2,state_summ!$A$1:$BN$49,ROW($A37)-2,FALSE)</f>
        <v>5.7726801428571397</v>
      </c>
      <c r="P37" s="34">
        <f>HLOOKUP(P$2,state_summ!$A$1:$BN$49,ROW($A37)-2,FALSE)</f>
        <v>0.23708716820148901</v>
      </c>
      <c r="Q37" s="21">
        <f t="shared" si="14"/>
        <v>4.1070553423066446E-2</v>
      </c>
      <c r="R37" s="20">
        <f>HLOOKUP(R$2,state_summ!$A$1:$BN$49,ROW($A37)-2,FALSE)</f>
        <v>5.4495185357142804</v>
      </c>
      <c r="S37" s="20">
        <f>HLOOKUP(S$2,state_summ!$A$1:$BN$49,ROW($A37)-2,FALSE)</f>
        <v>2.5664835989335701</v>
      </c>
      <c r="T37" s="21">
        <f t="shared" si="15"/>
        <v>0.47095602705334694</v>
      </c>
      <c r="U37" s="33">
        <f>HLOOKUP(U$2,state_summ!$A$1:$BN$49,ROW($A37)-2,FALSE)</f>
        <v>292.21572646428501</v>
      </c>
      <c r="V37" s="22" t="str">
        <f>HLOOKUP(V$2,state_summ!$A$1:$AL$49,ROW($A37)-2,FALSE)</f>
        <v>285 (248, 336)</v>
      </c>
      <c r="W37" s="23" t="str">
        <f>HLOOKUP(W$2,state_summ!$A$1:$AL$49,ROW($A37)-2,FALSE)</f>
        <v>0.70 (0.61, 0.82)</v>
      </c>
      <c r="X37" s="24" t="str">
        <f>HLOOKUP(X$2,state_summ!$A$1:$AM$49,ROW($A37)-2,FALSE)</f>
        <v>0.72 (0.59, 0.87)</v>
      </c>
      <c r="Y37" s="10" t="str">
        <f>state_summ!AN35</f>
        <v>72 (59, 87)</v>
      </c>
    </row>
    <row r="38" spans="1:25" x14ac:dyDescent="0.2">
      <c r="A38" s="19" t="str">
        <f>_xlfn.CONCAT(ROW(A38)-3, ". ", state_summ!A36)</f>
        <v>35. Oregon</v>
      </c>
      <c r="B38" s="33">
        <f>HLOOKUP(B$2,state_summ!$A$1:$BN$49,ROW($A38)-2,FALSE)</f>
        <v>114.694642428571</v>
      </c>
      <c r="C38" s="34">
        <f>HLOOKUP(C$2,state_summ!$A$1:$BN$49,ROW($A38)-2,FALSE)</f>
        <v>131.509809758812</v>
      </c>
      <c r="D38" s="21">
        <f t="shared" si="9"/>
        <v>1.146608132465412</v>
      </c>
      <c r="E38" s="20">
        <f>HLOOKUP(E$2,state_summ!$A$1:$BN$49,ROW($A38)-2,FALSE)</f>
        <v>23.98252325</v>
      </c>
      <c r="F38" s="20">
        <f>HLOOKUP(F$2,state_summ!$A$1:$BN$49,ROW($A38)-2,FALSE)</f>
        <v>22.648238741377199</v>
      </c>
      <c r="G38" s="21">
        <f t="shared" si="10"/>
        <v>0.94436429833867452</v>
      </c>
      <c r="H38" s="33">
        <f>HLOOKUP(H$2,state_summ!$A$1:$BN$49,ROW($A38)-2,FALSE)</f>
        <v>0</v>
      </c>
      <c r="I38" s="34">
        <f>HLOOKUP(I$2,state_summ!$A$1:$AC$49,ROW($A38)-2,FALSE)</f>
        <v>0</v>
      </c>
      <c r="J38" s="20">
        <f t="shared" si="11"/>
        <v>0</v>
      </c>
      <c r="K38" s="21" t="str">
        <f t="shared" si="12"/>
        <v>N/A</v>
      </c>
      <c r="L38" s="20">
        <f>HLOOKUP(L$2,state_summ!$A$1:$BN$49,ROW($A38)-2,FALSE)</f>
        <v>56.3929461785714</v>
      </c>
      <c r="M38" s="20">
        <f>HLOOKUP(M$2,state_summ!$A$1:$BN$49,ROW($A38)-2,FALSE)</f>
        <v>111.099014802947</v>
      </c>
      <c r="N38" s="21">
        <f t="shared" si="13"/>
        <v>1.970087082365688</v>
      </c>
      <c r="O38" s="33">
        <f>HLOOKUP(O$2,state_summ!$A$1:$BN$49,ROW($A38)-2,FALSE)</f>
        <v>8.3772057499999999</v>
      </c>
      <c r="P38" s="34">
        <f>HLOOKUP(P$2,state_summ!$A$1:$BN$49,ROW($A38)-2,FALSE)</f>
        <v>2.5327873080456098</v>
      </c>
      <c r="Q38" s="21">
        <f t="shared" si="14"/>
        <v>0.30234273618570368</v>
      </c>
      <c r="R38" s="20">
        <f>HLOOKUP(R$2,state_summ!$A$1:$BN$49,ROW($A38)-2,FALSE)</f>
        <v>13.9513538571428</v>
      </c>
      <c r="S38" s="20">
        <f>HLOOKUP(S$2,state_summ!$A$1:$BN$49,ROW($A38)-2,FALSE)</f>
        <v>7.8376119879093302</v>
      </c>
      <c r="T38" s="21">
        <f t="shared" si="15"/>
        <v>0.56178146351700753</v>
      </c>
      <c r="U38" s="33">
        <f>HLOOKUP(U$2,state_summ!$A$1:$BN$49,ROW($A38)-2,FALSE)</f>
        <v>217.398671464285</v>
      </c>
      <c r="V38" s="22" t="str">
        <f>HLOOKUP(V$2,state_summ!$A$1:$AL$49,ROW($A38)-2,FALSE)</f>
        <v>276 (256, 304)</v>
      </c>
      <c r="W38" s="23" t="str">
        <f>HLOOKUP(W$2,state_summ!$A$1:$AL$49,ROW($A38)-2,FALSE)</f>
        <v>1.14 (1.06, 1.26)</v>
      </c>
      <c r="X38" s="24" t="str">
        <f>HLOOKUP(X$2,state_summ!$A$1:$AM$49,ROW($A38)-2,FALSE)</f>
        <v>0.08 (0.05, 0.11)</v>
      </c>
      <c r="Y38" s="10" t="str">
        <f>state_summ!AN36</f>
        <v>8 (5, 11)</v>
      </c>
    </row>
    <row r="39" spans="1:25" x14ac:dyDescent="0.2">
      <c r="A39" s="19" t="str">
        <f>_xlfn.CONCAT(ROW(A39)-3, ". ", state_summ!A37)</f>
        <v>36. Arizona</v>
      </c>
      <c r="B39" s="33">
        <f>HLOOKUP(B$2,state_summ!$A$1:$BN$49,ROW($A39)-2,FALSE)</f>
        <v>120.614488142857</v>
      </c>
      <c r="C39" s="34">
        <f>HLOOKUP(C$2,state_summ!$A$1:$BN$49,ROW($A39)-2,FALSE)</f>
        <v>141.075243080256</v>
      </c>
      <c r="D39" s="21">
        <f t="shared" si="9"/>
        <v>1.1696376219178999</v>
      </c>
      <c r="E39" s="20">
        <f>HLOOKUP(E$2,state_summ!$A$1:$BN$49,ROW($A39)-2,FALSE)</f>
        <v>49.109382250000003</v>
      </c>
      <c r="F39" s="20">
        <f>HLOOKUP(F$2,state_summ!$A$1:$BN$49,ROW($A39)-2,FALSE)</f>
        <v>40.680274088441898</v>
      </c>
      <c r="G39" s="21">
        <f t="shared" si="10"/>
        <v>0.82836053366242246</v>
      </c>
      <c r="H39" s="33">
        <f>HLOOKUP(H$2,state_summ!$A$1:$BN$49,ROW($A39)-2,FALSE)</f>
        <v>0.98595582142857097</v>
      </c>
      <c r="I39" s="34">
        <f>HLOOKUP(I$2,state_summ!$A$1:$AC$49,ROW($A39)-2,FALSE)</f>
        <v>1.9149304026028899</v>
      </c>
      <c r="J39" s="20">
        <f t="shared" si="11"/>
        <v>0.92897458117431897</v>
      </c>
      <c r="K39" s="21">
        <f t="shared" si="12"/>
        <v>1.9422071060225694</v>
      </c>
      <c r="L39" s="20">
        <f>HLOOKUP(L$2,state_summ!$A$1:$BN$49,ROW($A39)-2,FALSE)</f>
        <v>70.3986649642857</v>
      </c>
      <c r="M39" s="20">
        <f>HLOOKUP(M$2,state_summ!$A$1:$BN$49,ROW($A39)-2,FALSE)</f>
        <v>71.956631850495</v>
      </c>
      <c r="N39" s="21">
        <f t="shared" si="13"/>
        <v>1.0221306311277307</v>
      </c>
      <c r="O39" s="33">
        <f>HLOOKUP(O$2,state_summ!$A$1:$BN$49,ROW($A39)-2,FALSE)</f>
        <v>11.3244455714285</v>
      </c>
      <c r="P39" s="34">
        <f>HLOOKUP(P$2,state_summ!$A$1:$BN$49,ROW($A39)-2,FALSE)</f>
        <v>4.2876819314458396</v>
      </c>
      <c r="Q39" s="21">
        <f t="shared" si="14"/>
        <v>0.37862179692607933</v>
      </c>
      <c r="R39" s="20">
        <f>HLOOKUP(R$2,state_summ!$A$1:$BN$49,ROW($A39)-2,FALSE)</f>
        <v>6.3085202142857097</v>
      </c>
      <c r="S39" s="20">
        <f>HLOOKUP(S$2,state_summ!$A$1:$BN$49,ROW($A39)-2,FALSE)</f>
        <v>3.13421475896978</v>
      </c>
      <c r="T39" s="21">
        <f t="shared" si="15"/>
        <v>0.49682249600664163</v>
      </c>
      <c r="U39" s="33">
        <f>HLOOKUP(U$2,state_summ!$A$1:$BN$49,ROW($A39)-2,FALSE)</f>
        <v>258.74145700000003</v>
      </c>
      <c r="V39" s="22" t="str">
        <f>HLOOKUP(V$2,state_summ!$A$1:$AL$49,ROW($A39)-2,FALSE)</f>
        <v>263 (261, 266)</v>
      </c>
      <c r="W39" s="23" t="str">
        <f>HLOOKUP(W$2,state_summ!$A$1:$AL$49,ROW($A39)-2,FALSE)</f>
        <v>0.94 (0.94, 0.95)</v>
      </c>
      <c r="X39" s="24" t="str">
        <f>HLOOKUP(X$2,state_summ!$A$1:$AM$49,ROW($A39)-2,FALSE)</f>
        <v>0.79 (0.74, 0.84)</v>
      </c>
      <c r="Y39" s="10" t="str">
        <f>state_summ!AN37</f>
        <v>79 (74, 84)</v>
      </c>
    </row>
    <row r="40" spans="1:25" x14ac:dyDescent="0.2">
      <c r="A40" s="19" t="str">
        <f>_xlfn.CONCAT(ROW(A40)-3, ". ", state_summ!A38)</f>
        <v>37. South Carolina</v>
      </c>
      <c r="B40" s="33">
        <f>HLOOKUP(B$2,state_summ!$A$1:$BN$49,ROW($A40)-2,FALSE)</f>
        <v>37.386206321428503</v>
      </c>
      <c r="C40" s="34">
        <f>HLOOKUP(C$2,state_summ!$A$1:$BN$49,ROW($A40)-2,FALSE)</f>
        <v>52.7058826100061</v>
      </c>
      <c r="D40" s="21">
        <f t="shared" si="9"/>
        <v>1.4097681416741361</v>
      </c>
      <c r="E40" s="20">
        <f>HLOOKUP(E$2,state_summ!$A$1:$BN$49,ROW($A40)-2,FALSE)</f>
        <v>26.15544375</v>
      </c>
      <c r="F40" s="20">
        <f>HLOOKUP(F$2,state_summ!$A$1:$BN$49,ROW($A40)-2,FALSE)</f>
        <v>11.1713634077708</v>
      </c>
      <c r="G40" s="21">
        <f t="shared" si="10"/>
        <v>0.42711427550415004</v>
      </c>
      <c r="H40" s="33">
        <f>HLOOKUP(H$2,state_summ!$A$1:$BN$49,ROW($A40)-2,FALSE)</f>
        <v>0</v>
      </c>
      <c r="I40" s="34">
        <f>HLOOKUP(I$2,state_summ!$A$1:$AC$49,ROW($A40)-2,FALSE)</f>
        <v>0</v>
      </c>
      <c r="J40" s="20">
        <f t="shared" si="11"/>
        <v>0</v>
      </c>
      <c r="K40" s="21" t="str">
        <f t="shared" si="12"/>
        <v>N/A</v>
      </c>
      <c r="L40" s="20">
        <f>HLOOKUP(L$2,state_summ!$A$1:$BN$49,ROW($A40)-2,FALSE)</f>
        <v>68.207435178571401</v>
      </c>
      <c r="M40" s="20">
        <f>HLOOKUP(M$2,state_summ!$A$1:$BN$49,ROW($A40)-2,FALSE)</f>
        <v>144.778520189255</v>
      </c>
      <c r="N40" s="21">
        <f t="shared" si="13"/>
        <v>2.1226207936160573</v>
      </c>
      <c r="O40" s="33">
        <f>HLOOKUP(O$2,state_summ!$A$1:$BN$49,ROW($A40)-2,FALSE)</f>
        <v>12.7917737142857</v>
      </c>
      <c r="P40" s="34">
        <f>HLOOKUP(P$2,state_summ!$A$1:$BN$49,ROW($A40)-2,FALSE)</f>
        <v>20.831489300560602</v>
      </c>
      <c r="Q40" s="21">
        <f t="shared" si="14"/>
        <v>1.6285067079709394</v>
      </c>
      <c r="R40" s="20">
        <f>HLOOKUP(R$2,state_summ!$A$1:$BN$49,ROW($A40)-2,FALSE)</f>
        <v>8.3501736071428496</v>
      </c>
      <c r="S40" s="20">
        <f>HLOOKUP(S$2,state_summ!$A$1:$BN$49,ROW($A40)-2,FALSE)</f>
        <v>7.8924257463931999</v>
      </c>
      <c r="T40" s="21">
        <f t="shared" si="15"/>
        <v>0.945181036672329</v>
      </c>
      <c r="U40" s="33">
        <f>HLOOKUP(U$2,state_summ!$A$1:$BN$49,ROW($A40)-2,FALSE)</f>
        <v>152.89103257142801</v>
      </c>
      <c r="V40" s="22" t="str">
        <f>HLOOKUP(V$2,state_summ!$A$1:$AL$49,ROW($A40)-2,FALSE)</f>
        <v>237 (220, 249)</v>
      </c>
      <c r="W40" s="23" t="str">
        <f>HLOOKUP(W$2,state_summ!$A$1:$AL$49,ROW($A40)-2,FALSE)</f>
        <v>1.35 (1.25, 1.42)</v>
      </c>
      <c r="X40" s="24" t="str">
        <f>HLOOKUP(X$2,state_summ!$A$1:$AM$49,ROW($A40)-2,FALSE)</f>
        <v>0.55 (0.40, 0.70)</v>
      </c>
      <c r="Y40" s="10" t="str">
        <f>state_summ!AN38</f>
        <v>55 (40, 70)</v>
      </c>
    </row>
    <row r="41" spans="1:25" x14ac:dyDescent="0.2">
      <c r="A41" s="19" t="str">
        <f>_xlfn.CONCAT(ROW(A41)-3, ". ", state_summ!A39)</f>
        <v>38. New Jersey</v>
      </c>
      <c r="B41" s="33">
        <f>HLOOKUP(B$2,state_summ!$A$1:$BN$49,ROW($A41)-2,FALSE)</f>
        <v>3.8324099285714199</v>
      </c>
      <c r="C41" s="34">
        <f>HLOOKUP(C$2,state_summ!$A$1:$BN$49,ROW($A41)-2,FALSE)</f>
        <v>4.4230240338388001</v>
      </c>
      <c r="D41" s="21">
        <f t="shared" si="9"/>
        <v>1.1541103682213711</v>
      </c>
      <c r="E41" s="20">
        <f>HLOOKUP(E$2,state_summ!$A$1:$BN$49,ROW($A41)-2,FALSE)</f>
        <v>44.7903877142857</v>
      </c>
      <c r="F41" s="20">
        <f>HLOOKUP(F$2,state_summ!$A$1:$BN$49,ROW($A41)-2,FALSE)</f>
        <v>50.708331859153702</v>
      </c>
      <c r="G41" s="21">
        <f t="shared" si="10"/>
        <v>1.1321253163205038</v>
      </c>
      <c r="H41" s="33">
        <f>HLOOKUP(H$2,state_summ!$A$1:$BN$49,ROW($A41)-2,FALSE)</f>
        <v>0</v>
      </c>
      <c r="I41" s="34">
        <f>HLOOKUP(I$2,state_summ!$A$1:$AC$49,ROW($A41)-2,FALSE)</f>
        <v>0</v>
      </c>
      <c r="J41" s="20">
        <f t="shared" si="11"/>
        <v>0</v>
      </c>
      <c r="K41" s="21" t="str">
        <f t="shared" si="12"/>
        <v>N/A</v>
      </c>
      <c r="L41" s="20">
        <f>HLOOKUP(L$2,state_summ!$A$1:$BN$49,ROW($A41)-2,FALSE)</f>
        <v>58.209980535714202</v>
      </c>
      <c r="M41" s="20">
        <f>HLOOKUP(M$2,state_summ!$A$1:$BN$49,ROW($A41)-2,FALSE)</f>
        <v>115.7173730861</v>
      </c>
      <c r="N41" s="21">
        <f t="shared" si="13"/>
        <v>1.9879301113166095</v>
      </c>
      <c r="O41" s="33">
        <f>HLOOKUP(O$2,state_summ!$A$1:$BN$49,ROW($A41)-2,FALSE)</f>
        <v>13.0896323214285</v>
      </c>
      <c r="P41" s="34">
        <f>HLOOKUP(P$2,state_summ!$A$1:$BN$49,ROW($A41)-2,FALSE)</f>
        <v>35.273282287266298</v>
      </c>
      <c r="Q41" s="21">
        <f t="shared" si="14"/>
        <v>2.6947496630231433</v>
      </c>
      <c r="R41" s="20">
        <f>HLOOKUP(R$2,state_summ!$A$1:$BN$49,ROW($A41)-2,FALSE)</f>
        <v>10.802762250000001</v>
      </c>
      <c r="S41" s="20">
        <f>HLOOKUP(S$2,state_summ!$A$1:$BN$49,ROW($A41)-2,FALSE)</f>
        <v>27.306311439589301</v>
      </c>
      <c r="T41" s="21">
        <f t="shared" si="15"/>
        <v>2.5277156719420812</v>
      </c>
      <c r="U41" s="33">
        <f>HLOOKUP(U$2,state_summ!$A$1:$BN$49,ROW($A41)-2,FALSE)</f>
        <v>130.72517275000001</v>
      </c>
      <c r="V41" s="22" t="str">
        <f>HLOOKUP(V$2,state_summ!$A$1:$AL$49,ROW($A41)-2,FALSE)</f>
        <v>233 (186, 294)</v>
      </c>
      <c r="W41" s="23" t="str">
        <f>HLOOKUP(W$2,state_summ!$A$1:$AL$49,ROW($A41)-2,FALSE)</f>
        <v>1.54 (1.23, 1.94)</v>
      </c>
      <c r="X41" s="24" t="str">
        <f>HLOOKUP(X$2,state_summ!$A$1:$AM$49,ROW($A41)-2,FALSE)</f>
        <v>0.28 (0.10, 0.52)</v>
      </c>
      <c r="Y41" s="10" t="str">
        <f>state_summ!AN39</f>
        <v>28 (10, 52)</v>
      </c>
    </row>
    <row r="42" spans="1:25" x14ac:dyDescent="0.2">
      <c r="A42" s="19" t="str">
        <f>_xlfn.CONCAT(ROW(A42)-3, ". ", state_summ!A40)</f>
        <v>39. Maryland</v>
      </c>
      <c r="B42" s="33">
        <f>HLOOKUP(B$2,state_summ!$A$1:$BN$49,ROW($A42)-2,FALSE)</f>
        <v>23.350107678571401</v>
      </c>
      <c r="C42" s="34">
        <f>HLOOKUP(C$2,state_summ!$A$1:$BN$49,ROW($A42)-2,FALSE)</f>
        <v>27.586394903287498</v>
      </c>
      <c r="D42" s="21">
        <f t="shared" si="9"/>
        <v>1.1814247404350848</v>
      </c>
      <c r="E42" s="20">
        <f>HLOOKUP(E$2,state_summ!$A$1:$BN$49,ROW($A42)-2,FALSE)</f>
        <v>18.525142678571399</v>
      </c>
      <c r="F42" s="20">
        <f>HLOOKUP(F$2,state_summ!$A$1:$BN$49,ROW($A42)-2,FALSE)</f>
        <v>19.5348945032388</v>
      </c>
      <c r="G42" s="21">
        <f t="shared" si="10"/>
        <v>1.0545071010889115</v>
      </c>
      <c r="H42" s="33">
        <f>HLOOKUP(H$2,state_summ!$A$1:$BN$49,ROW($A42)-2,FALSE)</f>
        <v>2.3960751785714201</v>
      </c>
      <c r="I42" s="34">
        <f>HLOOKUP(I$2,state_summ!$A$1:$AC$49,ROW($A42)-2,FALSE)</f>
        <v>4.44085343982049</v>
      </c>
      <c r="J42" s="20">
        <f t="shared" si="11"/>
        <v>2.0447782612490699</v>
      </c>
      <c r="K42" s="21">
        <f t="shared" si="12"/>
        <v>1.8533865212310245</v>
      </c>
      <c r="L42" s="20">
        <f>HLOOKUP(L$2,state_summ!$A$1:$BN$49,ROW($A42)-2,FALSE)</f>
        <v>44.784131571428503</v>
      </c>
      <c r="M42" s="20">
        <f>HLOOKUP(M$2,state_summ!$A$1:$BN$49,ROW($A42)-2,FALSE)</f>
        <v>56.5655861731749</v>
      </c>
      <c r="N42" s="21">
        <f t="shared" si="13"/>
        <v>1.2630720790679071</v>
      </c>
      <c r="O42" s="33">
        <f>HLOOKUP(O$2,state_summ!$A$1:$BN$49,ROW($A42)-2,FALSE)</f>
        <v>13.168566071428501</v>
      </c>
      <c r="P42" s="34">
        <f>HLOOKUP(P$2,state_summ!$A$1:$BN$49,ROW($A42)-2,FALSE)</f>
        <v>4.2866520394535703</v>
      </c>
      <c r="Q42" s="21">
        <f t="shared" si="14"/>
        <v>0.32552155004592409</v>
      </c>
      <c r="R42" s="20">
        <f>HLOOKUP(R$2,state_summ!$A$1:$BN$49,ROW($A42)-2,FALSE)</f>
        <v>8.0225074642857095</v>
      </c>
      <c r="S42" s="20">
        <f>HLOOKUP(S$2,state_summ!$A$1:$BN$49,ROW($A42)-2,FALSE)</f>
        <v>7.3955869368788898</v>
      </c>
      <c r="T42" s="21">
        <f t="shared" si="15"/>
        <v>0.92185479038845142</v>
      </c>
      <c r="U42" s="33">
        <f>HLOOKUP(U$2,state_summ!$A$1:$BN$49,ROW($A42)-2,FALSE)</f>
        <v>110.246530642857</v>
      </c>
      <c r="V42" s="22" t="str">
        <f>HLOOKUP(V$2,state_summ!$A$1:$AL$49,ROW($A42)-2,FALSE)</f>
        <v>120 (112, 126)</v>
      </c>
      <c r="W42" s="23" t="str">
        <f>HLOOKUP(W$2,state_summ!$A$1:$AL$49,ROW($A42)-2,FALSE)</f>
        <v>0.96 (0.89, 1.01)</v>
      </c>
      <c r="X42" s="24" t="str">
        <f>HLOOKUP(X$2,state_summ!$A$1:$AM$49,ROW($A42)-2,FALSE)</f>
        <v>0.27 (0.10, 0.45)</v>
      </c>
      <c r="Y42" s="10" t="str">
        <f>state_summ!AN40</f>
        <v>27 (10, 45)</v>
      </c>
    </row>
    <row r="43" spans="1:25" x14ac:dyDescent="0.2">
      <c r="A43" s="19" t="str">
        <f>_xlfn.CONCAT(ROW(A43)-3, ". ", state_summ!A41)</f>
        <v>40. Nevada</v>
      </c>
      <c r="B43" s="33">
        <f>HLOOKUP(B$2,state_summ!$A$1:$BN$49,ROW($A43)-2,FALSE)</f>
        <v>45.499330464285698</v>
      </c>
      <c r="C43" s="34">
        <f>HLOOKUP(C$2,state_summ!$A$1:$BN$49,ROW($A43)-2,FALSE)</f>
        <v>49.4173047109593</v>
      </c>
      <c r="D43" s="21">
        <f t="shared" si="9"/>
        <v>1.0861105912261495</v>
      </c>
      <c r="E43" s="20">
        <f>HLOOKUP(E$2,state_summ!$A$1:$BN$49,ROW($A43)-2,FALSE)</f>
        <v>19.710866321428501</v>
      </c>
      <c r="F43" s="20">
        <f>HLOOKUP(F$2,state_summ!$A$1:$BN$49,ROW($A43)-2,FALSE)</f>
        <v>9.3866880850540397</v>
      </c>
      <c r="G43" s="21">
        <f t="shared" si="10"/>
        <v>0.47621895110969231</v>
      </c>
      <c r="H43" s="33">
        <f>HLOOKUP(H$2,state_summ!$A$1:$BN$49,ROW($A43)-2,FALSE)</f>
        <v>0</v>
      </c>
      <c r="I43" s="34">
        <f>HLOOKUP(I$2,state_summ!$A$1:$AC$49,ROW($A43)-2,FALSE)</f>
        <v>0</v>
      </c>
      <c r="J43" s="20">
        <f t="shared" si="11"/>
        <v>0</v>
      </c>
      <c r="K43" s="21" t="str">
        <f t="shared" si="12"/>
        <v>N/A</v>
      </c>
      <c r="L43" s="20">
        <f>HLOOKUP(L$2,state_summ!$A$1:$BN$49,ROW($A43)-2,FALSE)</f>
        <v>16.932262178571399</v>
      </c>
      <c r="M43" s="20">
        <f>HLOOKUP(M$2,state_summ!$A$1:$BN$49,ROW($A43)-2,FALSE)</f>
        <v>30.3874954403821</v>
      </c>
      <c r="N43" s="21">
        <f t="shared" si="13"/>
        <v>1.7946506568294787</v>
      </c>
      <c r="O43" s="33">
        <f>HLOOKUP(O$2,state_summ!$A$1:$BN$49,ROW($A43)-2,FALSE)</f>
        <v>3.5840786785714198</v>
      </c>
      <c r="P43" s="34">
        <f>HLOOKUP(P$2,state_summ!$A$1:$BN$49,ROW($A43)-2,FALSE)</f>
        <v>1.78074427457694</v>
      </c>
      <c r="Q43" s="21">
        <f t="shared" si="14"/>
        <v>0.49684854443171095</v>
      </c>
      <c r="R43" s="20">
        <f>HLOOKUP(R$2,state_summ!$A$1:$BN$49,ROW($A43)-2,FALSE)</f>
        <v>3.0974644285714201</v>
      </c>
      <c r="S43" s="20">
        <f>HLOOKUP(S$2,state_summ!$A$1:$BN$49,ROW($A43)-2,FALSE)</f>
        <v>1.91722469674107</v>
      </c>
      <c r="T43" s="21">
        <f t="shared" si="15"/>
        <v>0.61896584801954035</v>
      </c>
      <c r="U43" s="33">
        <f>HLOOKUP(U$2,state_summ!$A$1:$BN$49,ROW($A43)-2,FALSE)</f>
        <v>88.824002071428495</v>
      </c>
      <c r="V43" s="22" t="str">
        <f>HLOOKUP(V$2,state_summ!$A$1:$AL$49,ROW($A43)-2,FALSE)</f>
        <v>93 (93, 93)</v>
      </c>
      <c r="W43" s="23" t="str">
        <f>HLOOKUP(W$2,state_summ!$A$1:$AL$49,ROW($A43)-2,FALSE)</f>
        <v>1.01 (1.00, 1.01)</v>
      </c>
      <c r="X43" s="24" t="str">
        <f>HLOOKUP(X$2,state_summ!$A$1:$AM$49,ROW($A43)-2,FALSE)</f>
        <v>0.00 (0.00, 0.00)</v>
      </c>
      <c r="Y43" s="10" t="str">
        <f>state_summ!AN41</f>
        <v>0 (0, 0)</v>
      </c>
    </row>
    <row r="44" spans="1:25" x14ac:dyDescent="0.2">
      <c r="A44" s="19" t="str">
        <f>_xlfn.CONCAT(ROW(A44)-3, ". ", state_summ!A42)</f>
        <v>41. Massachusetts</v>
      </c>
      <c r="B44" s="33">
        <f>HLOOKUP(B$2,state_summ!$A$1:$BN$49,ROW($A44)-2,FALSE)</f>
        <v>3.8723862857142799</v>
      </c>
      <c r="C44" s="34">
        <f>HLOOKUP(C$2,state_summ!$A$1:$BN$49,ROW($A44)-2,FALSE)</f>
        <v>4.44006200208233</v>
      </c>
      <c r="D44" s="21">
        <f t="shared" si="9"/>
        <v>1.1465958389694431</v>
      </c>
      <c r="E44" s="20">
        <f>HLOOKUP(E$2,state_summ!$A$1:$BN$49,ROW($A44)-2,FALSE)</f>
        <v>29.4257041428571</v>
      </c>
      <c r="F44" s="20">
        <f>HLOOKUP(F$2,state_summ!$A$1:$BN$49,ROW($A44)-2,FALSE)</f>
        <v>16.860736585355198</v>
      </c>
      <c r="G44" s="21">
        <f t="shared" si="10"/>
        <v>0.57299347888155916</v>
      </c>
      <c r="H44" s="33">
        <f>HLOOKUP(H$2,state_summ!$A$1:$BN$49,ROW($A44)-2,FALSE)</f>
        <v>0</v>
      </c>
      <c r="I44" s="34">
        <f>HLOOKUP(I$2,state_summ!$A$1:$AC$49,ROW($A44)-2,FALSE)</f>
        <v>0</v>
      </c>
      <c r="J44" s="20">
        <f t="shared" si="11"/>
        <v>0</v>
      </c>
      <c r="K44" s="21" t="str">
        <f t="shared" si="12"/>
        <v>N/A</v>
      </c>
      <c r="L44" s="20">
        <f>HLOOKUP(L$2,state_summ!$A$1:$BN$49,ROW($A44)-2,FALSE)</f>
        <v>25.009046964285702</v>
      </c>
      <c r="M44" s="20">
        <f>HLOOKUP(M$2,state_summ!$A$1:$BN$49,ROW($A44)-2,FALSE)</f>
        <v>48.172137284683501</v>
      </c>
      <c r="N44" s="21">
        <f t="shared" si="13"/>
        <v>1.9261884450645388</v>
      </c>
      <c r="O44" s="33">
        <f>HLOOKUP(O$2,state_summ!$A$1:$BN$49,ROW($A44)-2,FALSE)</f>
        <v>10.924496</v>
      </c>
      <c r="P44" s="34">
        <f>HLOOKUP(P$2,state_summ!$A$1:$BN$49,ROW($A44)-2,FALSE)</f>
        <v>4.1669557849569303</v>
      </c>
      <c r="Q44" s="21">
        <f t="shared" si="14"/>
        <v>0.38143231366984165</v>
      </c>
      <c r="R44" s="20">
        <f>HLOOKUP(R$2,state_summ!$A$1:$BN$49,ROW($A44)-2,FALSE)</f>
        <v>9.4008396428571395</v>
      </c>
      <c r="S44" s="20">
        <f>HLOOKUP(S$2,state_summ!$A$1:$BN$49,ROW($A44)-2,FALSE)</f>
        <v>6.7964947077197104</v>
      </c>
      <c r="T44" s="21">
        <f t="shared" si="15"/>
        <v>0.72296677381192875</v>
      </c>
      <c r="U44" s="33">
        <f>HLOOKUP(U$2,state_summ!$A$1:$BN$49,ROW($A44)-2,FALSE)</f>
        <v>78.632473035714199</v>
      </c>
      <c r="V44" s="22" t="str">
        <f>HLOOKUP(V$2,state_summ!$A$1:$AL$49,ROW($A44)-2,FALSE)</f>
        <v>80 (66, 93)</v>
      </c>
      <c r="W44" s="23" t="str">
        <f>HLOOKUP(W$2,state_summ!$A$1:$AL$49,ROW($A44)-2,FALSE)</f>
        <v>0.86 (0.71, 0.99)</v>
      </c>
      <c r="X44" s="24" t="str">
        <f>HLOOKUP(X$2,state_summ!$A$1:$AM$49,ROW($A44)-2,FALSE)</f>
        <v>0.15 (0.02, 0.35)</v>
      </c>
      <c r="Y44" s="10" t="str">
        <f>state_summ!AN42</f>
        <v>15 (2, 35)</v>
      </c>
    </row>
    <row r="45" spans="1:25" x14ac:dyDescent="0.2">
      <c r="A45" s="19" t="str">
        <f>_xlfn.CONCAT(ROW(A45)-3, ". ", state_summ!A43)</f>
        <v>42. Wyoming</v>
      </c>
      <c r="B45" s="33">
        <f>HLOOKUP(B$2,state_summ!$A$1:$BN$49,ROW($A45)-2,FALSE)</f>
        <v>109.198939821428</v>
      </c>
      <c r="C45" s="34">
        <f>HLOOKUP(C$2,state_summ!$A$1:$BN$49,ROW($A45)-2,FALSE)</f>
        <v>113.05167067176301</v>
      </c>
      <c r="D45" s="21">
        <f t="shared" si="9"/>
        <v>1.0352817605796847</v>
      </c>
      <c r="E45" s="20">
        <f>HLOOKUP(E$2,state_summ!$A$1:$BN$49,ROW($A45)-2,FALSE)</f>
        <v>302.36734974999899</v>
      </c>
      <c r="F45" s="20">
        <f>HLOOKUP(F$2,state_summ!$A$1:$BN$49,ROW($A45)-2,FALSE)</f>
        <v>141.81804002329301</v>
      </c>
      <c r="G45" s="21">
        <f t="shared" si="10"/>
        <v>0.46902564096470695</v>
      </c>
      <c r="H45" s="33">
        <f>HLOOKUP(H$2,state_summ!$A$1:$BN$49,ROW($A45)-2,FALSE)</f>
        <v>200.482737178571</v>
      </c>
      <c r="I45" s="34">
        <f>HLOOKUP(I$2,state_summ!$A$1:$AC$49,ROW($A45)-2,FALSE)</f>
        <v>-186.42556519258099</v>
      </c>
      <c r="J45" s="20">
        <f t="shared" si="11"/>
        <v>-386.90830237115199</v>
      </c>
      <c r="K45" s="21">
        <f t="shared" si="12"/>
        <v>-0.92988337956764222</v>
      </c>
      <c r="L45" s="20">
        <f>HLOOKUP(L$2,state_summ!$A$1:$BN$49,ROW($A45)-2,FALSE)</f>
        <v>6.48915857142857</v>
      </c>
      <c r="M45" s="20">
        <f>HLOOKUP(M$2,state_summ!$A$1:$BN$49,ROW($A45)-2,FALSE)</f>
        <v>10.3520774452421</v>
      </c>
      <c r="N45" s="21">
        <f t="shared" si="13"/>
        <v>1.5952880995729959</v>
      </c>
      <c r="O45" s="33">
        <f>HLOOKUP(O$2,state_summ!$A$1:$BN$49,ROW($A45)-2,FALSE)</f>
        <v>0.97809396428571405</v>
      </c>
      <c r="P45" s="34">
        <f>HLOOKUP(P$2,state_summ!$A$1:$BN$49,ROW($A45)-2,FALSE)</f>
        <v>0.19633643452569999</v>
      </c>
      <c r="Q45" s="21">
        <f t="shared" si="14"/>
        <v>0.20073371444335744</v>
      </c>
      <c r="R45" s="20">
        <f>HLOOKUP(R$2,state_summ!$A$1:$BN$49,ROW($A45)-2,FALSE)</f>
        <v>3.07616182142857</v>
      </c>
      <c r="S45" s="20">
        <f>HLOOKUP(S$2,state_summ!$A$1:$BN$49,ROW($A45)-2,FALSE)</f>
        <v>1.2687299572972299</v>
      </c>
      <c r="T45" s="21">
        <f t="shared" si="15"/>
        <v>0.4124392769129524</v>
      </c>
      <c r="U45" s="33">
        <f>HLOOKUP(U$2,state_summ!$A$1:$BN$49,ROW($A45)-2,FALSE)</f>
        <v>622.59244107142797</v>
      </c>
      <c r="V45" s="22" t="str">
        <f>HLOOKUP(V$2,state_summ!$A$1:$AL$49,ROW($A45)-2,FALSE)</f>
        <v>80 (-194, 279)</v>
      </c>
      <c r="W45" s="23" t="str">
        <f>HLOOKUP(W$2,state_summ!$A$1:$AL$49,ROW($A45)-2,FALSE)</f>
        <v>0.13 (-0.30, 0.44)</v>
      </c>
      <c r="X45" s="24" t="str">
        <f>HLOOKUP(X$2,state_summ!$A$1:$AM$49,ROW($A45)-2,FALSE)</f>
        <v>0.66 (0.50, 0.86)</v>
      </c>
      <c r="Y45" s="10" t="str">
        <f>state_summ!AN43</f>
        <v>66 (50, 86)</v>
      </c>
    </row>
    <row r="46" spans="1:25" x14ac:dyDescent="0.2">
      <c r="A46" s="19" t="str">
        <f>_xlfn.CONCAT(ROW(A46)-3, ". ", state_summ!A44)</f>
        <v>43. Vermont</v>
      </c>
      <c r="B46" s="33">
        <f>HLOOKUP(B$2,state_summ!$A$1:$BN$49,ROW($A46)-2,FALSE)</f>
        <v>37.630104821428503</v>
      </c>
      <c r="C46" s="34">
        <f>HLOOKUP(C$2,state_summ!$A$1:$BN$49,ROW($A46)-2,FALSE)</f>
        <v>29.1859373639385</v>
      </c>
      <c r="D46" s="21">
        <f t="shared" si="9"/>
        <v>0.77560074579751204</v>
      </c>
      <c r="E46" s="20">
        <f>HLOOKUP(E$2,state_summ!$A$1:$BN$49,ROW($A46)-2,FALSE)</f>
        <v>1.1357551785714199</v>
      </c>
      <c r="F46" s="20">
        <f>HLOOKUP(F$2,state_summ!$A$1:$BN$49,ROW($A46)-2,FALSE)</f>
        <v>0.31526704320853299</v>
      </c>
      <c r="G46" s="21">
        <f t="shared" si="10"/>
        <v>0.27758362819448767</v>
      </c>
      <c r="H46" s="33">
        <f>HLOOKUP(H$2,state_summ!$A$1:$BN$49,ROW($A46)-2,FALSE)</f>
        <v>0</v>
      </c>
      <c r="I46" s="34">
        <f>HLOOKUP(I$2,state_summ!$A$1:$AC$49,ROW($A46)-2,FALSE)</f>
        <v>0</v>
      </c>
      <c r="J46" s="20">
        <f t="shared" si="11"/>
        <v>0</v>
      </c>
      <c r="K46" s="21" t="str">
        <f t="shared" si="12"/>
        <v>N/A</v>
      </c>
      <c r="L46" s="20">
        <f>HLOOKUP(L$2,state_summ!$A$1:$BN$49,ROW($A46)-2,FALSE)</f>
        <v>6.5038973571428498</v>
      </c>
      <c r="M46" s="20">
        <f>HLOOKUP(M$2,state_summ!$A$1:$BN$49,ROW($A46)-2,FALSE)</f>
        <v>12.6865008220328</v>
      </c>
      <c r="N46" s="21">
        <f t="shared" si="13"/>
        <v>1.9505997904625538</v>
      </c>
      <c r="O46" s="33">
        <f>HLOOKUP(O$2,state_summ!$A$1:$BN$49,ROW($A46)-2,FALSE)</f>
        <v>1.5443566071428501</v>
      </c>
      <c r="P46" s="34">
        <f>HLOOKUP(P$2,state_summ!$A$1:$BN$49,ROW($A46)-2,FALSE)</f>
        <v>1.41015421359586</v>
      </c>
      <c r="Q46" s="21">
        <f t="shared" si="14"/>
        <v>0.91310142170125308</v>
      </c>
      <c r="R46" s="20">
        <f>HLOOKUP(R$2,state_summ!$A$1:$BN$49,ROW($A46)-2,FALSE)</f>
        <v>5.7192342857142799</v>
      </c>
      <c r="S46" s="20">
        <f>HLOOKUP(S$2,state_summ!$A$1:$BN$49,ROW($A46)-2,FALSE)</f>
        <v>2.73717027429374</v>
      </c>
      <c r="T46" s="21">
        <f t="shared" si="15"/>
        <v>0.47859033876803186</v>
      </c>
      <c r="U46" s="33">
        <f>HLOOKUP(U$2,state_summ!$A$1:$BN$49,ROW($A46)-2,FALSE)</f>
        <v>52.533348285714197</v>
      </c>
      <c r="V46" s="22" t="str">
        <f>HLOOKUP(V$2,state_summ!$A$1:$AL$49,ROW($A46)-2,FALSE)</f>
        <v>46 (45, 49)</v>
      </c>
      <c r="W46" s="23" t="str">
        <f>HLOOKUP(W$2,state_summ!$A$1:$AL$49,ROW($A46)-2,FALSE)</f>
        <v>1.07 (1.03, 1.13)</v>
      </c>
      <c r="X46" s="24" t="str">
        <f>HLOOKUP(X$2,state_summ!$A$1:$AM$49,ROW($A46)-2,FALSE)</f>
        <v>0.03 (0.01, 0.07)</v>
      </c>
      <c r="Y46" s="10" t="str">
        <f>state_summ!AN44</f>
        <v>3 (1, 7)</v>
      </c>
    </row>
    <row r="47" spans="1:25" x14ac:dyDescent="0.2">
      <c r="A47" s="19" t="str">
        <f>_xlfn.CONCAT(ROW(A47)-3, ". ", state_summ!A45)</f>
        <v>44. Connecticut</v>
      </c>
      <c r="B47" s="33">
        <f>HLOOKUP(B$2,state_summ!$A$1:$BN$49,ROW($A47)-2,FALSE)</f>
        <v>7.5104301785714203</v>
      </c>
      <c r="C47" s="34">
        <f>HLOOKUP(C$2,state_summ!$A$1:$BN$49,ROW($A47)-2,FALSE)</f>
        <v>5.3658083448877196</v>
      </c>
      <c r="D47" s="21">
        <f t="shared" si="9"/>
        <v>0.71444753726588339</v>
      </c>
      <c r="E47" s="20">
        <f>HLOOKUP(E$2,state_summ!$A$1:$BN$49,ROW($A47)-2,FALSE)</f>
        <v>12.6048230714285</v>
      </c>
      <c r="F47" s="20">
        <f>HLOOKUP(F$2,state_summ!$A$1:$BN$49,ROW($A47)-2,FALSE)</f>
        <v>7.8602810975833304</v>
      </c>
      <c r="G47" s="21">
        <f t="shared" si="10"/>
        <v>0.62359313201311972</v>
      </c>
      <c r="H47" s="33">
        <f>HLOOKUP(H$2,state_summ!$A$1:$BN$49,ROW($A47)-2,FALSE)</f>
        <v>0</v>
      </c>
      <c r="I47" s="34">
        <f>HLOOKUP(I$2,state_summ!$A$1:$AC$49,ROW($A47)-2,FALSE)</f>
        <v>0</v>
      </c>
      <c r="J47" s="20">
        <f t="shared" si="11"/>
        <v>0</v>
      </c>
      <c r="K47" s="21" t="str">
        <f t="shared" si="12"/>
        <v>N/A</v>
      </c>
      <c r="L47" s="20">
        <f>HLOOKUP(L$2,state_summ!$A$1:$BN$49,ROW($A47)-2,FALSE)</f>
        <v>8.1815847857142803</v>
      </c>
      <c r="M47" s="20">
        <f>HLOOKUP(M$2,state_summ!$A$1:$BN$49,ROW($A47)-2,FALSE)</f>
        <v>15.3149861009224</v>
      </c>
      <c r="N47" s="21">
        <f t="shared" si="13"/>
        <v>1.8718850323061647</v>
      </c>
      <c r="O47" s="33">
        <f>HLOOKUP(O$2,state_summ!$A$1:$BN$49,ROW($A47)-2,FALSE)</f>
        <v>6.4823422857142798</v>
      </c>
      <c r="P47" s="34">
        <f>HLOOKUP(P$2,state_summ!$A$1:$BN$49,ROW($A47)-2,FALSE)</f>
        <v>12.460481832108799</v>
      </c>
      <c r="Q47" s="21">
        <f t="shared" si="14"/>
        <v>1.9222190502912941</v>
      </c>
      <c r="R47" s="20">
        <f>HLOOKUP(R$2,state_summ!$A$1:$BN$49,ROW($A47)-2,FALSE)</f>
        <v>5.2783429999999996</v>
      </c>
      <c r="S47" s="20">
        <f>HLOOKUP(S$2,state_summ!$A$1:$BN$49,ROW($A47)-2,FALSE)</f>
        <v>4.4426121137018502</v>
      </c>
      <c r="T47" s="21">
        <f t="shared" si="15"/>
        <v>0.84166794649416499</v>
      </c>
      <c r="U47" s="33">
        <f>HLOOKUP(U$2,state_summ!$A$1:$BN$49,ROW($A47)-2,FALSE)</f>
        <v>40.057523285714197</v>
      </c>
      <c r="V47" s="22" t="str">
        <f>HLOOKUP(V$2,state_summ!$A$1:$AL$49,ROW($A47)-2,FALSE)</f>
        <v>45 (35, 51)</v>
      </c>
      <c r="W47" s="23" t="str">
        <f>HLOOKUP(W$2,state_summ!$A$1:$AL$49,ROW($A47)-2,FALSE)</f>
        <v>0.89 (0.67, 0.99)</v>
      </c>
      <c r="X47" s="24" t="str">
        <f>HLOOKUP(X$2,state_summ!$A$1:$AM$49,ROW($A47)-2,FALSE)</f>
        <v>0.29 (0.14, 0.50)</v>
      </c>
      <c r="Y47" s="10" t="str">
        <f>state_summ!AN45</f>
        <v>29 (14, 50)</v>
      </c>
    </row>
    <row r="48" spans="1:25" x14ac:dyDescent="0.2">
      <c r="A48" s="19" t="str">
        <f>_xlfn.CONCAT(ROW(A48)-3, ". ", state_summ!A46)</f>
        <v>45. Maine</v>
      </c>
      <c r="B48" s="33">
        <f>HLOOKUP(B$2,state_summ!$A$1:$BN$49,ROW($A48)-2,FALSE)</f>
        <v>10.6235128928571</v>
      </c>
      <c r="C48" s="34">
        <f>HLOOKUP(C$2,state_summ!$A$1:$BN$49,ROW($A48)-2,FALSE)</f>
        <v>9.5734106710312794</v>
      </c>
      <c r="D48" s="21">
        <f t="shared" si="9"/>
        <v>0.90115301478742738</v>
      </c>
      <c r="E48" s="20">
        <f>HLOOKUP(E$2,state_summ!$A$1:$BN$49,ROW($A48)-2,FALSE)</f>
        <v>3.77547167857142</v>
      </c>
      <c r="F48" s="20">
        <f>HLOOKUP(F$2,state_summ!$A$1:$BN$49,ROW($A48)-2,FALSE)</f>
        <v>1.6599360671553101</v>
      </c>
      <c r="G48" s="21">
        <f t="shared" si="10"/>
        <v>0.43966322845875622</v>
      </c>
      <c r="H48" s="33">
        <f>HLOOKUP(H$2,state_summ!$A$1:$BN$49,ROW($A48)-2,FALSE)</f>
        <v>0</v>
      </c>
      <c r="I48" s="34">
        <f>HLOOKUP(I$2,state_summ!$A$1:$AC$49,ROW($A48)-2,FALSE)</f>
        <v>0</v>
      </c>
      <c r="J48" s="20">
        <f t="shared" si="11"/>
        <v>0</v>
      </c>
      <c r="K48" s="21" t="str">
        <f t="shared" si="12"/>
        <v>N/A</v>
      </c>
      <c r="L48" s="20">
        <f>HLOOKUP(L$2,state_summ!$A$1:$BN$49,ROW($A48)-2,FALSE)</f>
        <v>12.9028960357142</v>
      </c>
      <c r="M48" s="20">
        <f>HLOOKUP(M$2,state_summ!$A$1:$BN$49,ROW($A48)-2,FALSE)</f>
        <v>19.6506034922118</v>
      </c>
      <c r="N48" s="21">
        <f t="shared" si="13"/>
        <v>1.5229606933064079</v>
      </c>
      <c r="O48" s="33">
        <f>HLOOKUP(O$2,state_summ!$A$1:$BN$49,ROW($A48)-2,FALSE)</f>
        <v>4.7429372142857096</v>
      </c>
      <c r="P48" s="34">
        <f>HLOOKUP(P$2,state_summ!$A$1:$BN$49,ROW($A48)-2,FALSE)</f>
        <v>1.01011787937622</v>
      </c>
      <c r="Q48" s="21">
        <f t="shared" si="14"/>
        <v>0.21297306579006542</v>
      </c>
      <c r="R48" s="20">
        <f>HLOOKUP(R$2,state_summ!$A$1:$BN$49,ROW($A48)-2,FALSE)</f>
        <v>9.9417345357142803</v>
      </c>
      <c r="S48" s="20">
        <f>HLOOKUP(S$2,state_summ!$A$1:$BN$49,ROW($A48)-2,FALSE)</f>
        <v>6.1773544896504697</v>
      </c>
      <c r="T48" s="21">
        <f t="shared" si="15"/>
        <v>0.62135580742567553</v>
      </c>
      <c r="U48" s="33">
        <f>HLOOKUP(U$2,state_summ!$A$1:$BN$49,ROW($A48)-2,FALSE)</f>
        <v>41.986552392857099</v>
      </c>
      <c r="V48" s="22" t="str">
        <f>HLOOKUP(V$2,state_summ!$A$1:$AL$49,ROW($A48)-2,FALSE)</f>
        <v>38 (37, 39)</v>
      </c>
      <c r="W48" s="23" t="str">
        <f>HLOOKUP(W$2,state_summ!$A$1:$AL$49,ROW($A48)-2,FALSE)</f>
        <v>0.98 (0.96, 1.00)</v>
      </c>
      <c r="X48" s="24" t="str">
        <f>HLOOKUP(X$2,state_summ!$A$1:$AM$49,ROW($A48)-2,FALSE)</f>
        <v>0.00 (0.00, 0.00)</v>
      </c>
      <c r="Y48" s="10" t="str">
        <f>state_summ!AN46</f>
        <v>0 (0, 0)</v>
      </c>
    </row>
    <row r="49" spans="1:25" x14ac:dyDescent="0.2">
      <c r="A49" s="19" t="str">
        <f>_xlfn.CONCAT(ROW(A49)-3, ". ", state_summ!A47)</f>
        <v>46. New Hampshire</v>
      </c>
      <c r="B49" s="33">
        <f>HLOOKUP(B$2,state_summ!$A$1:$BN$49,ROW($A49)-2,FALSE)</f>
        <v>4.33717114285714</v>
      </c>
      <c r="C49" s="34">
        <f>HLOOKUP(C$2,state_summ!$A$1:$BN$49,ROW($A49)-2,FALSE)</f>
        <v>4.5802088671467098</v>
      </c>
      <c r="D49" s="21">
        <f t="shared" si="9"/>
        <v>1.0560360004907408</v>
      </c>
      <c r="E49" s="20">
        <f>HLOOKUP(E$2,state_summ!$A$1:$BN$49,ROW($A49)-2,FALSE)</f>
        <v>3.1894276785714202</v>
      </c>
      <c r="F49" s="20">
        <f>HLOOKUP(F$2,state_summ!$A$1:$BN$49,ROW($A49)-2,FALSE)</f>
        <v>1.1098921077753201</v>
      </c>
      <c r="G49" s="21">
        <f t="shared" si="10"/>
        <v>0.34799099388027288</v>
      </c>
      <c r="H49" s="33">
        <f>HLOOKUP(H$2,state_summ!$A$1:$BN$49,ROW($A49)-2,FALSE)</f>
        <v>0</v>
      </c>
      <c r="I49" s="34">
        <f>HLOOKUP(I$2,state_summ!$A$1:$AC$49,ROW($A49)-2,FALSE)</f>
        <v>0</v>
      </c>
      <c r="J49" s="20">
        <f t="shared" si="11"/>
        <v>0</v>
      </c>
      <c r="K49" s="21" t="str">
        <f t="shared" si="12"/>
        <v>N/A</v>
      </c>
      <c r="L49" s="20">
        <f>HLOOKUP(L$2,state_summ!$A$1:$BN$49,ROW($A49)-2,FALSE)</f>
        <v>20.684484321428499</v>
      </c>
      <c r="M49" s="20">
        <f>HLOOKUP(M$2,state_summ!$A$1:$BN$49,ROW($A49)-2,FALSE)</f>
        <v>15.560191926642601</v>
      </c>
      <c r="N49" s="21">
        <f t="shared" si="13"/>
        <v>0.75226395228633824</v>
      </c>
      <c r="O49" s="33">
        <f>HLOOKUP(O$2,state_summ!$A$1:$BN$49,ROW($A49)-2,FALSE)</f>
        <v>3.6350482142857099</v>
      </c>
      <c r="P49" s="34">
        <f>HLOOKUP(P$2,state_summ!$A$1:$BN$49,ROW($A49)-2,FALSE)</f>
        <v>0.78006143422423202</v>
      </c>
      <c r="Q49" s="21">
        <f t="shared" si="14"/>
        <v>0.21459452206399821</v>
      </c>
      <c r="R49" s="20">
        <f>HLOOKUP(R$2,state_summ!$A$1:$BN$49,ROW($A49)-2,FALSE)</f>
        <v>5.7596926428571402</v>
      </c>
      <c r="S49" s="20">
        <f>HLOOKUP(S$2,state_summ!$A$1:$BN$49,ROW($A49)-2,FALSE)</f>
        <v>3.0609777544602101</v>
      </c>
      <c r="T49" s="21">
        <f t="shared" si="15"/>
        <v>0.53144810743612669</v>
      </c>
      <c r="U49" s="33">
        <f>HLOOKUP(U$2,state_summ!$A$1:$BN$49,ROW($A49)-2,FALSE)</f>
        <v>37.6058240357142</v>
      </c>
      <c r="V49" s="22" t="str">
        <f>HLOOKUP(V$2,state_summ!$A$1:$AL$49,ROW($A49)-2,FALSE)</f>
        <v>25 (23, 27)</v>
      </c>
      <c r="W49" s="23" t="str">
        <f>HLOOKUP(W$2,state_summ!$A$1:$AL$49,ROW($A49)-2,FALSE)</f>
        <v>0.95 (0.88, 1.00)</v>
      </c>
      <c r="X49" s="24" t="str">
        <f>HLOOKUP(X$2,state_summ!$A$1:$AM$49,ROW($A49)-2,FALSE)</f>
        <v>0.04 (0.00, 0.08)</v>
      </c>
      <c r="Y49" s="10" t="str">
        <f>state_summ!AN47</f>
        <v>4 (0, 8)</v>
      </c>
    </row>
    <row r="50" spans="1:25" x14ac:dyDescent="0.2">
      <c r="A50" s="19" t="str">
        <f>_xlfn.CONCAT(ROW(A50)-3, ". ", state_summ!A48)</f>
        <v>47. Delaware</v>
      </c>
      <c r="B50" s="33">
        <f>HLOOKUP(B$2,state_summ!$A$1:$BN$49,ROW($A50)-2,FALSE)</f>
        <v>3.0720306785714202</v>
      </c>
      <c r="C50" s="34">
        <f>HLOOKUP(C$2,state_summ!$A$1:$BN$49,ROW($A50)-2,FALSE)</f>
        <v>3.8760411618497499</v>
      </c>
      <c r="D50" s="21">
        <f t="shared" si="9"/>
        <v>1.2617195488595241</v>
      </c>
      <c r="E50" s="20">
        <f>HLOOKUP(E$2,state_summ!$A$1:$BN$49,ROW($A50)-2,FALSE)</f>
        <v>4.6674218571428501</v>
      </c>
      <c r="F50" s="20">
        <f>HLOOKUP(F$2,state_summ!$A$1:$BN$49,ROW($A50)-2,FALSE)</f>
        <v>2.0689305299098502</v>
      </c>
      <c r="G50" s="21">
        <f t="shared" si="10"/>
        <v>0.44327052347831708</v>
      </c>
      <c r="H50" s="33">
        <f>HLOOKUP(H$2,state_summ!$A$1:$BN$49,ROW($A50)-2,FALSE)</f>
        <v>0</v>
      </c>
      <c r="I50" s="34">
        <f>HLOOKUP(I$2,state_summ!$A$1:$AC$49,ROW($A50)-2,FALSE)</f>
        <v>0</v>
      </c>
      <c r="J50" s="20">
        <f t="shared" si="11"/>
        <v>0</v>
      </c>
      <c r="K50" s="21" t="str">
        <f t="shared" si="12"/>
        <v>N/A</v>
      </c>
      <c r="L50" s="20">
        <f>HLOOKUP(L$2,state_summ!$A$1:$BN$49,ROW($A50)-2,FALSE)</f>
        <v>17.342848428571401</v>
      </c>
      <c r="M50" s="20">
        <f>HLOOKUP(M$2,state_summ!$A$1:$BN$49,ROW($A50)-2,FALSE)</f>
        <v>7.5184822771608601</v>
      </c>
      <c r="N50" s="21">
        <f t="shared" si="13"/>
        <v>0.43352061272556408</v>
      </c>
      <c r="O50" s="33">
        <f>HLOOKUP(O$2,state_summ!$A$1:$BN$49,ROW($A50)-2,FALSE)</f>
        <v>5.4727333214285698</v>
      </c>
      <c r="P50" s="34">
        <f>HLOOKUP(P$2,state_summ!$A$1:$BN$49,ROW($A50)-2,FALSE)</f>
        <v>5.2875478324782801</v>
      </c>
      <c r="Q50" s="21">
        <f t="shared" si="14"/>
        <v>0.96616215735833622</v>
      </c>
      <c r="R50" s="20">
        <f>HLOOKUP(R$2,state_summ!$A$1:$BN$49,ROW($A50)-2,FALSE)</f>
        <v>1.45330028571428</v>
      </c>
      <c r="S50" s="20">
        <f>HLOOKUP(S$2,state_summ!$A$1:$BN$49,ROW($A50)-2,FALSE)</f>
        <v>1.6362443991467901</v>
      </c>
      <c r="T50" s="21">
        <f t="shared" si="15"/>
        <v>1.1258818395832044</v>
      </c>
      <c r="U50" s="33">
        <f>HLOOKUP(U$2,state_summ!$A$1:$BN$49,ROW($A50)-2,FALSE)</f>
        <v>32.008334571428499</v>
      </c>
      <c r="V50" s="22" t="str">
        <f>HLOOKUP(V$2,state_summ!$A$1:$AL$49,ROW($A50)-2,FALSE)</f>
        <v>20 (19, 22)</v>
      </c>
      <c r="W50" s="23" t="str">
        <f>HLOOKUP(W$2,state_summ!$A$1:$AL$49,ROW($A50)-2,FALSE)</f>
        <v>1.23 (1.17, 1.31)</v>
      </c>
      <c r="X50" s="24" t="str">
        <f>HLOOKUP(X$2,state_summ!$A$1:$AM$49,ROW($A50)-2,FALSE)</f>
        <v>0.13 (0.05, 0.23)</v>
      </c>
      <c r="Y50" s="10" t="str">
        <f>state_summ!AN48</f>
        <v>13 (5, 23)</v>
      </c>
    </row>
    <row r="51" spans="1:25" x14ac:dyDescent="0.2">
      <c r="A51" s="37" t="str">
        <f>_xlfn.CONCAT(ROW(A51)-3, ". ", state_summ!A49)</f>
        <v>48. Rhode Island</v>
      </c>
      <c r="B51" s="35">
        <f>HLOOKUP(B$2,state_summ!$A$1:$BN$49,ROW($A51)-2,FALSE)</f>
        <v>0.45921271428571397</v>
      </c>
      <c r="C51" s="36">
        <f>HLOOKUP(C$2,state_summ!$A$1:$BN$49,ROW($A51)-2,FALSE)</f>
        <v>0.94395116855911798</v>
      </c>
      <c r="D51" s="27">
        <f t="shared" si="9"/>
        <v>2.0555858738088171</v>
      </c>
      <c r="E51" s="26">
        <f>HLOOKUP(E$2,state_summ!$A$1:$BN$49,ROW($A51)-2,FALSE)</f>
        <v>5.0039529285714197</v>
      </c>
      <c r="F51" s="26">
        <f>HLOOKUP(F$2,state_summ!$A$1:$BN$49,ROW($A51)-2,FALSE)</f>
        <v>3.52871957665994</v>
      </c>
      <c r="G51" s="27">
        <f t="shared" si="10"/>
        <v>0.70518640503426067</v>
      </c>
      <c r="H51" s="35">
        <f>HLOOKUP(H$2,state_summ!$A$1:$BN$49,ROW($A51)-2,FALSE)</f>
        <v>0</v>
      </c>
      <c r="I51" s="36">
        <f>HLOOKUP(I$2,state_summ!$A$1:$AC$49,ROW($A51)-2,FALSE)</f>
        <v>0</v>
      </c>
      <c r="J51" s="26">
        <f t="shared" si="11"/>
        <v>0</v>
      </c>
      <c r="K51" s="27" t="str">
        <f t="shared" si="12"/>
        <v>N/A</v>
      </c>
      <c r="L51" s="26">
        <f>HLOOKUP(L$2,state_summ!$A$1:$BN$49,ROW($A51)-2,FALSE)</f>
        <v>5.9006133928571396</v>
      </c>
      <c r="M51" s="26">
        <f>HLOOKUP(M$2,state_summ!$A$1:$BN$49,ROW($A51)-2,FALSE)</f>
        <v>11.0856568588017</v>
      </c>
      <c r="N51" s="27">
        <f t="shared" si="13"/>
        <v>1.8787295694073438</v>
      </c>
      <c r="O51" s="35">
        <f>HLOOKUP(O$2,state_summ!$A$1:$BN$49,ROW($A51)-2,FALSE)</f>
        <v>2.08968953571428</v>
      </c>
      <c r="P51" s="36">
        <f>HLOOKUP(P$2,state_summ!$A$1:$BN$49,ROW($A51)-2,FALSE)</f>
        <v>1.6327339810494701</v>
      </c>
      <c r="Q51" s="27">
        <f t="shared" si="14"/>
        <v>0.78132849552284467</v>
      </c>
      <c r="R51" s="26">
        <f>HLOOKUP(R$2,state_summ!$A$1:$BN$49,ROW($A51)-2,FALSE)</f>
        <v>2.1900158214285699</v>
      </c>
      <c r="S51" s="26">
        <f>HLOOKUP(S$2,state_summ!$A$1:$BN$49,ROW($A51)-2,FALSE)</f>
        <v>0.91372897187675295</v>
      </c>
      <c r="T51" s="27">
        <f t="shared" si="15"/>
        <v>0.41722482684198975</v>
      </c>
      <c r="U51" s="35">
        <f>HLOOKUP(U$2,state_summ!$A$1:$BN$49,ROW($A51)-2,FALSE)</f>
        <v>15.6434844285714</v>
      </c>
      <c r="V51" s="28" t="str">
        <f>HLOOKUP(V$2,state_summ!$A$1:$AL$49,ROW($A51)-2,FALSE)</f>
        <v>18 (14, 21)</v>
      </c>
      <c r="W51" s="29" t="str">
        <f>HLOOKUP(W$2,state_summ!$A$1:$AL$49,ROW($A51)-2,FALSE)</f>
        <v>0.82 (0.62, 0.95)</v>
      </c>
      <c r="X51" s="30" t="str">
        <f>HLOOKUP(X$2,state_summ!$A$1:$AM$49,ROW($A51)-2,FALSE)</f>
        <v>0.20 (0.10, 0.34)</v>
      </c>
      <c r="Y51" s="11" t="str">
        <f>state_summ!AN49</f>
        <v>20 (10, 34)</v>
      </c>
    </row>
    <row r="52" spans="1:25" x14ac:dyDescent="0.2">
      <c r="U52" s="1"/>
      <c r="V52" s="1"/>
    </row>
    <row r="53" spans="1:25" x14ac:dyDescent="0.2">
      <c r="U53" s="1"/>
      <c r="V53" s="1"/>
    </row>
    <row r="54" spans="1:25" x14ac:dyDescent="0.2">
      <c r="U54" s="1"/>
      <c r="V54" s="1"/>
    </row>
    <row r="55" spans="1:25" x14ac:dyDescent="0.2">
      <c r="U55" s="1"/>
      <c r="V55" s="1"/>
    </row>
    <row r="56" spans="1:25" x14ac:dyDescent="0.2">
      <c r="U56" s="1"/>
      <c r="V56" s="1"/>
    </row>
  </sheetData>
  <mergeCells count="14">
    <mergeCell ref="AJ3:AK3"/>
    <mergeCell ref="AL3:AM3"/>
    <mergeCell ref="B1:C1"/>
    <mergeCell ref="E1:F1"/>
    <mergeCell ref="H1:I1"/>
    <mergeCell ref="L1:M1"/>
    <mergeCell ref="O1:P1"/>
    <mergeCell ref="R1:S1"/>
    <mergeCell ref="U1:X1"/>
    <mergeCell ref="Z3:AA3"/>
    <mergeCell ref="AB3:AC3"/>
    <mergeCell ref="AD3:AE3"/>
    <mergeCell ref="AF3:AG3"/>
    <mergeCell ref="AH3:AI3"/>
  </mergeCells>
  <conditionalFormatting sqref="D4:D51">
    <cfRule type="colorScale" priority="13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G4:G51">
    <cfRule type="colorScale" priority="7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K4:K51">
    <cfRule type="colorScale" priority="6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N4:N51">
    <cfRule type="colorScale" priority="4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Q4:Q51">
    <cfRule type="colorScale" priority="3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T4:T51">
    <cfRule type="colorScale" priority="1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W4:W51">
    <cfRule type="colorScale" priority="2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pageMargins left="0.5" right="0.5" top="0.5" bottom="0.5" header="0" footer="0"/>
  <pageSetup orientation="landscape" horizontalDpi="0" verticalDpi="0"/>
  <ignoredErrors>
    <ignoredError sqref="D4 G4 K4 N4 Q4 T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state_summ</vt:lpstr>
      <vt:lpstr>epa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Nesser</dc:creator>
  <cp:lastModifiedBy>Hannah Nesser</cp:lastModifiedBy>
  <dcterms:created xsi:type="dcterms:W3CDTF">2022-11-09T16:42:07Z</dcterms:created>
  <dcterms:modified xsi:type="dcterms:W3CDTF">2024-01-15T04:41:38Z</dcterms:modified>
</cp:coreProperties>
</file>