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Objects="placeholders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a52e7e5cc1f7c26/New Financial Analysis/"/>
    </mc:Choice>
  </mc:AlternateContent>
  <bookViews>
    <workbookView xWindow="0" yWindow="0" windowWidth="18514" windowHeight="8709" tabRatio="842"/>
  </bookViews>
  <sheets>
    <sheet name="PAYE" sheetId="28" r:id="rId1"/>
    <sheet name="Take Home" sheetId="30" r:id="rId2"/>
    <sheet name="Sheet1" sheetId="18" state="hidden" r:id="rId3"/>
  </sheets>
  <definedNames>
    <definedName name="loan">#REF!</definedName>
    <definedName name="_xlnm.Print_Area" localSheetId="1">'Take Home'!$A$2:$D$18</definedName>
    <definedName name="rate">#REF!</definedName>
    <definedName name="year">#REF!</definedName>
    <definedName name="years">#REF!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8" l="1"/>
  <c r="D6" i="28"/>
  <c r="D7" i="28"/>
  <c r="D8" i="28"/>
  <c r="C23" i="28"/>
  <c r="D9" i="28"/>
  <c r="D10" i="28"/>
  <c r="D11" i="28"/>
  <c r="D12" i="28"/>
  <c r="D13" i="28"/>
  <c r="D14" i="28"/>
  <c r="D15" i="28"/>
  <c r="D16" i="28"/>
  <c r="C21" i="28"/>
  <c r="C24" i="28"/>
  <c r="D26" i="28"/>
  <c r="D27" i="28"/>
  <c r="I37" i="28"/>
  <c r="B29" i="28"/>
  <c r="D29" i="28"/>
  <c r="I38" i="28"/>
  <c r="B30" i="28"/>
  <c r="D30" i="28"/>
  <c r="I39" i="28"/>
  <c r="B31" i="28"/>
  <c r="D31" i="28"/>
  <c r="I40" i="28"/>
  <c r="B32" i="28"/>
  <c r="D32" i="28"/>
  <c r="I41" i="28"/>
  <c r="B33" i="28"/>
  <c r="D33" i="28"/>
  <c r="I42" i="28"/>
  <c r="B34" i="28"/>
  <c r="D34" i="28"/>
  <c r="D36" i="28"/>
  <c r="D37" i="28"/>
  <c r="C16" i="30"/>
  <c r="B35" i="28"/>
  <c r="G38" i="28"/>
  <c r="G39" i="28"/>
  <c r="G40" i="28"/>
  <c r="G41" i="28"/>
  <c r="G37" i="28"/>
  <c r="C10" i="30"/>
  <c r="C9" i="30"/>
  <c r="B4" i="28"/>
  <c r="C3" i="30"/>
  <c r="C6" i="30"/>
  <c r="D6" i="30"/>
  <c r="C11" i="30"/>
  <c r="D11" i="30"/>
  <c r="C14" i="30"/>
  <c r="D14" i="30"/>
  <c r="C17" i="30"/>
  <c r="D17" i="30"/>
  <c r="D18" i="30"/>
  <c r="B7" i="28"/>
  <c r="B8" i="28"/>
  <c r="B9" i="28"/>
  <c r="B10" i="28"/>
  <c r="B11" i="28"/>
  <c r="B12" i="28"/>
  <c r="B13" i="28"/>
  <c r="B14" i="28"/>
  <c r="B15" i="28"/>
  <c r="B16" i="28"/>
  <c r="B6" i="28"/>
  <c r="B17" i="28"/>
  <c r="D22" i="18"/>
  <c r="H26" i="18"/>
  <c r="J26" i="18"/>
  <c r="H27" i="18"/>
  <c r="J27" i="18"/>
  <c r="H28" i="18"/>
  <c r="J28" i="18"/>
  <c r="H29" i="18"/>
  <c r="J29" i="18"/>
  <c r="H30" i="18"/>
  <c r="J30" i="18"/>
  <c r="B38" i="28"/>
</calcChain>
</file>

<file path=xl/comments1.xml><?xml version="1.0" encoding="utf-8"?>
<comments xmlns="http://schemas.openxmlformats.org/spreadsheetml/2006/main">
  <authors>
    <author>Microsoft Office User</author>
  </authors>
  <commentList>
    <comment ref="C24" authorId="0" shapeId="0">
      <text>
        <r>
          <rPr>
            <b/>
            <sz val="10"/>
            <color indexed="81"/>
            <rFont val="Calibri"/>
          </rPr>
          <t>Nairametrics Says: This is not a compulsory contribution. Delete if you do not contribute this</t>
        </r>
      </text>
    </comment>
    <comment ref="C25" authorId="0" shapeId="0">
      <text>
        <r>
          <rPr>
            <b/>
            <sz val="10"/>
            <color indexed="81"/>
            <rFont val="Calibri"/>
          </rPr>
          <t xml:space="preserve">Nairametrics Says: leave empty if you do not contribute into a life pension fund. It is not compulsory. 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13" authorId="0" shapeId="0">
      <text>
        <r>
          <rPr>
            <sz val="10"/>
            <color indexed="81"/>
            <rFont val="Calibri"/>
          </rPr>
          <t xml:space="preserve">Nairametrics Says: Delete if you do not have a loan deducted at source from your salary
</t>
        </r>
      </text>
    </comment>
  </commentList>
</comments>
</file>

<file path=xl/comments3.xml><?xml version="1.0" encoding="utf-8"?>
<comments xmlns="http://schemas.openxmlformats.org/spreadsheetml/2006/main">
  <authors>
    <author>Ugodre Obi-Chukwu</author>
  </authors>
  <commentList>
    <comment ref="E10" authorId="0" shapeId="0">
      <text>
        <r>
          <rPr>
            <b/>
            <sz val="9"/>
            <color indexed="81"/>
            <rFont val="Calibri"/>
            <family val="2"/>
          </rPr>
          <t>Ugodre Obi-Chukwu:</t>
        </r>
        <r>
          <rPr>
            <sz val="9"/>
            <color indexed="81"/>
            <rFont val="Calibri"/>
            <family val="2"/>
          </rPr>
          <t xml:space="preserve">
Amount you need to save at 'C' period  and at 'B' interest rate to generate 'A' value
</t>
        </r>
      </text>
    </comment>
  </commentList>
</comments>
</file>

<file path=xl/sharedStrings.xml><?xml version="1.0" encoding="utf-8"?>
<sst xmlns="http://schemas.openxmlformats.org/spreadsheetml/2006/main" count="92" uniqueCount="72">
  <si>
    <t>Annual</t>
  </si>
  <si>
    <t>Interest</t>
  </si>
  <si>
    <t>Beginning year</t>
  </si>
  <si>
    <t>Loan amount</t>
  </si>
  <si>
    <t>Loan maturity in years</t>
  </si>
  <si>
    <t>Annual interest rate</t>
  </si>
  <si>
    <t>Monthly payment</t>
  </si>
  <si>
    <t>A</t>
  </si>
  <si>
    <t>B</t>
  </si>
  <si>
    <t>C</t>
  </si>
  <si>
    <t>D</t>
  </si>
  <si>
    <t>Banks</t>
  </si>
  <si>
    <t>NHF</t>
  </si>
  <si>
    <t>%age of income</t>
  </si>
  <si>
    <t>N</t>
  </si>
  <si>
    <t>Monthly Payment</t>
  </si>
  <si>
    <t>IDEAL INCOME</t>
  </si>
  <si>
    <t>BANKS</t>
  </si>
  <si>
    <t>LOAN</t>
  </si>
  <si>
    <t>NHF (2.5% OF Basic)</t>
  </si>
  <si>
    <t>%age</t>
  </si>
  <si>
    <t>Statutory Contributions</t>
  </si>
  <si>
    <t>Effective Tax Rate</t>
  </si>
  <si>
    <t>PER MTH</t>
  </si>
  <si>
    <t>PAYE PER ANNUM</t>
  </si>
  <si>
    <t xml:space="preserve">                       TAX TABLE</t>
  </si>
  <si>
    <t>NEXT</t>
  </si>
  <si>
    <t>1ST</t>
  </si>
  <si>
    <t>PAYE:</t>
  </si>
  <si>
    <t>TAXABLE INCOME</t>
  </si>
  <si>
    <t>TAX FREE PAY</t>
  </si>
  <si>
    <t>NHF (2.5% of B)</t>
  </si>
  <si>
    <t>EXEMPTIONS</t>
  </si>
  <si>
    <t>PERS. ALLOW (Earned Income*20%+200,000)</t>
  </si>
  <si>
    <t>RELIEFS</t>
  </si>
  <si>
    <t>GROSS INCOME</t>
  </si>
  <si>
    <t>BENEFIT IN KIND</t>
  </si>
  <si>
    <t>TRANSPORT (T)</t>
  </si>
  <si>
    <t>ENTERTAINMENT</t>
  </si>
  <si>
    <t>2. Earned Income includes all salaries</t>
  </si>
  <si>
    <t>MEAL</t>
  </si>
  <si>
    <t>white</t>
  </si>
  <si>
    <t xml:space="preserve">1. Enter values ONLY in cells coloured </t>
  </si>
  <si>
    <t>HOUSING (H)</t>
  </si>
  <si>
    <t>Notes</t>
  </si>
  <si>
    <t>BASIC (B)</t>
  </si>
  <si>
    <t>=N=</t>
  </si>
  <si>
    <t>PAYE</t>
  </si>
  <si>
    <t>LEAVE ALLOWANCE</t>
  </si>
  <si>
    <t>Monthly</t>
  </si>
  <si>
    <t>Percentage</t>
  </si>
  <si>
    <t>UTILITIES</t>
  </si>
  <si>
    <t>DRESSING ALLOWANCE</t>
  </si>
  <si>
    <t>TELEPHONE ALLOWANCE</t>
  </si>
  <si>
    <t>CAR ALLOWANCE</t>
  </si>
  <si>
    <t>LIFE ASSURANCE</t>
  </si>
  <si>
    <t>,allowances and benfits accruing to a staff</t>
  </si>
  <si>
    <t>Total Package</t>
  </si>
  <si>
    <t>Pension (8.0% of Basic+Housing+Transport)</t>
  </si>
  <si>
    <t>Monthly Salary</t>
  </si>
  <si>
    <t>Reimburseables</t>
  </si>
  <si>
    <t>Other Payables</t>
  </si>
  <si>
    <t>Total Payable</t>
  </si>
  <si>
    <t>Deductions</t>
  </si>
  <si>
    <t>Statutory</t>
  </si>
  <si>
    <t xml:space="preserve">Pension </t>
  </si>
  <si>
    <t>Sub-Total</t>
  </si>
  <si>
    <t>Other Deductions</t>
  </si>
  <si>
    <t>Loan Deduction</t>
  </si>
  <si>
    <t>Taxation</t>
  </si>
  <si>
    <t>Take Home Pay (A-B-C-D)</t>
  </si>
  <si>
    <t>PENSION (8% of B+H+T)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</si>
</sst>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10"/>
      <name val="Geneva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9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2">
    <xf numFmtId="0" fontId="0" fillId="0" borderId="0" xfId="0"/>
    <xf numFmtId="0" fontId="0" fillId="5" borderId="0" xfId="0" applyFill="1"/>
    <xf numFmtId="40" fontId="12" fillId="5" borderId="3" xfId="0" applyNumberFormat="1" applyFont="1" applyFill="1" applyBorder="1" applyAlignment="1">
      <alignment horizontal="center"/>
    </xf>
    <xf numFmtId="0" fontId="11" fillId="3" borderId="1" xfId="4" applyFont="1"/>
    <xf numFmtId="0" fontId="11" fillId="3" borderId="1" xfId="4" applyFont="1" applyAlignment="1" applyProtection="1">
      <alignment horizontal="center"/>
      <protection locked="0"/>
    </xf>
    <xf numFmtId="37" fontId="11" fillId="3" borderId="1" xfId="4" applyNumberFormat="1" applyFont="1" applyAlignment="1" applyProtection="1">
      <alignment horizontal="center"/>
      <protection locked="0"/>
    </xf>
    <xf numFmtId="165" fontId="11" fillId="3" borderId="1" xfId="4" applyNumberFormat="1" applyFont="1" applyAlignment="1" applyProtection="1">
      <alignment horizontal="center"/>
      <protection locked="0"/>
    </xf>
    <xf numFmtId="43" fontId="0" fillId="0" borderId="0" xfId="1" applyFont="1"/>
    <xf numFmtId="0" fontId="11" fillId="3" borderId="11" xfId="4" applyFont="1" applyBorder="1"/>
    <xf numFmtId="0" fontId="11" fillId="3" borderId="10" xfId="4" applyFont="1" applyBorder="1"/>
    <xf numFmtId="0" fontId="11" fillId="3" borderId="9" xfId="4" applyFont="1" applyBorder="1"/>
    <xf numFmtId="0" fontId="11" fillId="3" borderId="4" xfId="4" applyFont="1" applyBorder="1"/>
    <xf numFmtId="0" fontId="11" fillId="3" borderId="3" xfId="4" applyFont="1" applyBorder="1"/>
    <xf numFmtId="9" fontId="7" fillId="6" borderId="3" xfId="98" applyNumberFormat="1" applyFont="1" applyBorder="1"/>
    <xf numFmtId="9" fontId="11" fillId="3" borderId="3" xfId="4" applyNumberFormat="1" applyFont="1" applyBorder="1"/>
    <xf numFmtId="0" fontId="11" fillId="3" borderId="8" xfId="4" applyFont="1" applyBorder="1" applyAlignment="1">
      <alignment horizontal="right"/>
    </xf>
    <xf numFmtId="0" fontId="11" fillId="3" borderId="3" xfId="4" applyFont="1" applyBorder="1" applyAlignment="1">
      <alignment horizontal="center"/>
    </xf>
    <xf numFmtId="0" fontId="11" fillId="3" borderId="8" xfId="4" applyFont="1" applyBorder="1"/>
    <xf numFmtId="43" fontId="7" fillId="6" borderId="4" xfId="98" applyNumberFormat="1" applyFont="1" applyBorder="1"/>
    <xf numFmtId="43" fontId="7" fillId="6" borderId="3" xfId="98" applyNumberFormat="1" applyFont="1" applyBorder="1"/>
    <xf numFmtId="43" fontId="7" fillId="6" borderId="8" xfId="98" applyNumberFormat="1" applyFont="1" applyBorder="1"/>
    <xf numFmtId="43" fontId="7" fillId="6" borderId="3" xfId="98" applyNumberFormat="1" applyFont="1" applyBorder="1" applyAlignment="1">
      <alignment horizontal="center"/>
    </xf>
    <xf numFmtId="43" fontId="7" fillId="6" borderId="4" xfId="98" applyNumberFormat="1" applyFont="1" applyBorder="1" applyAlignment="1">
      <alignment horizontal="center"/>
    </xf>
    <xf numFmtId="43" fontId="7" fillId="6" borderId="8" xfId="98" applyNumberFormat="1" applyFont="1" applyBorder="1" applyAlignment="1">
      <alignment horizontal="center"/>
    </xf>
    <xf numFmtId="0" fontId="7" fillId="6" borderId="4" xfId="98" applyFont="1" applyBorder="1" applyAlignment="1">
      <alignment horizontal="center"/>
    </xf>
    <xf numFmtId="0" fontId="7" fillId="6" borderId="3" xfId="98" applyFont="1" applyBorder="1" applyAlignment="1">
      <alignment horizontal="center"/>
    </xf>
    <xf numFmtId="0" fontId="7" fillId="6" borderId="7" xfId="98" applyFont="1" applyBorder="1" applyAlignment="1">
      <alignment horizontal="center"/>
    </xf>
    <xf numFmtId="0" fontId="7" fillId="6" borderId="6" xfId="98" applyFont="1" applyBorder="1" applyAlignment="1">
      <alignment horizontal="center"/>
    </xf>
    <xf numFmtId="43" fontId="7" fillId="6" borderId="5" xfId="98" applyNumberFormat="1" applyFont="1" applyBorder="1" applyAlignment="1">
      <alignment horizontal="center"/>
    </xf>
    <xf numFmtId="0" fontId="0" fillId="0" borderId="0" xfId="0" applyFill="1" applyBorder="1"/>
    <xf numFmtId="43" fontId="0" fillId="0" borderId="0" xfId="1" applyFont="1" applyFill="1" applyBorder="1"/>
    <xf numFmtId="2" fontId="14" fillId="0" borderId="0" xfId="0" applyNumberFormat="1" applyFont="1" applyFill="1" applyBorder="1"/>
    <xf numFmtId="0" fontId="13" fillId="0" borderId="0" xfId="3" applyFont="1" applyFill="1" applyBorder="1"/>
    <xf numFmtId="0" fontId="13" fillId="0" borderId="0" xfId="3" applyFont="1" applyFill="1" applyBorder="1" applyAlignment="1">
      <alignment horizontal="center"/>
    </xf>
    <xf numFmtId="43" fontId="16" fillId="0" borderId="0" xfId="5" applyNumberFormat="1" applyFont="1" applyFill="1" applyBorder="1"/>
    <xf numFmtId="2" fontId="16" fillId="0" borderId="0" xfId="5" applyNumberFormat="1" applyFont="1" applyFill="1" applyBorder="1"/>
    <xf numFmtId="165" fontId="15" fillId="0" borderId="0" xfId="4" applyNumberFormat="1" applyFont="1" applyFill="1" applyBorder="1"/>
    <xf numFmtId="43" fontId="15" fillId="0" borderId="0" xfId="4" applyNumberFormat="1" applyFont="1" applyFill="1" applyBorder="1"/>
    <xf numFmtId="9" fontId="0" fillId="0" borderId="0" xfId="0" applyNumberFormat="1" applyFill="1" applyBorder="1"/>
    <xf numFmtId="0" fontId="2" fillId="7" borderId="0" xfId="0" applyFont="1" applyFill="1" applyProtection="1">
      <protection locked="0"/>
    </xf>
    <xf numFmtId="0" fontId="2" fillId="8" borderId="13" xfId="0" applyFont="1" applyFill="1" applyBorder="1" applyProtection="1"/>
    <xf numFmtId="0" fontId="2" fillId="8" borderId="12" xfId="0" applyFont="1" applyFill="1" applyBorder="1" applyProtection="1"/>
    <xf numFmtId="0" fontId="2" fillId="8" borderId="14" xfId="0" applyFont="1" applyFill="1" applyBorder="1" applyProtection="1"/>
    <xf numFmtId="0" fontId="2" fillId="8" borderId="15" xfId="0" applyFont="1" applyFill="1" applyBorder="1" applyProtection="1"/>
    <xf numFmtId="0" fontId="2" fillId="8" borderId="0" xfId="0" applyFont="1" applyFill="1" applyBorder="1" applyProtection="1"/>
    <xf numFmtId="0" fontId="2" fillId="8" borderId="16" xfId="0" applyFont="1" applyFill="1" applyBorder="1" applyProtection="1"/>
    <xf numFmtId="0" fontId="2" fillId="8" borderId="8" xfId="0" applyFont="1" applyFill="1" applyBorder="1" applyProtection="1"/>
    <xf numFmtId="0" fontId="2" fillId="8" borderId="7" xfId="0" applyFont="1" applyFill="1" applyBorder="1" applyAlignment="1" applyProtection="1">
      <alignment horizontal="center"/>
    </xf>
    <xf numFmtId="0" fontId="7" fillId="8" borderId="5" xfId="0" applyFont="1" applyFill="1" applyBorder="1" applyProtection="1"/>
    <xf numFmtId="4" fontId="2" fillId="8" borderId="15" xfId="0" applyNumberFormat="1" applyFont="1" applyFill="1" applyBorder="1" applyProtection="1"/>
    <xf numFmtId="0" fontId="2" fillId="8" borderId="0" xfId="0" applyFont="1" applyFill="1" applyProtection="1"/>
    <xf numFmtId="10" fontId="11" fillId="8" borderId="17" xfId="2" applyNumberFormat="1" applyFont="1" applyFill="1" applyBorder="1" applyProtection="1"/>
    <xf numFmtId="0" fontId="2" fillId="8" borderId="18" xfId="0" applyFont="1" applyFill="1" applyBorder="1" applyProtection="1"/>
    <xf numFmtId="4" fontId="11" fillId="8" borderId="19" xfId="0" applyNumberFormat="1" applyFont="1" applyFill="1" applyBorder="1" applyProtection="1"/>
    <xf numFmtId="4" fontId="2" fillId="8" borderId="0" xfId="0" applyNumberFormat="1" applyFont="1" applyFill="1" applyProtection="1"/>
    <xf numFmtId="0" fontId="11" fillId="8" borderId="0" xfId="0" applyFont="1" applyFill="1" applyProtection="1"/>
    <xf numFmtId="4" fontId="11" fillId="8" borderId="0" xfId="0" applyNumberFormat="1" applyFont="1" applyFill="1" applyProtection="1"/>
    <xf numFmtId="4" fontId="2" fillId="8" borderId="4" xfId="0" applyNumberFormat="1" applyFont="1" applyFill="1" applyBorder="1" applyProtection="1"/>
    <xf numFmtId="9" fontId="2" fillId="8" borderId="3" xfId="0" applyNumberFormat="1" applyFont="1" applyFill="1" applyBorder="1" applyProtection="1"/>
    <xf numFmtId="4" fontId="2" fillId="8" borderId="3" xfId="0" applyNumberFormat="1" applyFont="1" applyFill="1" applyBorder="1" applyProtection="1"/>
    <xf numFmtId="0" fontId="2" fillId="8" borderId="8" xfId="0" applyFont="1" applyFill="1" applyBorder="1" applyAlignment="1" applyProtection="1">
      <alignment horizontal="right"/>
    </xf>
    <xf numFmtId="0" fontId="2" fillId="8" borderId="3" xfId="0" applyFont="1" applyFill="1" applyBorder="1" applyProtection="1"/>
    <xf numFmtId="0" fontId="20" fillId="8" borderId="8" xfId="0" applyFont="1" applyFill="1" applyBorder="1" applyProtection="1"/>
    <xf numFmtId="4" fontId="11" fillId="8" borderId="4" xfId="0" applyNumberFormat="1" applyFont="1" applyFill="1" applyBorder="1" applyProtection="1"/>
    <xf numFmtId="0" fontId="11" fillId="8" borderId="8" xfId="0" applyFont="1" applyFill="1" applyBorder="1" applyProtection="1"/>
    <xf numFmtId="4" fontId="7" fillId="8" borderId="4" xfId="0" applyNumberFormat="1" applyFont="1" applyFill="1" applyBorder="1" applyProtection="1"/>
    <xf numFmtId="0" fontId="7" fillId="8" borderId="8" xfId="0" applyFont="1" applyFill="1" applyBorder="1" applyProtection="1"/>
    <xf numFmtId="4" fontId="11" fillId="8" borderId="4" xfId="0" applyNumberFormat="1" applyFont="1" applyFill="1" applyBorder="1" applyProtection="1">
      <protection locked="0"/>
    </xf>
    <xf numFmtId="4" fontId="2" fillId="8" borderId="3" xfId="0" applyNumberFormat="1" applyFont="1" applyFill="1" applyBorder="1" applyProtection="1">
      <protection locked="0"/>
    </xf>
    <xf numFmtId="165" fontId="7" fillId="8" borderId="3" xfId="0" applyNumberFormat="1" applyFont="1" applyFill="1" applyBorder="1" applyProtection="1">
      <protection locked="0"/>
    </xf>
    <xf numFmtId="0" fontId="11" fillId="8" borderId="8" xfId="0" applyFont="1" applyFill="1" applyBorder="1" applyProtection="1">
      <protection locked="0"/>
    </xf>
    <xf numFmtId="0" fontId="10" fillId="8" borderId="8" xfId="0" applyFont="1" applyFill="1" applyBorder="1" applyProtection="1">
      <protection locked="0"/>
    </xf>
    <xf numFmtId="0" fontId="2" fillId="5" borderId="0" xfId="0" applyFont="1" applyFill="1" applyProtection="1">
      <protection locked="0"/>
    </xf>
    <xf numFmtId="165" fontId="7" fillId="8" borderId="3" xfId="2" applyNumberFormat="1" applyFont="1" applyFill="1" applyBorder="1" applyProtection="1">
      <protection locked="0"/>
    </xf>
    <xf numFmtId="0" fontId="2" fillId="8" borderId="8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4" fontId="2" fillId="7" borderId="0" xfId="0" applyNumberFormat="1" applyFont="1" applyFill="1" applyProtection="1">
      <protection locked="0"/>
    </xf>
    <xf numFmtId="0" fontId="11" fillId="8" borderId="7" xfId="0" quotePrefix="1" applyFont="1" applyFill="1" applyBorder="1" applyAlignment="1" applyProtection="1">
      <alignment horizontal="center"/>
      <protection locked="0"/>
    </xf>
    <xf numFmtId="0" fontId="11" fillId="8" borderId="6" xfId="0" quotePrefix="1" applyFont="1" applyFill="1" applyBorder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right"/>
      <protection locked="0"/>
    </xf>
    <xf numFmtId="0" fontId="2" fillId="8" borderId="5" xfId="0" applyFont="1" applyFill="1" applyBorder="1" applyProtection="1">
      <protection locked="0"/>
    </xf>
    <xf numFmtId="0" fontId="2" fillId="8" borderId="0" xfId="0" applyFont="1" applyFill="1" applyProtection="1">
      <protection locked="0"/>
    </xf>
    <xf numFmtId="0" fontId="20" fillId="8" borderId="0" xfId="0" applyFont="1" applyFill="1" applyProtection="1">
      <protection locked="0"/>
    </xf>
    <xf numFmtId="164" fontId="7" fillId="8" borderId="0" xfId="0" applyNumberFormat="1" applyFont="1" applyFill="1" applyBorder="1" applyProtection="1">
      <protection locked="0"/>
    </xf>
    <xf numFmtId="0" fontId="11" fillId="8" borderId="0" xfId="0" applyFont="1" applyFill="1" applyBorder="1" applyProtection="1">
      <protection locked="0"/>
    </xf>
    <xf numFmtId="0" fontId="11" fillId="8" borderId="0" xfId="0" applyFont="1" applyFill="1" applyProtection="1">
      <protection locked="0"/>
    </xf>
    <xf numFmtId="165" fontId="1" fillId="8" borderId="3" xfId="2" applyNumberFormat="1" applyFont="1" applyFill="1" applyBorder="1" applyProtection="1">
      <protection locked="0"/>
    </xf>
    <xf numFmtId="4" fontId="1" fillId="5" borderId="4" xfId="0" applyNumberFormat="1" applyFont="1" applyFill="1" applyBorder="1" applyProtection="1">
      <protection locked="0"/>
    </xf>
    <xf numFmtId="4" fontId="1" fillId="8" borderId="4" xfId="0" applyNumberFormat="1" applyFont="1" applyFill="1" applyBorder="1" applyProtection="1">
      <protection locked="0"/>
    </xf>
    <xf numFmtId="4" fontId="1" fillId="8" borderId="3" xfId="0" applyNumberFormat="1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0" fillId="7" borderId="0" xfId="0" applyFill="1"/>
    <xf numFmtId="0" fontId="21" fillId="10" borderId="23" xfId="0" applyFont="1" applyFill="1" applyBorder="1" applyProtection="1"/>
    <xf numFmtId="43" fontId="21" fillId="10" borderId="22" xfId="0" applyNumberFormat="1" applyFont="1" applyFill="1" applyBorder="1" applyProtection="1"/>
    <xf numFmtId="43" fontId="21" fillId="10" borderId="21" xfId="1" applyFont="1" applyFill="1" applyBorder="1" applyProtection="1"/>
    <xf numFmtId="43" fontId="21" fillId="10" borderId="8" xfId="1" applyFont="1" applyFill="1" applyBorder="1" applyProtection="1"/>
    <xf numFmtId="4" fontId="21" fillId="10" borderId="4" xfId="0" applyNumberFormat="1" applyFont="1" applyFill="1" applyBorder="1" applyProtection="1"/>
    <xf numFmtId="43" fontId="21" fillId="10" borderId="9" xfId="1" applyFont="1" applyFill="1" applyBorder="1" applyProtection="1"/>
    <xf numFmtId="4" fontId="21" fillId="10" borderId="11" xfId="0" applyNumberFormat="1" applyFont="1" applyFill="1" applyBorder="1" applyProtection="1"/>
    <xf numFmtId="0" fontId="1" fillId="8" borderId="0" xfId="0" applyFont="1" applyFill="1" applyProtection="1">
      <protection locked="0"/>
    </xf>
    <xf numFmtId="0" fontId="1" fillId="7" borderId="0" xfId="0" applyFont="1" applyFill="1" applyProtection="1">
      <protection locked="0"/>
    </xf>
    <xf numFmtId="4" fontId="1" fillId="9" borderId="0" xfId="0" applyNumberFormat="1" applyFont="1" applyFill="1" applyProtection="1">
      <protection locked="0"/>
    </xf>
    <xf numFmtId="0" fontId="11" fillId="9" borderId="0" xfId="0" applyFont="1" applyFill="1" applyProtection="1">
      <protection locked="0"/>
    </xf>
    <xf numFmtId="165" fontId="2" fillId="5" borderId="4" xfId="0" applyNumberFormat="1" applyFont="1" applyFill="1" applyBorder="1" applyProtection="1"/>
    <xf numFmtId="165" fontId="2" fillId="5" borderId="11" xfId="0" applyNumberFormat="1" applyFont="1" applyFill="1" applyBorder="1" applyProtection="1"/>
    <xf numFmtId="0" fontId="0" fillId="8" borderId="9" xfId="0" applyFont="1" applyFill="1" applyBorder="1" applyProtection="1"/>
    <xf numFmtId="0" fontId="19" fillId="5" borderId="0" xfId="0" applyFont="1" applyFill="1" applyAlignment="1">
      <alignment horizontal="center"/>
    </xf>
    <xf numFmtId="0" fontId="19" fillId="5" borderId="26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center"/>
    </xf>
    <xf numFmtId="0" fontId="19" fillId="11" borderId="6" xfId="0" applyFont="1" applyFill="1" applyBorder="1"/>
    <xf numFmtId="43" fontId="0" fillId="5" borderId="3" xfId="0" applyNumberFormat="1" applyFill="1" applyBorder="1"/>
    <xf numFmtId="0" fontId="19" fillId="11" borderId="3" xfId="0" applyFont="1" applyFill="1" applyBorder="1"/>
    <xf numFmtId="43" fontId="0" fillId="5" borderId="3" xfId="1" applyFont="1" applyFill="1" applyBorder="1"/>
    <xf numFmtId="0" fontId="19" fillId="11" borderId="10" xfId="0" applyFont="1" applyFill="1" applyBorder="1"/>
    <xf numFmtId="43" fontId="19" fillId="9" borderId="27" xfId="0" applyNumberFormat="1" applyFont="1" applyFill="1" applyBorder="1"/>
    <xf numFmtId="0" fontId="19" fillId="0" borderId="0" xfId="0" applyFont="1" applyAlignment="1">
      <alignment horizontal="center"/>
    </xf>
    <xf numFmtId="0" fontId="19" fillId="11" borderId="5" xfId="0" applyFont="1" applyFill="1" applyBorder="1" applyAlignment="1">
      <alignment horizontal="center"/>
    </xf>
    <xf numFmtId="43" fontId="0" fillId="11" borderId="6" xfId="0" applyNumberFormat="1" applyFill="1" applyBorder="1"/>
    <xf numFmtId="43" fontId="0" fillId="11" borderId="7" xfId="0" applyNumberFormat="1" applyFill="1" applyBorder="1"/>
    <xf numFmtId="0" fontId="19" fillId="11" borderId="8" xfId="0" applyFont="1" applyFill="1" applyBorder="1" applyAlignment="1">
      <alignment horizontal="center"/>
    </xf>
    <xf numFmtId="0" fontId="0" fillId="11" borderId="3" xfId="0" applyFill="1" applyBorder="1"/>
    <xf numFmtId="43" fontId="0" fillId="11" borderId="3" xfId="0" applyNumberFormat="1" applyFill="1" applyBorder="1"/>
    <xf numFmtId="0" fontId="0" fillId="11" borderId="4" xfId="0" applyFill="1" applyBorder="1"/>
    <xf numFmtId="43" fontId="19" fillId="11" borderId="3" xfId="0" applyNumberFormat="1" applyFont="1" applyFill="1" applyBorder="1"/>
    <xf numFmtId="43" fontId="19" fillId="11" borderId="11" xfId="0" applyNumberFormat="1" applyFont="1" applyFill="1" applyBorder="1"/>
    <xf numFmtId="0" fontId="0" fillId="11" borderId="20" xfId="0" applyFill="1" applyBorder="1"/>
    <xf numFmtId="43" fontId="0" fillId="11" borderId="3" xfId="1" applyFont="1" applyFill="1" applyBorder="1"/>
    <xf numFmtId="43" fontId="19" fillId="11" borderId="3" xfId="1" applyFont="1" applyFill="1" applyBorder="1"/>
    <xf numFmtId="43" fontId="19" fillId="11" borderId="4" xfId="0" applyNumberFormat="1" applyFont="1" applyFill="1" applyBorder="1"/>
    <xf numFmtId="43" fontId="0" fillId="11" borderId="4" xfId="0" applyNumberFormat="1" applyFill="1" applyBorder="1"/>
    <xf numFmtId="4" fontId="0" fillId="11" borderId="3" xfId="0" applyNumberFormat="1" applyFill="1" applyBorder="1"/>
    <xf numFmtId="4" fontId="19" fillId="11" borderId="3" xfId="0" applyNumberFormat="1" applyFont="1" applyFill="1" applyBorder="1"/>
    <xf numFmtId="4" fontId="19" fillId="11" borderId="4" xfId="0" applyNumberFormat="1" applyFont="1" applyFill="1" applyBorder="1"/>
    <xf numFmtId="0" fontId="19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8" borderId="8" xfId="0" applyFont="1" applyFill="1" applyBorder="1" applyProtection="1"/>
    <xf numFmtId="9" fontId="2" fillId="8" borderId="24" xfId="0" applyNumberFormat="1" applyFont="1" applyFill="1" applyBorder="1" applyProtection="1"/>
    <xf numFmtId="43" fontId="0" fillId="7" borderId="0" xfId="0" applyNumberFormat="1" applyFill="1"/>
    <xf numFmtId="4" fontId="11" fillId="8" borderId="28" xfId="0" applyNumberFormat="1" applyFont="1" applyFill="1" applyBorder="1" applyProtection="1"/>
    <xf numFmtId="0" fontId="2" fillId="8" borderId="3" xfId="0" applyFont="1" applyFill="1" applyBorder="1" applyAlignment="1" applyProtection="1">
      <alignment horizontal="right"/>
    </xf>
    <xf numFmtId="4" fontId="7" fillId="8" borderId="3" xfId="0" applyNumberFormat="1" applyFont="1" applyFill="1" applyBorder="1" applyProtection="1"/>
    <xf numFmtId="4" fontId="10" fillId="5" borderId="3" xfId="0" applyNumberFormat="1" applyFont="1" applyFill="1" applyBorder="1" applyProtection="1"/>
  </cellXfs>
  <cellStyles count="299">
    <cellStyle name="40% - Accent6" xfId="98" builtinId="51"/>
    <cellStyle name="Comma" xfId="1" builtinId="3"/>
    <cellStyle name="Followed Hyperlink" xfId="75" builtinId="9" hidden="1"/>
    <cellStyle name="Followed Hyperlink" xfId="79" builtinId="9" hidden="1"/>
    <cellStyle name="Followed Hyperlink" xfId="83" builtinId="9" hidden="1"/>
    <cellStyle name="Followed Hyperlink" xfId="87" builtinId="9" hidden="1"/>
    <cellStyle name="Followed Hyperlink" xfId="91" builtinId="9" hidden="1"/>
    <cellStyle name="Followed Hyperlink" xfId="95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7" builtinId="9" hidden="1"/>
    <cellStyle name="Followed Hyperlink" xfId="93" builtinId="9" hidden="1"/>
    <cellStyle name="Followed Hyperlink" xfId="89" builtinId="9" hidden="1"/>
    <cellStyle name="Followed Hyperlink" xfId="85" builtinId="9" hidden="1"/>
    <cellStyle name="Followed Hyperlink" xfId="81" builtinId="9" hidden="1"/>
    <cellStyle name="Followed Hyperlink" xfId="77" builtinId="9" hidden="1"/>
    <cellStyle name="Followed Hyperlink" xfId="73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65" builtinId="9" hidden="1"/>
    <cellStyle name="Followed Hyperlink" xfId="57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17" builtinId="9" hidden="1"/>
    <cellStyle name="Followed Hyperlink" xfId="11" builtinId="9" hidden="1"/>
    <cellStyle name="Followed Hyperlink" xfId="13" builtinId="9" hidden="1"/>
    <cellStyle name="Followed Hyperlink" xfId="9" builtinId="9" hidden="1"/>
    <cellStyle name="Followed Hyperlink" xfId="7" builtinId="9" hidden="1"/>
    <cellStyle name="Good" xfId="3" builtinId="26"/>
    <cellStyle name="Hyperlink" xfId="129" builtinId="8" hidden="1"/>
    <cellStyle name="Hyperlink" xfId="133" builtinId="8" hidden="1"/>
    <cellStyle name="Hyperlink" xfId="135" builtinId="8" hidden="1"/>
    <cellStyle name="Hyperlink" xfId="137" builtinId="8" hidden="1"/>
    <cellStyle name="Hyperlink" xfId="141" builtinId="8" hidden="1"/>
    <cellStyle name="Hyperlink" xfId="143" builtinId="8" hidden="1"/>
    <cellStyle name="Hyperlink" xfId="145" builtinId="8" hidden="1"/>
    <cellStyle name="Hyperlink" xfId="149" builtinId="8" hidden="1"/>
    <cellStyle name="Hyperlink" xfId="151" builtinId="8" hidden="1"/>
    <cellStyle name="Hyperlink" xfId="153" builtinId="8" hidden="1"/>
    <cellStyle name="Hyperlink" xfId="157" builtinId="8" hidden="1"/>
    <cellStyle name="Hyperlink" xfId="159" builtinId="8" hidden="1"/>
    <cellStyle name="Hyperlink" xfId="161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7" builtinId="8" hidden="1"/>
    <cellStyle name="Hyperlink" xfId="199" builtinId="8" hidden="1"/>
    <cellStyle name="Hyperlink" xfId="201" builtinId="8" hidden="1"/>
    <cellStyle name="Hyperlink" xfId="205" builtinId="8" hidden="1"/>
    <cellStyle name="Hyperlink" xfId="207" builtinId="8" hidden="1"/>
    <cellStyle name="Hyperlink" xfId="209" builtinId="8" hidden="1"/>
    <cellStyle name="Hyperlink" xfId="213" builtinId="8" hidden="1"/>
    <cellStyle name="Hyperlink" xfId="215" builtinId="8" hidden="1"/>
    <cellStyle name="Hyperlink" xfId="217" builtinId="8" hidden="1"/>
    <cellStyle name="Hyperlink" xfId="221" builtinId="8" hidden="1"/>
    <cellStyle name="Hyperlink" xfId="223" builtinId="8" hidden="1"/>
    <cellStyle name="Hyperlink" xfId="225" builtinId="8" hidden="1"/>
    <cellStyle name="Hyperlink" xfId="229" builtinId="8" hidden="1"/>
    <cellStyle name="Hyperlink" xfId="231" builtinId="8" hidden="1"/>
    <cellStyle name="Hyperlink" xfId="233" builtinId="8" hidden="1"/>
    <cellStyle name="Hyperlink" xfId="237" builtinId="8" hidden="1"/>
    <cellStyle name="Hyperlink" xfId="239" builtinId="8" hidden="1"/>
    <cellStyle name="Hyperlink" xfId="241" builtinId="8" hidden="1"/>
    <cellStyle name="Hyperlink" xfId="245" builtinId="8" hidden="1"/>
    <cellStyle name="Hyperlink" xfId="247" builtinId="8" hidden="1"/>
    <cellStyle name="Hyperlink" xfId="249" builtinId="8" hidden="1"/>
    <cellStyle name="Hyperlink" xfId="253" builtinId="8" hidden="1"/>
    <cellStyle name="Hyperlink" xfId="255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1" builtinId="8" hidden="1"/>
    <cellStyle name="Hyperlink" xfId="283" builtinId="8" hidden="1"/>
    <cellStyle name="Hyperlink" xfId="275" builtinId="8" hidden="1"/>
    <cellStyle name="Hyperlink" xfId="267" builtinId="8" hidden="1"/>
    <cellStyle name="Hyperlink" xfId="259" builtinId="8" hidden="1"/>
    <cellStyle name="Hyperlink" xfId="251" builtinId="8" hidden="1"/>
    <cellStyle name="Hyperlink" xfId="243" builtinId="8" hidden="1"/>
    <cellStyle name="Hyperlink" xfId="235" builtinId="8" hidden="1"/>
    <cellStyle name="Hyperlink" xfId="227" builtinId="8" hidden="1"/>
    <cellStyle name="Hyperlink" xfId="219" builtinId="8" hidden="1"/>
    <cellStyle name="Hyperlink" xfId="211" builtinId="8" hidden="1"/>
    <cellStyle name="Hyperlink" xfId="203" builtinId="8" hidden="1"/>
    <cellStyle name="Hyperlink" xfId="195" builtinId="8" hidden="1"/>
    <cellStyle name="Hyperlink" xfId="187" builtinId="8" hidden="1"/>
    <cellStyle name="Hyperlink" xfId="179" builtinId="8" hidden="1"/>
    <cellStyle name="Hyperlink" xfId="171" builtinId="8" hidden="1"/>
    <cellStyle name="Hyperlink" xfId="163" builtinId="8" hidden="1"/>
    <cellStyle name="Hyperlink" xfId="155" builtinId="8" hidden="1"/>
    <cellStyle name="Hyperlink" xfId="147" builtinId="8" hidden="1"/>
    <cellStyle name="Hyperlink" xfId="139" builtinId="8" hidden="1"/>
    <cellStyle name="Hyperlink" xfId="131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15" builtinId="8" hidden="1"/>
    <cellStyle name="Hyperlink" xfId="99" builtinId="8" hidden="1"/>
    <cellStyle name="Hyperlink" xfId="82" builtinId="8" hidden="1"/>
    <cellStyle name="Hyperlink" xfId="66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2" builtinId="8" hidden="1"/>
    <cellStyle name="Hyperlink" xfId="54" builtinId="8" hidden="1"/>
    <cellStyle name="Hyperlink" xfId="56" builtinId="8" hidden="1"/>
    <cellStyle name="Hyperlink" xfId="50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18" builtinId="8" hidden="1"/>
    <cellStyle name="Hyperlink" xfId="10" builtinId="8" hidden="1"/>
    <cellStyle name="Hyperlink" xfId="12" builtinId="8" hidden="1"/>
    <cellStyle name="Hyperlink" xfId="14" builtinId="8" hidden="1"/>
    <cellStyle name="Hyperlink" xfId="8" builtinId="8" hidden="1"/>
    <cellStyle name="Hyperlink" xfId="6" builtinId="8" hidden="1"/>
    <cellStyle name="Input" xfId="4" builtinId="20"/>
    <cellStyle name="Normal" xfId="0" builtinId="0"/>
    <cellStyle name="Output" xfId="5" builtinId="21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H28" sqref="H28"/>
    </sheetView>
  </sheetViews>
  <sheetFormatPr defaultColWidth="8.35546875" defaultRowHeight="15.9"/>
  <cols>
    <col min="1" max="1" width="38.85546875" style="39" customWidth="1"/>
    <col min="2" max="2" width="14.140625" style="39" bestFit="1" customWidth="1"/>
    <col min="3" max="3" width="13.5" style="39" customWidth="1"/>
    <col min="4" max="4" width="15.5" style="39" bestFit="1" customWidth="1"/>
    <col min="5" max="5" width="8.35546875" style="39"/>
    <col min="6" max="6" width="16.85546875" style="39" customWidth="1"/>
    <col min="7" max="7" width="13.640625" style="39" customWidth="1"/>
    <col min="8" max="8" width="32.140625" style="39" bestFit="1" customWidth="1"/>
    <col min="9" max="9" width="25.640625" style="39" customWidth="1"/>
    <col min="10" max="16384" width="8.35546875" style="39"/>
  </cols>
  <sheetData>
    <row r="1" spans="1:9">
      <c r="A1" s="85"/>
      <c r="B1" s="81" t="s">
        <v>50</v>
      </c>
      <c r="C1" s="81" t="s">
        <v>49</v>
      </c>
      <c r="D1" s="81" t="s">
        <v>0</v>
      </c>
    </row>
    <row r="2" spans="1:9">
      <c r="A2" s="84"/>
      <c r="B2" s="83"/>
      <c r="C2" s="81"/>
      <c r="D2" s="81"/>
    </row>
    <row r="3" spans="1:9">
      <c r="A3" s="82" t="s">
        <v>47</v>
      </c>
      <c r="B3" s="81"/>
      <c r="C3" s="81"/>
      <c r="D3" s="81"/>
      <c r="F3" s="76"/>
    </row>
    <row r="4" spans="1:9" s="100" customFormat="1" ht="16.3" thickBot="1">
      <c r="A4" s="102" t="s">
        <v>57</v>
      </c>
      <c r="B4" s="101">
        <f>D18</f>
        <v>2999999.9999999995</v>
      </c>
      <c r="C4" s="99"/>
      <c r="D4" s="99"/>
    </row>
    <row r="5" spans="1:9">
      <c r="A5" s="80"/>
      <c r="B5" s="79" t="s">
        <v>20</v>
      </c>
      <c r="C5" s="78" t="s">
        <v>46</v>
      </c>
      <c r="D5" s="77" t="s">
        <v>46</v>
      </c>
    </row>
    <row r="6" spans="1:9">
      <c r="A6" s="74" t="s">
        <v>45</v>
      </c>
      <c r="B6" s="86">
        <f>D6/D$18</f>
        <v>0.38461573200000004</v>
      </c>
      <c r="C6" s="87">
        <v>96153.93299999999</v>
      </c>
      <c r="D6" s="88">
        <f>C6*12</f>
        <v>1153847.196</v>
      </c>
      <c r="F6" s="76"/>
      <c r="H6" s="75" t="s">
        <v>44</v>
      </c>
      <c r="I6" s="72"/>
    </row>
    <row r="7" spans="1:9">
      <c r="A7" s="74" t="s">
        <v>43</v>
      </c>
      <c r="B7" s="86">
        <f t="shared" ref="B7:B16" si="0">D7/D$18</f>
        <v>0.28846154000000002</v>
      </c>
      <c r="C7" s="87">
        <v>72115.384999999995</v>
      </c>
      <c r="D7" s="88">
        <f t="shared" ref="D7:D16" si="1">C7*12</f>
        <v>865384.61999999988</v>
      </c>
      <c r="H7" s="72" t="s">
        <v>42</v>
      </c>
      <c r="I7" s="72"/>
    </row>
    <row r="8" spans="1:9">
      <c r="A8" s="71" t="s">
        <v>37</v>
      </c>
      <c r="B8" s="86">
        <f t="shared" si="0"/>
        <v>9.6153844000000016E-2</v>
      </c>
      <c r="C8" s="87">
        <v>24038.460999999999</v>
      </c>
      <c r="D8" s="88">
        <f t="shared" si="1"/>
        <v>288461.53200000001</v>
      </c>
      <c r="H8" s="72" t="s">
        <v>41</v>
      </c>
      <c r="I8" s="72"/>
    </row>
    <row r="9" spans="1:9">
      <c r="A9" s="71" t="s">
        <v>40</v>
      </c>
      <c r="B9" s="86">
        <f t="shared" si="0"/>
        <v>9.6153844000000016E-2</v>
      </c>
      <c r="C9" s="87">
        <v>24038.460999999999</v>
      </c>
      <c r="D9" s="88">
        <f t="shared" si="1"/>
        <v>288461.53200000001</v>
      </c>
      <c r="H9" s="72" t="s">
        <v>39</v>
      </c>
      <c r="I9" s="72"/>
    </row>
    <row r="10" spans="1:9">
      <c r="A10" s="71" t="s">
        <v>51</v>
      </c>
      <c r="B10" s="86">
        <f t="shared" si="0"/>
        <v>4.8076920000000009E-2</v>
      </c>
      <c r="C10" s="87">
        <v>12019.23</v>
      </c>
      <c r="D10" s="88">
        <f t="shared" si="1"/>
        <v>144230.76</v>
      </c>
      <c r="H10" s="90" t="s">
        <v>56</v>
      </c>
      <c r="I10" s="72"/>
    </row>
    <row r="11" spans="1:9">
      <c r="A11" s="71" t="s">
        <v>48</v>
      </c>
      <c r="B11" s="86">
        <f t="shared" si="0"/>
        <v>0</v>
      </c>
      <c r="C11" s="87"/>
      <c r="D11" s="88">
        <f t="shared" si="1"/>
        <v>0</v>
      </c>
    </row>
    <row r="12" spans="1:9">
      <c r="A12" s="71" t="s">
        <v>52</v>
      </c>
      <c r="B12" s="86">
        <f t="shared" si="0"/>
        <v>0</v>
      </c>
      <c r="C12" s="87"/>
      <c r="D12" s="88">
        <f t="shared" si="1"/>
        <v>0</v>
      </c>
    </row>
    <row r="13" spans="1:9">
      <c r="A13" s="71" t="s">
        <v>38</v>
      </c>
      <c r="B13" s="86">
        <f t="shared" si="0"/>
        <v>4.8076920000000009E-2</v>
      </c>
      <c r="C13" s="87">
        <v>12019.23</v>
      </c>
      <c r="D13" s="88">
        <f t="shared" si="1"/>
        <v>144230.76</v>
      </c>
    </row>
    <row r="14" spans="1:9">
      <c r="A14" s="71" t="s">
        <v>53</v>
      </c>
      <c r="B14" s="86">
        <f t="shared" si="0"/>
        <v>0</v>
      </c>
      <c r="C14" s="87"/>
      <c r="D14" s="88">
        <f t="shared" si="1"/>
        <v>0</v>
      </c>
    </row>
    <row r="15" spans="1:9">
      <c r="A15" s="71" t="s">
        <v>54</v>
      </c>
      <c r="B15" s="86">
        <f t="shared" si="0"/>
        <v>3.8461200000000001E-2</v>
      </c>
      <c r="C15" s="87">
        <v>9615.2999999999993</v>
      </c>
      <c r="D15" s="88">
        <f t="shared" si="1"/>
        <v>115383.59999999999</v>
      </c>
    </row>
    <row r="16" spans="1:9">
      <c r="A16" s="71" t="s">
        <v>36</v>
      </c>
      <c r="B16" s="86">
        <f t="shared" si="0"/>
        <v>0</v>
      </c>
      <c r="C16" s="87">
        <v>0</v>
      </c>
      <c r="D16" s="88">
        <f t="shared" si="1"/>
        <v>0</v>
      </c>
    </row>
    <row r="17" spans="1:4">
      <c r="A17" s="71"/>
      <c r="B17" s="73">
        <f>SUM(B6:B16)</f>
        <v>1</v>
      </c>
      <c r="C17" s="89"/>
      <c r="D17" s="88"/>
    </row>
    <row r="18" spans="1:4">
      <c r="A18" s="70" t="s">
        <v>35</v>
      </c>
      <c r="B18" s="69"/>
      <c r="C18" s="68"/>
      <c r="D18" s="67">
        <f>SUM(D6:D17)</f>
        <v>2999999.9999999995</v>
      </c>
    </row>
    <row r="19" spans="1:4">
      <c r="A19" s="70"/>
      <c r="B19" s="69"/>
      <c r="C19" s="68"/>
      <c r="D19" s="67"/>
    </row>
    <row r="20" spans="1:4">
      <c r="A20" s="66" t="s">
        <v>34</v>
      </c>
      <c r="B20" s="61"/>
      <c r="C20" s="59"/>
      <c r="D20" s="57"/>
    </row>
    <row r="21" spans="1:4">
      <c r="A21" s="46" t="s">
        <v>33</v>
      </c>
      <c r="B21" s="61"/>
      <c r="C21" s="59">
        <f>(0.2*D18)+200000</f>
        <v>799999.99999999988</v>
      </c>
      <c r="D21" s="57"/>
    </row>
    <row r="22" spans="1:4">
      <c r="A22" s="66" t="s">
        <v>32</v>
      </c>
      <c r="B22" s="61"/>
      <c r="C22" s="59"/>
      <c r="D22" s="57"/>
    </row>
    <row r="23" spans="1:4">
      <c r="A23" s="135" t="s">
        <v>71</v>
      </c>
      <c r="B23" s="61"/>
      <c r="C23" s="59">
        <f>(D6+D7+D8)*B42</f>
        <v>184615.46784</v>
      </c>
      <c r="D23" s="57"/>
    </row>
    <row r="24" spans="1:4">
      <c r="A24" s="46" t="s">
        <v>31</v>
      </c>
      <c r="B24" s="61"/>
      <c r="C24" s="59">
        <f>D6*B41</f>
        <v>28846.179900000003</v>
      </c>
      <c r="D24" s="57"/>
    </row>
    <row r="25" spans="1:4">
      <c r="A25" s="46" t="s">
        <v>55</v>
      </c>
      <c r="B25" s="61"/>
      <c r="C25" s="141"/>
      <c r="D25" s="57"/>
    </row>
    <row r="26" spans="1:4">
      <c r="A26" s="66" t="s">
        <v>30</v>
      </c>
      <c r="B26" s="61"/>
      <c r="C26" s="59"/>
      <c r="D26" s="65">
        <f>SUM(C20:C25)</f>
        <v>1013461.6477399998</v>
      </c>
    </row>
    <row r="27" spans="1:4">
      <c r="A27" s="64" t="s">
        <v>29</v>
      </c>
      <c r="B27" s="61"/>
      <c r="C27" s="59"/>
      <c r="D27" s="63">
        <f>IF(D18-D26&lt;=0,0,D18-D26)</f>
        <v>1986538.3522599996</v>
      </c>
    </row>
    <row r="28" spans="1:4">
      <c r="A28" s="62" t="s">
        <v>28</v>
      </c>
      <c r="B28" s="61"/>
      <c r="C28" s="59"/>
      <c r="D28" s="57"/>
    </row>
    <row r="29" spans="1:4">
      <c r="A29" s="60" t="s">
        <v>27</v>
      </c>
      <c r="B29" s="59">
        <f>I37</f>
        <v>300000</v>
      </c>
      <c r="C29" s="58">
        <v>7.0000000000000007E-2</v>
      </c>
      <c r="D29" s="57">
        <f t="shared" ref="D29:D34" si="2">B29*C29</f>
        <v>21000.000000000004</v>
      </c>
    </row>
    <row r="30" spans="1:4">
      <c r="A30" s="60" t="s">
        <v>26</v>
      </c>
      <c r="B30" s="59">
        <f t="shared" ref="B30:B34" si="3">I38</f>
        <v>300000</v>
      </c>
      <c r="C30" s="58">
        <v>0.11</v>
      </c>
      <c r="D30" s="57">
        <f t="shared" si="2"/>
        <v>33000</v>
      </c>
    </row>
    <row r="31" spans="1:4">
      <c r="A31" s="60" t="s">
        <v>26</v>
      </c>
      <c r="B31" s="59">
        <f t="shared" si="3"/>
        <v>500000</v>
      </c>
      <c r="C31" s="58">
        <v>0.15</v>
      </c>
      <c r="D31" s="57">
        <f t="shared" si="2"/>
        <v>75000</v>
      </c>
    </row>
    <row r="32" spans="1:4">
      <c r="A32" s="60" t="s">
        <v>26</v>
      </c>
      <c r="B32" s="59">
        <f t="shared" si="3"/>
        <v>500000</v>
      </c>
      <c r="C32" s="58">
        <v>0.19</v>
      </c>
      <c r="D32" s="57">
        <f t="shared" si="2"/>
        <v>95000</v>
      </c>
    </row>
    <row r="33" spans="1:9">
      <c r="A33" s="60" t="s">
        <v>26</v>
      </c>
      <c r="B33" s="59">
        <f t="shared" si="3"/>
        <v>386538.35225999961</v>
      </c>
      <c r="C33" s="58">
        <v>0.21</v>
      </c>
      <c r="D33" s="57">
        <f t="shared" si="2"/>
        <v>81173.053974599912</v>
      </c>
    </row>
    <row r="34" spans="1:9">
      <c r="A34" s="60" t="s">
        <v>26</v>
      </c>
      <c r="B34" s="59">
        <f t="shared" si="3"/>
        <v>0</v>
      </c>
      <c r="C34" s="136">
        <v>0.24</v>
      </c>
      <c r="D34" s="57">
        <f t="shared" si="2"/>
        <v>0</v>
      </c>
    </row>
    <row r="35" spans="1:9" ht="16.3" thickBot="1">
      <c r="A35" s="139"/>
      <c r="B35" s="140">
        <f>SUM(B29:B34)</f>
        <v>1986538.3522599996</v>
      </c>
      <c r="C35" s="61"/>
      <c r="D35" s="59"/>
      <c r="F35" s="91"/>
      <c r="G35" s="91"/>
      <c r="H35" s="91"/>
      <c r="I35" s="91"/>
    </row>
    <row r="36" spans="1:9" ht="16.3" thickBot="1">
      <c r="A36" s="55" t="s">
        <v>24</v>
      </c>
      <c r="B36" s="56"/>
      <c r="C36" s="55"/>
      <c r="D36" s="138">
        <f>IF(SUM(D29:D35)=0,D18*0.01,SUM(D29:D35))</f>
        <v>305173.05397459993</v>
      </c>
      <c r="F36" s="91"/>
      <c r="G36" s="91"/>
      <c r="H36" s="92" t="s">
        <v>25</v>
      </c>
      <c r="I36" s="93"/>
    </row>
    <row r="37" spans="1:9" ht="16.75" thickTop="1" thickBot="1">
      <c r="A37" s="55" t="s">
        <v>23</v>
      </c>
      <c r="B37" s="54"/>
      <c r="C37" s="50"/>
      <c r="D37" s="53">
        <f>D36/12</f>
        <v>25431.087831216661</v>
      </c>
      <c r="F37" s="91"/>
      <c r="G37" s="137">
        <f>C29*H37</f>
        <v>21000.000000000004</v>
      </c>
      <c r="H37" s="94">
        <v>300000</v>
      </c>
      <c r="I37" s="96">
        <f>IF(PAYE!$D$27&gt;300000,300000,D27)</f>
        <v>300000</v>
      </c>
    </row>
    <row r="38" spans="1:9" ht="16.3" thickBot="1">
      <c r="A38" s="52" t="s">
        <v>22</v>
      </c>
      <c r="B38" s="51">
        <f>D36/D18</f>
        <v>0.10172435132486665</v>
      </c>
      <c r="C38" s="50"/>
      <c r="D38" s="49"/>
      <c r="F38" s="91"/>
      <c r="G38" s="137">
        <f>C30*H38</f>
        <v>33000</v>
      </c>
      <c r="H38" s="95">
        <v>300000</v>
      </c>
      <c r="I38" s="96">
        <f>IF(PAYE!$D$27-SUM(PAYE!I37)&gt;300000,300000,PAYE!D27-SUM(PAYE!I37))</f>
        <v>300000</v>
      </c>
    </row>
    <row r="39" spans="1:9" ht="16.3" thickBot="1">
      <c r="A39" s="45"/>
      <c r="B39" s="44"/>
      <c r="C39" s="44"/>
      <c r="D39" s="43"/>
      <c r="F39" s="91"/>
      <c r="G39" s="137">
        <f>C31*H39</f>
        <v>75000</v>
      </c>
      <c r="H39" s="95">
        <v>500000</v>
      </c>
      <c r="I39" s="96">
        <f>IF(PAYE!$D$27-SUM(PAYE!I37:I38)&gt;500000,500000,PAYE!D27-SUM(PAYE!I37:I38))</f>
        <v>500000</v>
      </c>
    </row>
    <row r="40" spans="1:9">
      <c r="A40" s="48" t="s">
        <v>21</v>
      </c>
      <c r="B40" s="47" t="s">
        <v>20</v>
      </c>
      <c r="C40" s="44"/>
      <c r="D40" s="43"/>
      <c r="F40" s="91"/>
      <c r="G40" s="137">
        <f>C32*H40</f>
        <v>95000</v>
      </c>
      <c r="H40" s="95">
        <v>500000</v>
      </c>
      <c r="I40" s="96">
        <f>IF(PAYE!$D$27-SUM(PAYE!I37:I39)&gt;500000,500000,PAYE!D27-SUM(PAYE!I37:I39))</f>
        <v>500000</v>
      </c>
    </row>
    <row r="41" spans="1:9">
      <c r="A41" s="46" t="s">
        <v>19</v>
      </c>
      <c r="B41" s="103">
        <v>2.5000000000000001E-2</v>
      </c>
      <c r="C41" s="44"/>
      <c r="D41" s="43"/>
      <c r="F41" s="91"/>
      <c r="G41" s="137">
        <f>C33*H41</f>
        <v>336000</v>
      </c>
      <c r="H41" s="95">
        <v>1600000</v>
      </c>
      <c r="I41" s="96">
        <f>IF(PAYE!$D$27-SUM(PAYE!I37:I40)&gt;1600000,1600000,PAYE!D27-SUM(PAYE!I37:I40))</f>
        <v>386538.35225999961</v>
      </c>
    </row>
    <row r="42" spans="1:9" ht="16.3" thickBot="1">
      <c r="A42" s="105" t="s">
        <v>58</v>
      </c>
      <c r="B42" s="104">
        <v>0.08</v>
      </c>
      <c r="C42" s="44"/>
      <c r="D42" s="43"/>
      <c r="F42" s="91"/>
      <c r="G42" s="91"/>
      <c r="H42" s="97">
        <v>3200000</v>
      </c>
      <c r="I42" s="98">
        <f>IF(PAYE!$D$27-300000&gt;=3200000,D27-3200000,PAYE!$D$27-SUM(I37:I41))</f>
        <v>0</v>
      </c>
    </row>
    <row r="43" spans="1:9">
      <c r="A43" s="45"/>
      <c r="B43" s="44"/>
      <c r="C43" s="44"/>
      <c r="D43" s="43"/>
    </row>
    <row r="44" spans="1:9">
      <c r="A44" s="42"/>
      <c r="B44" s="41"/>
      <c r="C44" s="41"/>
      <c r="D44" s="40"/>
    </row>
  </sheetData>
  <protectedRanges>
    <protectedRange password="CA1B" sqref="C20" name="Range1"/>
    <protectedRange password="C9DB" sqref="A29:D35" name="Range2"/>
  </protectedRange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view="pageBreakPreview" zoomScale="130" zoomScaleNormal="100" zoomScaleSheetLayoutView="130" workbookViewId="0">
      <selection activeCell="D11" sqref="D11"/>
    </sheetView>
  </sheetViews>
  <sheetFormatPr defaultColWidth="8.85546875" defaultRowHeight="15.9"/>
  <cols>
    <col min="1" max="1" width="6.85546875" style="115" customWidth="1"/>
    <col min="2" max="2" width="25.140625" customWidth="1"/>
    <col min="3" max="4" width="13.85546875" customWidth="1"/>
  </cols>
  <sheetData>
    <row r="1" spans="1:4" ht="16.3" thickBot="1">
      <c r="A1" s="106"/>
      <c r="B1" s="1"/>
      <c r="C1" s="1"/>
      <c r="D1" s="1"/>
    </row>
    <row r="2" spans="1:4" ht="16.3" thickBot="1">
      <c r="A2" s="106"/>
      <c r="B2" s="1"/>
      <c r="C2" s="107" t="s">
        <v>14</v>
      </c>
      <c r="D2" s="108" t="s">
        <v>14</v>
      </c>
    </row>
    <row r="3" spans="1:4">
      <c r="A3" s="116"/>
      <c r="B3" s="109" t="s">
        <v>59</v>
      </c>
      <c r="C3" s="117">
        <f>PAYE!B4/12</f>
        <v>249999.99999999997</v>
      </c>
      <c r="D3" s="118"/>
    </row>
    <row r="4" spans="1:4">
      <c r="A4" s="119"/>
      <c r="B4" s="120" t="s">
        <v>60</v>
      </c>
      <c r="C4" s="110"/>
      <c r="D4" s="122"/>
    </row>
    <row r="5" spans="1:4">
      <c r="A5" s="119"/>
      <c r="B5" s="120" t="s">
        <v>61</v>
      </c>
      <c r="C5" s="110"/>
      <c r="D5" s="122"/>
    </row>
    <row r="6" spans="1:4" ht="16.3" thickBot="1">
      <c r="A6" s="119" t="s">
        <v>7</v>
      </c>
      <c r="B6" s="120" t="s">
        <v>62</v>
      </c>
      <c r="C6" s="123">
        <f>SUM(C3:C5)</f>
        <v>249999.99999999997</v>
      </c>
      <c r="D6" s="124">
        <f>C6</f>
        <v>249999.99999999997</v>
      </c>
    </row>
    <row r="7" spans="1:4">
      <c r="A7" s="119"/>
      <c r="B7" s="111" t="s">
        <v>63</v>
      </c>
      <c r="C7" s="121"/>
      <c r="D7" s="125"/>
    </row>
    <row r="8" spans="1:4">
      <c r="A8" s="119"/>
      <c r="B8" s="111" t="s">
        <v>64</v>
      </c>
      <c r="C8" s="121"/>
      <c r="D8" s="122"/>
    </row>
    <row r="9" spans="1:4">
      <c r="A9" s="119"/>
      <c r="B9" s="120" t="s">
        <v>12</v>
      </c>
      <c r="C9" s="121">
        <f>PAYE!C24/12</f>
        <v>2403.8483250000004</v>
      </c>
      <c r="D9" s="122"/>
    </row>
    <row r="10" spans="1:4">
      <c r="A10" s="119"/>
      <c r="B10" s="120" t="s">
        <v>65</v>
      </c>
      <c r="C10" s="126">
        <f>PAYE!C23/12</f>
        <v>15384.62232</v>
      </c>
      <c r="D10" s="122"/>
    </row>
    <row r="11" spans="1:4">
      <c r="A11" s="119" t="s">
        <v>8</v>
      </c>
      <c r="B11" s="111" t="s">
        <v>66</v>
      </c>
      <c r="C11" s="127">
        <f>SUM(C9:C10)</f>
        <v>17788.470645000001</v>
      </c>
      <c r="D11" s="128">
        <f>C11</f>
        <v>17788.470645000001</v>
      </c>
    </row>
    <row r="12" spans="1:4">
      <c r="A12" s="119"/>
      <c r="B12" s="111" t="s">
        <v>67</v>
      </c>
      <c r="C12" s="126"/>
      <c r="D12" s="122"/>
    </row>
    <row r="13" spans="1:4">
      <c r="A13" s="119"/>
      <c r="B13" s="120" t="s">
        <v>68</v>
      </c>
      <c r="C13" s="112"/>
      <c r="D13" s="122"/>
    </row>
    <row r="14" spans="1:4">
      <c r="A14" s="119" t="s">
        <v>9</v>
      </c>
      <c r="B14" s="111" t="s">
        <v>66</v>
      </c>
      <c r="C14" s="126">
        <f>SUM(C13:C13)</f>
        <v>0</v>
      </c>
      <c r="D14" s="129">
        <f>C14</f>
        <v>0</v>
      </c>
    </row>
    <row r="15" spans="1:4">
      <c r="A15" s="119"/>
      <c r="B15" s="111" t="s">
        <v>69</v>
      </c>
      <c r="C15" s="126"/>
      <c r="D15" s="122"/>
    </row>
    <row r="16" spans="1:4">
      <c r="A16" s="119"/>
      <c r="B16" s="120" t="s">
        <v>47</v>
      </c>
      <c r="C16" s="130">
        <f>PAYE!D37</f>
        <v>25431.087831216661</v>
      </c>
      <c r="D16" s="122"/>
    </row>
    <row r="17" spans="1:4">
      <c r="A17" s="119" t="s">
        <v>10</v>
      </c>
      <c r="B17" s="111" t="s">
        <v>66</v>
      </c>
      <c r="C17" s="131">
        <f>SUM(C16:C16)</f>
        <v>25431.087831216661</v>
      </c>
      <c r="D17" s="132">
        <f>C17</f>
        <v>25431.087831216661</v>
      </c>
    </row>
    <row r="18" spans="1:4" ht="16.3" thickBot="1">
      <c r="A18" s="133"/>
      <c r="B18" s="113" t="s">
        <v>70</v>
      </c>
      <c r="C18" s="134"/>
      <c r="D18" s="114">
        <f>D6-D11-D14-D17</f>
        <v>206780.44152378332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J34"/>
  <sheetViews>
    <sheetView workbookViewId="0">
      <selection activeCell="H11" sqref="H11"/>
    </sheetView>
  </sheetViews>
  <sheetFormatPr defaultColWidth="10.640625" defaultRowHeight="15.9"/>
  <cols>
    <col min="3" max="3" width="17.5" customWidth="1"/>
    <col min="4" max="4" width="51" customWidth="1"/>
    <col min="5" max="5" width="22.85546875" customWidth="1"/>
    <col min="6" max="6" width="19.640625" style="7" customWidth="1"/>
    <col min="7" max="8" width="16" customWidth="1"/>
    <col min="9" max="9" width="14.85546875" customWidth="1"/>
    <col min="10" max="10" width="13.640625" customWidth="1"/>
  </cols>
  <sheetData>
    <row r="1" spans="3:6" s="29" customFormat="1">
      <c r="F1" s="30"/>
    </row>
    <row r="2" spans="3:6" s="29" customFormat="1">
      <c r="E2" s="38"/>
      <c r="F2" s="30"/>
    </row>
    <row r="3" spans="3:6" s="29" customFormat="1">
      <c r="F3" s="30"/>
    </row>
    <row r="4" spans="3:6" s="29" customFormat="1">
      <c r="F4" s="30"/>
    </row>
    <row r="5" spans="3:6" s="29" customFormat="1" ht="26.15">
      <c r="C5" s="33"/>
      <c r="D5" s="32"/>
      <c r="E5" s="31"/>
      <c r="F5" s="30"/>
    </row>
    <row r="6" spans="3:6" s="29" customFormat="1" ht="26.15">
      <c r="C6" s="33"/>
      <c r="D6" s="32"/>
      <c r="E6" s="37"/>
      <c r="F6" s="30"/>
    </row>
    <row r="7" spans="3:6" s="29" customFormat="1" ht="26.15">
      <c r="C7" s="33"/>
      <c r="D7" s="32"/>
      <c r="E7" s="36"/>
      <c r="F7" s="30"/>
    </row>
    <row r="8" spans="3:6" s="29" customFormat="1" ht="26.15">
      <c r="C8" s="33"/>
      <c r="D8" s="32"/>
      <c r="E8" s="35"/>
      <c r="F8" s="30"/>
    </row>
    <row r="9" spans="3:6" s="29" customFormat="1" ht="26.15">
      <c r="C9" s="33"/>
      <c r="D9" s="32"/>
      <c r="E9" s="35"/>
      <c r="F9" s="30"/>
    </row>
    <row r="10" spans="3:6" s="29" customFormat="1" ht="26.15">
      <c r="C10" s="33"/>
      <c r="D10" s="32"/>
      <c r="E10" s="34"/>
      <c r="F10" s="30"/>
    </row>
    <row r="11" spans="3:6" s="29" customFormat="1" ht="26.15">
      <c r="C11" s="33"/>
      <c r="D11" s="32"/>
      <c r="E11" s="31"/>
      <c r="F11" s="30"/>
    </row>
    <row r="12" spans="3:6" s="29" customFormat="1" ht="26.15">
      <c r="C12" s="33"/>
      <c r="D12" s="32"/>
      <c r="E12" s="31"/>
      <c r="F12" s="30"/>
    </row>
    <row r="17" spans="3:10">
      <c r="C17" s="3" t="s">
        <v>2</v>
      </c>
      <c r="D17" s="4">
        <v>1999</v>
      </c>
    </row>
    <row r="18" spans="3:10">
      <c r="C18" s="3" t="s">
        <v>3</v>
      </c>
      <c r="D18" s="5">
        <v>15000000</v>
      </c>
    </row>
    <row r="19" spans="3:10">
      <c r="C19" s="3" t="s">
        <v>4</v>
      </c>
      <c r="D19" s="4">
        <v>20</v>
      </c>
    </row>
    <row r="20" spans="3:10">
      <c r="C20" s="3" t="s">
        <v>5</v>
      </c>
      <c r="D20" s="6">
        <v>0.1</v>
      </c>
    </row>
    <row r="21" spans="3:10">
      <c r="C21" s="1"/>
      <c r="D21" s="1"/>
      <c r="H21" s="25" t="s">
        <v>16</v>
      </c>
    </row>
    <row r="22" spans="3:10" ht="16.3" thickBot="1">
      <c r="C22" s="1" t="s">
        <v>6</v>
      </c>
      <c r="D22" s="2" t="e">
        <f>-PMT(rate/12,years*12,loan)</f>
        <v>#REF!</v>
      </c>
    </row>
    <row r="23" spans="3:10">
      <c r="F23" s="28" t="s">
        <v>18</v>
      </c>
      <c r="G23" s="27" t="s">
        <v>12</v>
      </c>
      <c r="H23" s="27" t="s">
        <v>16</v>
      </c>
      <c r="I23" s="27" t="s">
        <v>17</v>
      </c>
      <c r="J23" s="26" t="s">
        <v>16</v>
      </c>
    </row>
    <row r="24" spans="3:10">
      <c r="F24" s="23"/>
      <c r="G24" s="25" t="s">
        <v>15</v>
      </c>
      <c r="H24" s="25"/>
      <c r="I24" s="25" t="s">
        <v>15</v>
      </c>
      <c r="J24" s="24"/>
    </row>
    <row r="25" spans="3:10">
      <c r="F25" s="23" t="s">
        <v>14</v>
      </c>
      <c r="G25" s="21" t="s">
        <v>14</v>
      </c>
      <c r="H25" s="21" t="s">
        <v>14</v>
      </c>
      <c r="I25" s="21" t="s">
        <v>14</v>
      </c>
      <c r="J25" s="22" t="s">
        <v>14</v>
      </c>
    </row>
    <row r="26" spans="3:10">
      <c r="F26" s="20">
        <v>5000000</v>
      </c>
      <c r="G26" s="21">
        <v>48251.082253700391</v>
      </c>
      <c r="H26" s="19">
        <f>G26/H$32</f>
        <v>160836.94084566797</v>
      </c>
      <c r="I26" s="19">
        <v>65839.479129331885</v>
      </c>
      <c r="J26" s="18">
        <f>I26/H$33</f>
        <v>219464.9304311063</v>
      </c>
    </row>
    <row r="27" spans="3:10">
      <c r="F27" s="20">
        <v>7500000</v>
      </c>
      <c r="G27" s="19">
        <v>72376.623380550591</v>
      </c>
      <c r="H27" s="19">
        <f>G27/H$32</f>
        <v>241255.41126850198</v>
      </c>
      <c r="I27" s="19">
        <v>98759.218693997813</v>
      </c>
      <c r="J27" s="18">
        <f>I27/H$33</f>
        <v>329197.39564665937</v>
      </c>
    </row>
    <row r="28" spans="3:10">
      <c r="F28" s="20">
        <v>10000000</v>
      </c>
      <c r="G28" s="19">
        <v>96502.164507400783</v>
      </c>
      <c r="H28" s="19">
        <f>G28/H$32</f>
        <v>321673.88169133593</v>
      </c>
      <c r="I28" s="19">
        <v>131678.95825866377</v>
      </c>
      <c r="J28" s="18">
        <f>I28/H$33</f>
        <v>438929.8608622126</v>
      </c>
    </row>
    <row r="29" spans="3:10">
      <c r="F29" s="20">
        <v>12500000</v>
      </c>
      <c r="G29" s="19">
        <v>120627.70563425097</v>
      </c>
      <c r="H29" s="19">
        <f>G29/H$32</f>
        <v>402092.35211416992</v>
      </c>
      <c r="I29" s="19">
        <v>164598.69782332968</v>
      </c>
      <c r="J29" s="18">
        <f>I29/H$33</f>
        <v>548662.32607776567</v>
      </c>
    </row>
    <row r="30" spans="3:10">
      <c r="F30" s="20">
        <v>15000000</v>
      </c>
      <c r="G30" s="19">
        <v>144753.24676110118</v>
      </c>
      <c r="H30" s="19">
        <f>G30/H$32</f>
        <v>482510.82253700396</v>
      </c>
      <c r="I30" s="19">
        <v>197518.43738799563</v>
      </c>
      <c r="J30" s="18">
        <f>I30/H$33</f>
        <v>658394.79129331873</v>
      </c>
    </row>
    <row r="31" spans="3:10">
      <c r="F31" s="17"/>
      <c r="G31" s="16" t="s">
        <v>1</v>
      </c>
      <c r="H31" s="16" t="s">
        <v>13</v>
      </c>
      <c r="I31" s="12"/>
      <c r="J31" s="11"/>
    </row>
    <row r="32" spans="3:10">
      <c r="F32" s="15" t="s">
        <v>12</v>
      </c>
      <c r="G32" s="14">
        <v>0.1</v>
      </c>
      <c r="H32" s="13">
        <v>0.3</v>
      </c>
      <c r="I32" s="12"/>
      <c r="J32" s="11"/>
    </row>
    <row r="33" spans="6:10">
      <c r="F33" s="15" t="s">
        <v>11</v>
      </c>
      <c r="G33" s="14">
        <v>0.15</v>
      </c>
      <c r="H33" s="13">
        <v>0.3</v>
      </c>
      <c r="I33" s="12"/>
      <c r="J33" s="11"/>
    </row>
    <row r="34" spans="6:10" ht="16.3" thickBot="1">
      <c r="F34" s="10"/>
      <c r="G34" s="9"/>
      <c r="H34" s="9"/>
      <c r="I34" s="9"/>
      <c r="J34" s="8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PAYE</vt:lpstr>
      <vt:lpstr>Take Home</vt:lpstr>
      <vt:lpstr>Sheet1</vt:lpstr>
      <vt:lpstr>'Take Home'!Print_Area</vt:lpstr>
    </vt:vector>
  </TitlesOfParts>
  <Company>Amshare Investments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Ugodre Obi-Chukwu</dc:creator>
  <cp:lastModifiedBy>Ugodre Obi-Chukwu</cp:lastModifiedBy>
  <cp:lastPrinted>2013-08-12T17:30:18Z</cp:lastPrinted>
  <dcterms:created xsi:type="dcterms:W3CDTF">2012-07-30T11:16:01Z</dcterms:created>
  <dcterms:modified xsi:type="dcterms:W3CDTF">2017-01-08T16:53:51Z</dcterms:modified>
</cp:coreProperties>
</file>