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38" windowWidth="15195" windowHeight="5640" activeTab="1"/>
  </bookViews>
  <sheets>
    <sheet name="Wh-km Zero" sheetId="3" r:id="rId1"/>
    <sheet name="OPTITRIP CALCULATOR" sheetId="5" r:id="rId2"/>
    <sheet name="tableau compilé" sheetId="6" r:id="rId3"/>
  </sheets>
  <calcPr calcId="125725"/>
</workbook>
</file>

<file path=xl/calcChain.xml><?xml version="1.0" encoding="utf-8"?>
<calcChain xmlns="http://schemas.openxmlformats.org/spreadsheetml/2006/main">
  <c r="C28" i="3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A17" i="6"/>
  <c r="A13"/>
  <c r="A14" s="1"/>
  <c r="A15" s="1"/>
  <c r="A16" s="1"/>
  <c r="A12"/>
  <c r="I13" i="5"/>
  <c r="I14" s="1"/>
  <c r="F38" l="1"/>
  <c r="F39"/>
  <c r="F40"/>
  <c r="F41"/>
  <c r="D7" i="3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6"/>
  <c r="F37" i="5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M21"/>
  <c r="M27"/>
  <c r="M35"/>
  <c r="M23"/>
  <c r="M22"/>
  <c r="M28"/>
  <c r="M38"/>
  <c r="M25"/>
  <c r="M31"/>
  <c r="M37"/>
  <c r="M33"/>
  <c r="D21"/>
  <c r="E21" s="1"/>
  <c r="M34"/>
  <c r="D34"/>
  <c r="E34" s="1"/>
  <c r="D27"/>
  <c r="E27" s="1"/>
  <c r="M40"/>
  <c r="D40"/>
  <c r="E40" s="1"/>
  <c r="M32"/>
  <c r="D23"/>
  <c r="E23" s="1"/>
  <c r="M26"/>
  <c r="D28"/>
  <c r="E28" s="1"/>
  <c r="M41"/>
  <c r="M19"/>
  <c r="M30"/>
  <c r="M24"/>
  <c r="D25"/>
  <c r="E25" s="1"/>
  <c r="D32"/>
  <c r="E32" s="1"/>
  <c r="D26"/>
  <c r="E26" s="1"/>
  <c r="M29"/>
  <c r="G28"/>
  <c r="H28" s="1"/>
  <c r="M36"/>
  <c r="D35"/>
  <c r="E35" s="1"/>
  <c r="G30"/>
  <c r="H30" s="1"/>
  <c r="G35"/>
  <c r="H35" s="1"/>
  <c r="D24"/>
  <c r="E24" s="1"/>
  <c r="M20"/>
  <c r="D37"/>
  <c r="E37" s="1"/>
  <c r="M39"/>
  <c r="D29"/>
  <c r="E29" s="1"/>
  <c r="G39"/>
  <c r="H39" s="1"/>
  <c r="G26"/>
  <c r="H26" s="1"/>
  <c r="N26" s="1"/>
  <c r="G20"/>
  <c r="H20" s="1"/>
  <c r="D20"/>
  <c r="E20" s="1"/>
  <c r="D41"/>
  <c r="E41" s="1"/>
  <c r="D39"/>
  <c r="E39" s="1"/>
  <c r="G38"/>
  <c r="H38" s="1"/>
  <c r="G34"/>
  <c r="H34" s="1"/>
  <c r="I34" s="1"/>
  <c r="D33"/>
  <c r="E33" s="1"/>
  <c r="D36"/>
  <c r="E36" s="1"/>
  <c r="G41"/>
  <c r="H41" s="1"/>
  <c r="G27"/>
  <c r="H27" s="1"/>
  <c r="G23"/>
  <c r="H23" s="1"/>
  <c r="G31"/>
  <c r="H31" s="1"/>
  <c r="I31" s="1"/>
  <c r="D22"/>
  <c r="E22" s="1"/>
  <c r="G25"/>
  <c r="H25" s="1"/>
  <c r="G22"/>
  <c r="H22" s="1"/>
  <c r="I22" s="1"/>
  <c r="G19"/>
  <c r="H19" s="1"/>
  <c r="I19" s="1"/>
  <c r="D31"/>
  <c r="E31" s="1"/>
  <c r="D38"/>
  <c r="E38" s="1"/>
  <c r="D19"/>
  <c r="E19" s="1"/>
  <c r="D30"/>
  <c r="E30" s="1"/>
  <c r="G40"/>
  <c r="H40" s="1"/>
  <c r="G32"/>
  <c r="H32" s="1"/>
  <c r="G36"/>
  <c r="H36" s="1"/>
  <c r="I36" s="1"/>
  <c r="G29"/>
  <c r="H29" s="1"/>
  <c r="G24"/>
  <c r="H24" s="1"/>
  <c r="I24" s="1"/>
  <c r="G33"/>
  <c r="H33" s="1"/>
  <c r="I33" s="1"/>
  <c r="G21"/>
  <c r="H21" s="1"/>
  <c r="G37"/>
  <c r="H37" s="1"/>
  <c r="N20" l="1"/>
  <c r="I20"/>
  <c r="N25"/>
  <c r="I25"/>
  <c r="I40"/>
  <c r="N40"/>
  <c r="N28"/>
  <c r="I28"/>
  <c r="I21"/>
  <c r="N21"/>
  <c r="I32"/>
  <c r="N32"/>
  <c r="N27"/>
  <c r="I27"/>
  <c r="I37"/>
  <c r="N37"/>
  <c r="N23"/>
  <c r="I23"/>
  <c r="I38"/>
  <c r="N38"/>
  <c r="I39"/>
  <c r="N39"/>
  <c r="N30"/>
  <c r="I30"/>
  <c r="I29"/>
  <c r="N29"/>
  <c r="I35"/>
  <c r="N35"/>
  <c r="K26"/>
  <c r="J26"/>
  <c r="L26"/>
  <c r="N41"/>
  <c r="I41"/>
  <c r="N36"/>
  <c r="N34"/>
  <c r="I26"/>
  <c r="P26" s="1"/>
  <c r="O26" s="1"/>
  <c r="N22"/>
  <c r="N19"/>
  <c r="N24"/>
  <c r="N33"/>
  <c r="N31"/>
  <c r="P19" l="1"/>
  <c r="K19"/>
  <c r="J19"/>
  <c r="L19"/>
  <c r="L33"/>
  <c r="K33"/>
  <c r="P33"/>
  <c r="O33" s="1"/>
  <c r="J33"/>
  <c r="J41"/>
  <c r="L41"/>
  <c r="P41"/>
  <c r="O41" s="1"/>
  <c r="K41"/>
  <c r="L23"/>
  <c r="K23"/>
  <c r="J23"/>
  <c r="P23"/>
  <c r="O23" s="1"/>
  <c r="L20"/>
  <c r="K20"/>
  <c r="J20"/>
  <c r="P20"/>
  <c r="O20" s="1"/>
  <c r="K31"/>
  <c r="J31"/>
  <c r="L31"/>
  <c r="P31"/>
  <c r="O31" s="1"/>
  <c r="P29"/>
  <c r="O29" s="1"/>
  <c r="K29"/>
  <c r="J29"/>
  <c r="L29"/>
  <c r="K21"/>
  <c r="J21"/>
  <c r="L21"/>
  <c r="P21"/>
  <c r="O21" s="1"/>
  <c r="J25"/>
  <c r="P25"/>
  <c r="O25" s="1"/>
  <c r="K25"/>
  <c r="L25"/>
  <c r="L34"/>
  <c r="P34"/>
  <c r="O34" s="1"/>
  <c r="K34"/>
  <c r="J34"/>
  <c r="P35"/>
  <c r="O35" s="1"/>
  <c r="J35"/>
  <c r="K35"/>
  <c r="L35"/>
  <c r="P38"/>
  <c r="O38" s="1"/>
  <c r="J38"/>
  <c r="K38"/>
  <c r="L38"/>
  <c r="J32"/>
  <c r="P32"/>
  <c r="O32" s="1"/>
  <c r="L32"/>
  <c r="K32"/>
  <c r="K30"/>
  <c r="L30"/>
  <c r="J30"/>
  <c r="P30"/>
  <c r="O30" s="1"/>
  <c r="J28"/>
  <c r="L28"/>
  <c r="K28"/>
  <c r="P28"/>
  <c r="O28" s="1"/>
  <c r="L24"/>
  <c r="J24"/>
  <c r="P24"/>
  <c r="O24" s="1"/>
  <c r="K24"/>
  <c r="P37"/>
  <c r="O37" s="1"/>
  <c r="L37"/>
  <c r="J37"/>
  <c r="K37"/>
  <c r="J36"/>
  <c r="L36"/>
  <c r="P36"/>
  <c r="O36" s="1"/>
  <c r="K36"/>
  <c r="L27"/>
  <c r="P27"/>
  <c r="O27" s="1"/>
  <c r="J27"/>
  <c r="K27"/>
  <c r="L22"/>
  <c r="J22"/>
  <c r="P22"/>
  <c r="O22" s="1"/>
  <c r="K22"/>
  <c r="L39"/>
  <c r="P39"/>
  <c r="O39" s="1"/>
  <c r="K39"/>
  <c r="J39"/>
  <c r="J40"/>
  <c r="K40"/>
  <c r="P40"/>
  <c r="O40" s="1"/>
  <c r="L40"/>
  <c r="I3" l="1"/>
  <c r="I7"/>
  <c r="I10"/>
  <c r="I5"/>
  <c r="I9"/>
  <c r="O19"/>
  <c r="I4" s="1"/>
  <c r="I6"/>
  <c r="I8"/>
  <c r="I15"/>
  <c r="R34" l="1"/>
  <c r="Q34" s="1"/>
  <c r="R27"/>
  <c r="Q27" s="1"/>
  <c r="R41"/>
  <c r="Q41" s="1"/>
  <c r="R37"/>
  <c r="Q37" s="1"/>
  <c r="R40"/>
  <c r="Q40" s="1"/>
  <c r="R25"/>
  <c r="Q25" s="1"/>
  <c r="R28"/>
  <c r="Q28" s="1"/>
  <c r="R31"/>
  <c r="Q31" s="1"/>
  <c r="R39"/>
  <c r="Q39" s="1"/>
  <c r="R22"/>
  <c r="Q22" s="1"/>
  <c r="R20"/>
  <c r="Q20" s="1"/>
  <c r="R26"/>
  <c r="Q26" s="1"/>
  <c r="R29"/>
  <c r="Q29" s="1"/>
  <c r="R35"/>
  <c r="Q35" s="1"/>
  <c r="R21"/>
  <c r="Q21" s="1"/>
  <c r="R30"/>
  <c r="Q30" s="1"/>
  <c r="R33"/>
  <c r="Q33" s="1"/>
  <c r="R23"/>
  <c r="Q23" s="1"/>
  <c r="R24"/>
  <c r="Q24" s="1"/>
  <c r="R38"/>
  <c r="Q38" s="1"/>
  <c r="R36"/>
  <c r="Q36" s="1"/>
  <c r="R32"/>
  <c r="Q32" s="1"/>
  <c r="R19"/>
  <c r="Q19" s="1"/>
  <c r="I12"/>
  <c r="I11"/>
</calcChain>
</file>

<file path=xl/sharedStrings.xml><?xml version="1.0" encoding="utf-8"?>
<sst xmlns="http://schemas.openxmlformats.org/spreadsheetml/2006/main" count="96" uniqueCount="62">
  <si>
    <t>wh/km</t>
  </si>
  <si>
    <t>speed</t>
  </si>
  <si>
    <t>kmh</t>
  </si>
  <si>
    <t>km</t>
  </si>
  <si>
    <t>calculated eff</t>
  </si>
  <si>
    <t>kW</t>
  </si>
  <si>
    <t>Usable energy</t>
  </si>
  <si>
    <t>Charger power</t>
  </si>
  <si>
    <t>charge</t>
  </si>
  <si>
    <t>Initial SOC</t>
  </si>
  <si>
    <t>%</t>
  </si>
  <si>
    <t>Driving time</t>
  </si>
  <si>
    <t>Charging to ? %</t>
  </si>
  <si>
    <t>covered distance per charge</t>
  </si>
  <si>
    <t>Measured eff</t>
  </si>
  <si>
    <t>Speed</t>
  </si>
  <si>
    <t>Calculated eff</t>
  </si>
  <si>
    <t>Power draw</t>
  </si>
  <si>
    <t>Total Trip time</t>
  </si>
  <si>
    <t>chr install time</t>
  </si>
  <si>
    <t>Total trip Dist</t>
  </si>
  <si>
    <t>km/h</t>
  </si>
  <si>
    <t>Required  added energy after init charge</t>
  </si>
  <si>
    <t>kWh</t>
  </si>
  <si>
    <t>kwh/km</t>
  </si>
  <si>
    <t>nb of add charge required</t>
  </si>
  <si>
    <t>time per charge</t>
  </si>
  <si>
    <t>Full Trip Energy required</t>
  </si>
  <si>
    <t>Equivalent Speed RUN + CHR</t>
  </si>
  <si>
    <t>Charging equiv speed</t>
  </si>
  <si>
    <t>Total trip time</t>
  </si>
  <si>
    <t>Total time per charge</t>
  </si>
  <si>
    <t>Dist to 1st charge</t>
  </si>
  <si>
    <t>Dist to 2nd charge</t>
  </si>
  <si>
    <t>Dist to 3rd charge</t>
  </si>
  <si>
    <t>Total driving time</t>
  </si>
  <si>
    <t>Range</t>
  </si>
  <si>
    <t>1st charge station</t>
  </si>
  <si>
    <t>Equiv final Speed (chr+run)</t>
  </si>
  <si>
    <t xml:space="preserve">Full trip energy </t>
  </si>
  <si>
    <t xml:space="preserve"> charging time for 1st add</t>
  </si>
  <si>
    <t xml:space="preserve"> charging time for 2nd add</t>
  </si>
  <si>
    <t xml:space="preserve"> charging time for 3rd add</t>
  </si>
  <si>
    <t>Extra charge time from optimum</t>
  </si>
  <si>
    <t>hour dec</t>
  </si>
  <si>
    <t>Best average speed to use</t>
  </si>
  <si>
    <t>Extra Driving time</t>
  </si>
  <si>
    <t>Total charging time on the road</t>
  </si>
  <si>
    <t>Total additional chr hour dec</t>
  </si>
  <si>
    <t>chr power</t>
  </si>
  <si>
    <t xml:space="preserve">km/h </t>
  </si>
  <si>
    <t>speed to  drive at</t>
  </si>
  <si>
    <t>average final speed</t>
  </si>
  <si>
    <t>km/h(chr time +drive time)</t>
  </si>
  <si>
    <t>optimum speed vs charging power for ZF13+3.3 battery by Doc</t>
  </si>
  <si>
    <t>OPTITRIP EV v1.4</t>
  </si>
  <si>
    <t>by Stephane Melançon aka DOCTORBASS 2018</t>
  </si>
  <si>
    <t>cofficient</t>
  </si>
  <si>
    <t>#</t>
  </si>
  <si>
    <t>Efficiency SR 2017 with windscreen</t>
  </si>
  <si>
    <t>I N F O    I  N  P  U  T</t>
  </si>
  <si>
    <t>I N F O   O U T P U T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</si>
</sst>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3.2"/>
      <color rgb="FF555555"/>
      <name val="Arial"/>
      <family val="2"/>
    </font>
    <font>
      <sz val="10"/>
      <color rgb="FF0F0F5F"/>
      <name val="Segoe UI"/>
      <family val="2"/>
    </font>
    <font>
      <sz val="36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rgb="FF92D050"/>
      </bottom>
      <diagonal/>
    </border>
    <border>
      <left style="medium">
        <color indexed="64"/>
      </left>
      <right style="medium">
        <color indexed="64"/>
      </right>
      <top style="medium">
        <color rgb="FF92D050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/>
    <xf numFmtId="2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1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 wrapText="1"/>
    </xf>
    <xf numFmtId="0" fontId="0" fillId="0" borderId="2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3" xfId="0" applyNumberForma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0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0" fontId="4" fillId="0" borderId="0" xfId="0" applyFont="1" applyAlignment="1">
      <alignment horizontal="left" indent="1"/>
    </xf>
    <xf numFmtId="0" fontId="5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17" xfId="0" applyBorder="1"/>
    <xf numFmtId="0" fontId="0" fillId="2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0" fontId="1" fillId="0" borderId="0" xfId="1" applyAlignment="1" applyProtection="1"/>
    <xf numFmtId="0" fontId="0" fillId="0" borderId="10" xfId="0" applyFill="1" applyBorder="1"/>
    <xf numFmtId="165" fontId="0" fillId="0" borderId="0" xfId="0" applyNumberFormat="1" applyAlignment="1">
      <alignment horizontal="center"/>
    </xf>
    <xf numFmtId="1" fontId="8" fillId="0" borderId="0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0" fontId="0" fillId="0" borderId="0" xfId="0" applyFill="1" applyBorder="1"/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9" xfId="0" applyBorder="1"/>
    <xf numFmtId="0" fontId="0" fillId="0" borderId="29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 applyFill="1" applyBorder="1" applyAlignment="1">
      <alignment horizontal="center"/>
    </xf>
    <xf numFmtId="0" fontId="0" fillId="0" borderId="33" xfId="0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" fontId="9" fillId="6" borderId="12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Fill="1" applyBorder="1"/>
    <xf numFmtId="0" fontId="0" fillId="0" borderId="11" xfId="0" applyFill="1" applyBorder="1"/>
    <xf numFmtId="0" fontId="0" fillId="0" borderId="15" xfId="0" applyBorder="1"/>
    <xf numFmtId="0" fontId="0" fillId="0" borderId="1" xfId="0" applyBorder="1"/>
    <xf numFmtId="0" fontId="3" fillId="0" borderId="1" xfId="0" applyFont="1" applyBorder="1"/>
    <xf numFmtId="0" fontId="0" fillId="0" borderId="1" xfId="0" applyFill="1" applyBorder="1"/>
    <xf numFmtId="0" fontId="0" fillId="3" borderId="35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11" fillId="0" borderId="0" xfId="0" applyFont="1" applyAlignment="1">
      <alignment horizontal="center" vertical="center" shrinkToFit="1"/>
    </xf>
    <xf numFmtId="0" fontId="0" fillId="2" borderId="0" xfId="0" applyFill="1" applyBorder="1" applyAlignment="1">
      <alignment horizontal="center" vertical="center"/>
    </xf>
    <xf numFmtId="0" fontId="0" fillId="0" borderId="0" xfId="0" applyAlignment="1"/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0" fillId="5" borderId="16" xfId="0" applyFill="1" applyBorder="1" applyAlignment="1"/>
    <xf numFmtId="0" fontId="0" fillId="5" borderId="17" xfId="0" applyFill="1" applyBorder="1" applyAlignment="1"/>
    <xf numFmtId="164" fontId="6" fillId="2" borderId="15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">
    <dxf>
      <font>
        <color rgb="FF92D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measured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exp"/>
            <c:forward val="60"/>
            <c:backward val="30"/>
          </c:trendline>
          <c:xVal>
            <c:numRef>
              <c:f>'Wh-km Zero'!$A$6:$A$20</c:f>
              <c:numCache>
                <c:formatCode>General</c:formatCode>
                <c:ptCount val="1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</c:numCache>
            </c:numRef>
          </c:xVal>
          <c:yVal>
            <c:numRef>
              <c:f>'Wh-km Zero'!$B$6:$B$20</c:f>
              <c:numCache>
                <c:formatCode>0</c:formatCode>
                <c:ptCount val="15"/>
              </c:numCache>
            </c:numRef>
          </c:yVal>
        </c:ser>
        <c:ser>
          <c:idx val="2"/>
          <c:order val="2"/>
          <c:tx>
            <c:v>Wh/km</c:v>
          </c:tx>
          <c:spPr>
            <a:ln w="28575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-4.6722055424225854E-2"/>
                  <c:y val="0.52720203384587305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</c:spPr>
              <c:txPr>
                <a:bodyPr/>
                <a:lstStyle/>
                <a:p>
                  <a:pPr>
                    <a:defRPr sz="2000"/>
                  </a:pPr>
                  <a:endParaRPr lang="fr-FR"/>
                </a:p>
              </c:txPr>
            </c:trendlineLbl>
          </c:trendline>
          <c:xVal>
            <c:numRef>
              <c:f>'Wh-km Zero'!$A$6:$A$28</c:f>
              <c:numCache>
                <c:formatCode>General</c:formatCode>
                <c:ptCount val="2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</c:numCache>
            </c:numRef>
          </c:xVal>
          <c:yVal>
            <c:numRef>
              <c:f>'Wh-km Zero'!$C$6:$C$28</c:f>
              <c:numCache>
                <c:formatCode>0</c:formatCode>
                <c:ptCount val="23"/>
                <c:pt idx="0">
                  <c:v>0</c:v>
                </c:pt>
                <c:pt idx="1">
                  <c:v>28.967614218809175</c:v>
                </c:pt>
                <c:pt idx="2">
                  <c:v>31.569089291559866</c:v>
                </c:pt>
                <c:pt idx="3">
                  <c:v>34.404193288771616</c:v>
                </c:pt>
                <c:pt idx="4">
                  <c:v>37.493907566336141</c:v>
                </c:pt>
                <c:pt idx="5">
                  <c:v>40.86109773868067</c:v>
                </c:pt>
                <c:pt idx="6">
                  <c:v>44.530682897108584</c:v>
                </c:pt>
                <c:pt idx="7">
                  <c:v>48.529820025017898</c:v>
                </c:pt>
                <c:pt idx="8">
                  <c:v>52.888104974773448</c:v>
                </c:pt>
                <c:pt idx="9">
                  <c:v>57.637791493574071</c:v>
                </c:pt>
                <c:pt idx="10">
                  <c:v>62.814029919228524</c:v>
                </c:pt>
                <c:pt idx="11">
                  <c:v>68.455127312322929</c:v>
                </c:pt>
                <c:pt idx="12">
                  <c:v>74.602830949902796</c:v>
                </c:pt>
                <c:pt idx="13">
                  <c:v>81.302637278681772</c:v>
                </c:pt>
                <c:pt idx="14">
                  <c:v>88.604128614203873</c:v>
                </c:pt>
                <c:pt idx="15">
                  <c:v>96.561340077720914</c:v>
                </c:pt>
                <c:pt idx="16">
                  <c:v>105.23315948632387</c:v>
                </c:pt>
                <c:pt idx="17">
                  <c:v>114.68376315573866</c:v>
                </c:pt>
                <c:pt idx="18">
                  <c:v>124.98309084097055</c:v>
                </c:pt>
                <c:pt idx="19">
                  <c:v>136.20736332962446</c:v>
                </c:pt>
                <c:pt idx="20">
                  <c:v>148.43964651838067</c:v>
                </c:pt>
                <c:pt idx="21">
                  <c:v>161.77046614710761</c:v>
                </c:pt>
                <c:pt idx="22">
                  <c:v>176.29847773998841</c:v>
                </c:pt>
              </c:numCache>
            </c:numRef>
          </c:yVal>
        </c:ser>
        <c:axId val="96765824"/>
        <c:axId val="96767360"/>
      </c:scatterChart>
      <c:scatterChart>
        <c:scatterStyle val="lineMarker"/>
        <c:ser>
          <c:idx val="1"/>
          <c:order val="1"/>
          <c:tx>
            <c:v>Power vs speed</c:v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poly"/>
            <c:order val="3"/>
            <c:forward val="60"/>
          </c:trendline>
          <c:xVal>
            <c:numRef>
              <c:f>'Wh-km Zero'!$A$6:$A$28</c:f>
              <c:numCache>
                <c:formatCode>General</c:formatCode>
                <c:ptCount val="2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</c:numCache>
            </c:numRef>
          </c:xVal>
          <c:yVal>
            <c:numRef>
              <c:f>'Wh-km Zero'!$F$6:$F$28</c:f>
              <c:numCache>
                <c:formatCode>0.00</c:formatCode>
                <c:ptCount val="23"/>
              </c:numCache>
            </c:numRef>
          </c:yVal>
        </c:ser>
        <c:axId val="96781440"/>
        <c:axId val="96782976"/>
      </c:scatterChart>
      <c:valAx>
        <c:axId val="96765824"/>
        <c:scaling>
          <c:orientation val="minMax"/>
          <c:max val="140"/>
          <c:min val="30"/>
        </c:scaling>
        <c:axPos val="b"/>
        <c:majorGridlines/>
        <c:min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6767360"/>
        <c:crosses val="autoZero"/>
        <c:crossBetween val="midCat"/>
      </c:valAx>
      <c:valAx>
        <c:axId val="96767360"/>
        <c:scaling>
          <c:orientation val="minMax"/>
          <c:max val="140"/>
        </c:scaling>
        <c:axPos val="l"/>
        <c:majorGridlines/>
        <c:numFmt formatCode="0" sourceLinked="1"/>
        <c:tickLblPos val="nextTo"/>
        <c:txPr>
          <a:bodyPr/>
          <a:lstStyle/>
          <a:p>
            <a:pPr>
              <a:defRPr baseline="0">
                <a:solidFill>
                  <a:schemeClr val="accent1">
                    <a:lumMod val="75000"/>
                  </a:schemeClr>
                </a:solidFill>
              </a:defRPr>
            </a:pPr>
            <a:endParaRPr lang="fr-FR"/>
          </a:p>
        </c:txPr>
        <c:crossAx val="96765824"/>
        <c:crosses val="autoZero"/>
        <c:crossBetween val="midCat"/>
        <c:majorUnit val="20"/>
      </c:valAx>
      <c:valAx>
        <c:axId val="96781440"/>
        <c:scaling>
          <c:orientation val="minMax"/>
        </c:scaling>
        <c:delete val="1"/>
        <c:axPos val="b"/>
        <c:numFmt formatCode="General" sourceLinked="1"/>
        <c:tickLblPos val="none"/>
        <c:crossAx val="96782976"/>
        <c:crosses val="autoZero"/>
        <c:crossBetween val="midCat"/>
      </c:valAx>
      <c:valAx>
        <c:axId val="96782976"/>
        <c:scaling>
          <c:orientation val="minMax"/>
          <c:max val="40"/>
        </c:scaling>
        <c:axPos val="r"/>
        <c:numFmt formatCode="0.00" sourceLinked="1"/>
        <c:tickLblPos val="nextTo"/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fr-FR"/>
          </a:p>
        </c:txPr>
        <c:crossAx val="96781440"/>
        <c:crosses val="max"/>
        <c:crossBetween val="midCat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287111</xdr:colOff>
      <xdr:row>3</xdr:row>
      <xdr:rowOff>23132</xdr:rowOff>
    </xdr:from>
    <xdr:to>
      <xdr:col>10</xdr:col>
      <xdr:colOff>333375</xdr:colOff>
      <xdr:row>29</xdr:row>
      <xdr:rowOff>99332</xdr:rowOff>
    </xdr:to>
    <xdr:graphicFrame macro="">
      <xdr:nvGraphicFramePr>
        <xdr:cNvPr id="118789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4"/>
  <sheetViews>
    <sheetView workbookViewId="0">
      <selection activeCell="N4" sqref="N4"/>
    </sheetView>
  </sheetViews>
  <sheetFormatPr baseColWidth="10" defaultColWidth="11.46484375" defaultRowHeight="14.25"/>
  <cols>
    <col min="1" max="1" width="6.86328125" style="1" customWidth="1"/>
    <col min="2" max="2" width="7.19921875" style="1" customWidth="1"/>
    <col min="3" max="3" width="15" style="1" customWidth="1"/>
    <col min="4" max="4" width="11.86328125" style="1" customWidth="1"/>
    <col min="5" max="5" width="13.19921875" style="1" customWidth="1"/>
    <col min="6" max="16384" width="11.46484375" style="1"/>
  </cols>
  <sheetData>
    <row r="2" spans="1:10" ht="36">
      <c r="B2" s="99" t="s">
        <v>59</v>
      </c>
      <c r="C2" s="99"/>
      <c r="D2" s="99"/>
      <c r="E2" s="99"/>
      <c r="F2" s="99"/>
      <c r="G2" s="99"/>
      <c r="H2" s="99"/>
      <c r="I2" s="99"/>
      <c r="J2" s="99"/>
    </row>
    <row r="3" spans="1:10">
      <c r="C3" s="4"/>
    </row>
    <row r="4" spans="1:10">
      <c r="A4" s="1" t="s">
        <v>1</v>
      </c>
      <c r="C4" s="1" t="s">
        <v>4</v>
      </c>
      <c r="D4" s="1" t="s">
        <v>4</v>
      </c>
    </row>
    <row r="5" spans="1:10">
      <c r="A5" s="1" t="s">
        <v>2</v>
      </c>
      <c r="C5" s="1" t="s">
        <v>0</v>
      </c>
      <c r="D5" s="1" t="s">
        <v>24</v>
      </c>
    </row>
    <row r="6" spans="1:10">
      <c r="A6" s="1">
        <v>30</v>
      </c>
      <c r="B6" s="2"/>
      <c r="C6" s="2" t="s">
        <v>58</v>
      </c>
      <c r="D6" s="42" t="e">
        <f>C6/1000</f>
        <v>#VALUE!</v>
      </c>
      <c r="E6" s="2"/>
      <c r="F6" s="5"/>
    </row>
    <row r="7" spans="1:10">
      <c r="A7" s="1">
        <v>35</v>
      </c>
      <c r="B7" s="2"/>
      <c r="C7" s="2">
        <f t="shared" ref="C7:C28" si="0">15.866 * EXP($C$31*A7)</f>
        <v>28.967614218809175</v>
      </c>
      <c r="D7" s="42">
        <f t="shared" ref="D7:D28" si="1">C7/1000</f>
        <v>2.8967614218809175E-2</v>
      </c>
      <c r="E7" s="2"/>
      <c r="F7" s="5"/>
    </row>
    <row r="8" spans="1:10">
      <c r="A8" s="1">
        <v>40</v>
      </c>
      <c r="B8" s="2"/>
      <c r="C8" s="2">
        <f t="shared" si="0"/>
        <v>31.569089291559866</v>
      </c>
      <c r="D8" s="42">
        <f t="shared" si="1"/>
        <v>3.1569089291559868E-2</v>
      </c>
      <c r="E8" s="2"/>
      <c r="F8" s="5"/>
    </row>
    <row r="9" spans="1:10">
      <c r="A9" s="1">
        <v>45</v>
      </c>
      <c r="B9" s="2"/>
      <c r="C9" s="2">
        <f t="shared" si="0"/>
        <v>34.404193288771616</v>
      </c>
      <c r="D9" s="42">
        <f t="shared" si="1"/>
        <v>3.4404193288771617E-2</v>
      </c>
      <c r="E9" s="2"/>
      <c r="F9" s="5"/>
    </row>
    <row r="10" spans="1:10">
      <c r="A10" s="1">
        <v>50</v>
      </c>
      <c r="B10" s="2"/>
      <c r="C10" s="2">
        <f t="shared" si="0"/>
        <v>37.493907566336141</v>
      </c>
      <c r="D10" s="42">
        <f t="shared" si="1"/>
        <v>3.7493907566336138E-2</v>
      </c>
      <c r="E10" s="2"/>
      <c r="F10" s="5"/>
    </row>
    <row r="11" spans="1:10">
      <c r="A11" s="1">
        <v>55</v>
      </c>
      <c r="B11" s="2"/>
      <c r="C11" s="2">
        <f t="shared" si="0"/>
        <v>40.86109773868067</v>
      </c>
      <c r="D11" s="42">
        <f t="shared" si="1"/>
        <v>4.0861097738680671E-2</v>
      </c>
      <c r="E11" s="2"/>
      <c r="F11" s="5"/>
    </row>
    <row r="12" spans="1:10">
      <c r="A12" s="1">
        <v>60</v>
      </c>
      <c r="B12" s="2"/>
      <c r="C12" s="2">
        <f t="shared" si="0"/>
        <v>44.530682897108584</v>
      </c>
      <c r="D12" s="42">
        <f t="shared" si="1"/>
        <v>4.4530682897108584E-2</v>
      </c>
      <c r="E12" s="2"/>
      <c r="F12" s="5"/>
    </row>
    <row r="13" spans="1:10">
      <c r="A13" s="1">
        <v>65</v>
      </c>
      <c r="B13" s="2"/>
      <c r="C13" s="2">
        <f t="shared" si="0"/>
        <v>48.529820025017898</v>
      </c>
      <c r="D13" s="42">
        <f t="shared" si="1"/>
        <v>4.8529820025017899E-2</v>
      </c>
      <c r="E13" s="2"/>
      <c r="F13" s="5"/>
    </row>
    <row r="14" spans="1:10">
      <c r="A14" s="1">
        <v>70</v>
      </c>
      <c r="B14" s="2"/>
      <c r="C14" s="2">
        <f t="shared" si="0"/>
        <v>52.888104974773448</v>
      </c>
      <c r="D14" s="42">
        <f t="shared" si="1"/>
        <v>5.2888104974773448E-2</v>
      </c>
      <c r="E14" s="2"/>
      <c r="F14" s="5"/>
    </row>
    <row r="15" spans="1:10">
      <c r="A15" s="1">
        <v>75</v>
      </c>
      <c r="B15" s="2"/>
      <c r="C15" s="2">
        <f t="shared" si="0"/>
        <v>57.637791493574071</v>
      </c>
      <c r="D15" s="42">
        <f t="shared" si="1"/>
        <v>5.7637791493574071E-2</v>
      </c>
      <c r="E15" s="2"/>
      <c r="F15" s="5"/>
    </row>
    <row r="16" spans="1:10">
      <c r="A16" s="1">
        <v>80</v>
      </c>
      <c r="B16" s="2"/>
      <c r="C16" s="2">
        <f t="shared" si="0"/>
        <v>62.814029919228524</v>
      </c>
      <c r="D16" s="42">
        <f t="shared" si="1"/>
        <v>6.281402991922852E-2</v>
      </c>
      <c r="E16" s="2"/>
      <c r="F16" s="5"/>
    </row>
    <row r="17" spans="1:6">
      <c r="A17" s="1">
        <v>85</v>
      </c>
      <c r="B17" s="2"/>
      <c r="C17" s="2">
        <f t="shared" si="0"/>
        <v>68.455127312322929</v>
      </c>
      <c r="D17" s="42">
        <f t="shared" si="1"/>
        <v>6.8455127312322936E-2</v>
      </c>
      <c r="E17" s="2"/>
      <c r="F17" s="5"/>
    </row>
    <row r="18" spans="1:6">
      <c r="A18" s="1">
        <v>90</v>
      </c>
      <c r="B18" s="2"/>
      <c r="C18" s="2">
        <f t="shared" si="0"/>
        <v>74.602830949902796</v>
      </c>
      <c r="D18" s="42">
        <f t="shared" si="1"/>
        <v>7.460283094990279E-2</v>
      </c>
      <c r="E18" s="2"/>
      <c r="F18" s="5"/>
    </row>
    <row r="19" spans="1:6">
      <c r="A19" s="1">
        <v>95</v>
      </c>
      <c r="B19" s="2"/>
      <c r="C19" s="2">
        <f t="shared" si="0"/>
        <v>81.302637278681772</v>
      </c>
      <c r="D19" s="42">
        <f t="shared" si="1"/>
        <v>8.1302637278681769E-2</v>
      </c>
      <c r="E19" s="2"/>
      <c r="F19" s="5"/>
    </row>
    <row r="20" spans="1:6">
      <c r="A20" s="1">
        <v>100</v>
      </c>
      <c r="B20" s="2"/>
      <c r="C20" s="2">
        <f t="shared" si="0"/>
        <v>88.604128614203873</v>
      </c>
      <c r="D20" s="42">
        <f t="shared" si="1"/>
        <v>8.8604128614203873E-2</v>
      </c>
      <c r="E20" s="2"/>
      <c r="F20" s="5"/>
    </row>
    <row r="21" spans="1:6">
      <c r="A21" s="1">
        <v>105</v>
      </c>
      <c r="B21" s="2"/>
      <c r="C21" s="2">
        <f t="shared" si="0"/>
        <v>96.561340077720914</v>
      </c>
      <c r="D21" s="42">
        <f t="shared" si="1"/>
        <v>9.6561340077720909E-2</v>
      </c>
      <c r="E21" s="2"/>
      <c r="F21" s="5"/>
    </row>
    <row r="22" spans="1:6">
      <c r="A22" s="1">
        <v>110</v>
      </c>
      <c r="B22" s="3"/>
      <c r="C22" s="2">
        <f t="shared" si="0"/>
        <v>105.23315948632387</v>
      </c>
      <c r="D22" s="42">
        <f t="shared" si="1"/>
        <v>0.10523315948632388</v>
      </c>
      <c r="E22" s="2"/>
      <c r="F22" s="5"/>
    </row>
    <row r="23" spans="1:6">
      <c r="A23" s="1">
        <v>115</v>
      </c>
      <c r="B23" s="3"/>
      <c r="C23" s="2">
        <f t="shared" si="0"/>
        <v>114.68376315573866</v>
      </c>
      <c r="D23" s="42">
        <f t="shared" si="1"/>
        <v>0.11468376315573867</v>
      </c>
      <c r="E23" s="2"/>
      <c r="F23" s="5"/>
    </row>
    <row r="24" spans="1:6">
      <c r="A24" s="1">
        <v>120</v>
      </c>
      <c r="B24" s="2"/>
      <c r="C24" s="2">
        <f t="shared" si="0"/>
        <v>124.98309084097055</v>
      </c>
      <c r="D24" s="42">
        <f t="shared" si="1"/>
        <v>0.12498309084097055</v>
      </c>
      <c r="E24" s="2"/>
      <c r="F24" s="5"/>
    </row>
    <row r="25" spans="1:6">
      <c r="A25" s="1">
        <v>125</v>
      </c>
      <c r="B25" s="2"/>
      <c r="C25" s="2">
        <f t="shared" si="0"/>
        <v>136.20736332962446</v>
      </c>
      <c r="D25" s="42">
        <f t="shared" si="1"/>
        <v>0.13620736332962446</v>
      </c>
      <c r="E25" s="2"/>
      <c r="F25" s="5"/>
    </row>
    <row r="26" spans="1:6">
      <c r="A26" s="1">
        <v>130</v>
      </c>
      <c r="B26" s="2"/>
      <c r="C26" s="2">
        <f t="shared" si="0"/>
        <v>148.43964651838067</v>
      </c>
      <c r="D26" s="42">
        <f t="shared" si="1"/>
        <v>0.14843964651838068</v>
      </c>
      <c r="E26" s="2"/>
      <c r="F26" s="5"/>
    </row>
    <row r="27" spans="1:6">
      <c r="A27" s="1">
        <v>135</v>
      </c>
      <c r="B27" s="2"/>
      <c r="C27" s="2">
        <f t="shared" si="0"/>
        <v>161.77046614710761</v>
      </c>
      <c r="D27" s="42">
        <f t="shared" si="1"/>
        <v>0.16177046614710761</v>
      </c>
      <c r="E27" s="2"/>
      <c r="F27" s="5"/>
    </row>
    <row r="28" spans="1:6">
      <c r="A28" s="1">
        <v>140</v>
      </c>
      <c r="B28" s="2"/>
      <c r="C28" s="2">
        <f t="shared" si="0"/>
        <v>176.29847773998841</v>
      </c>
      <c r="D28" s="42">
        <f t="shared" si="1"/>
        <v>0.17629847773998841</v>
      </c>
      <c r="E28" s="2"/>
      <c r="F28" s="5"/>
    </row>
    <row r="29" spans="1:6" ht="14.65" thickBot="1">
      <c r="C29" s="2"/>
    </row>
    <row r="30" spans="1:6">
      <c r="C30" s="97" t="s">
        <v>57</v>
      </c>
    </row>
    <row r="31" spans="1:6" ht="14.65" thickBot="1">
      <c r="C31" s="98">
        <v>1.72E-2</v>
      </c>
    </row>
    <row r="32" spans="1:6">
      <c r="C32" s="2"/>
    </row>
    <row r="33" spans="3:3">
      <c r="C33" s="2"/>
    </row>
    <row r="34" spans="3:3">
      <c r="C3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X44"/>
  <sheetViews>
    <sheetView tabSelected="1" topLeftCell="A2" zoomScale="115" zoomScaleNormal="115" workbookViewId="0">
      <selection activeCell="C9" sqref="C9"/>
    </sheetView>
  </sheetViews>
  <sheetFormatPr baseColWidth="10" defaultRowHeight="14.25"/>
  <cols>
    <col min="1" max="1" width="6.86328125" customWidth="1"/>
    <col min="2" max="2" width="15.19921875" customWidth="1"/>
    <col min="3" max="3" width="10.86328125" customWidth="1"/>
    <col min="4" max="4" width="8.19921875" customWidth="1"/>
    <col min="5" max="5" width="7.86328125" customWidth="1"/>
    <col min="6" max="6" width="7.9296875" customWidth="1"/>
    <col min="7" max="7" width="10" customWidth="1"/>
    <col min="8" max="8" width="25.3984375" customWidth="1"/>
    <col min="9" max="9" width="9" customWidth="1"/>
    <col min="10" max="10" width="8.53125" customWidth="1"/>
    <col min="11" max="12" width="9" customWidth="1"/>
    <col min="13" max="13" width="11" customWidth="1"/>
    <col min="14" max="14" width="12.86328125" customWidth="1"/>
    <col min="15" max="15" width="10.1328125" customWidth="1"/>
    <col min="16" max="16" width="8.3984375" customWidth="1"/>
    <col min="17" max="18" width="11.46484375" style="1"/>
    <col min="19" max="19" width="9.3984375" customWidth="1"/>
  </cols>
  <sheetData>
    <row r="1" spans="2:19" ht="14.65" thickBot="1"/>
    <row r="2" spans="2:19" ht="16.149999999999999" thickBot="1">
      <c r="B2" s="116" t="s">
        <v>60</v>
      </c>
      <c r="C2" s="102"/>
      <c r="D2" s="103"/>
      <c r="E2" s="64"/>
      <c r="G2" s="24"/>
      <c r="H2" s="117" t="s">
        <v>61</v>
      </c>
      <c r="I2" s="104"/>
      <c r="J2" s="105"/>
      <c r="L2" s="40"/>
    </row>
    <row r="3" spans="2:19">
      <c r="B3" s="62" t="s">
        <v>20</v>
      </c>
      <c r="C3" s="54">
        <v>1475</v>
      </c>
      <c r="D3" s="63" t="s">
        <v>3</v>
      </c>
      <c r="E3" s="37"/>
      <c r="H3" s="75" t="s">
        <v>45</v>
      </c>
      <c r="I3" s="70">
        <f>INDEX($A$19:$A$41,MATCH(MIN(P19:P41),$P$19:$P$41,0))</f>
        <v>95</v>
      </c>
      <c r="J3" s="29" t="s">
        <v>21</v>
      </c>
    </row>
    <row r="4" spans="2:19">
      <c r="B4" s="59" t="s">
        <v>7</v>
      </c>
      <c r="C4" s="55">
        <v>13</v>
      </c>
      <c r="D4" s="53" t="s">
        <v>5</v>
      </c>
      <c r="E4" s="37"/>
      <c r="H4" s="76" t="s">
        <v>38</v>
      </c>
      <c r="I4" s="48">
        <f>MAX(O19:O41)</f>
        <v>61.404506920118749</v>
      </c>
      <c r="J4" s="25" t="s">
        <v>21</v>
      </c>
      <c r="P4" s="6"/>
    </row>
    <row r="5" spans="2:19" ht="14.65" thickBot="1">
      <c r="B5" s="59" t="s">
        <v>12</v>
      </c>
      <c r="C5" s="65">
        <v>100</v>
      </c>
      <c r="D5" s="53" t="s">
        <v>10</v>
      </c>
      <c r="E5" s="37"/>
      <c r="H5" s="76" t="s">
        <v>25</v>
      </c>
      <c r="I5" s="49">
        <f>INDEX($I$19:I$41,MATCH(MIN(P19:P41),$P$19:$P$41,0))</f>
        <v>9</v>
      </c>
      <c r="J5" s="25" t="s">
        <v>8</v>
      </c>
    </row>
    <row r="6" spans="2:19">
      <c r="B6" s="60" t="s">
        <v>19</v>
      </c>
      <c r="C6" s="66">
        <v>0.03</v>
      </c>
      <c r="D6" s="53" t="s">
        <v>44</v>
      </c>
      <c r="E6" s="47"/>
      <c r="H6" s="77" t="s">
        <v>30</v>
      </c>
      <c r="I6" s="50">
        <f>MIN(P19:P41)</f>
        <v>24.021038096093346</v>
      </c>
      <c r="J6" s="25" t="s">
        <v>44</v>
      </c>
      <c r="L6" s="106" t="s">
        <v>55</v>
      </c>
      <c r="M6" s="107"/>
      <c r="N6" s="107"/>
      <c r="O6" s="107"/>
      <c r="P6" s="107"/>
      <c r="Q6" s="108"/>
    </row>
    <row r="7" spans="2:19">
      <c r="B7" s="59" t="s">
        <v>6</v>
      </c>
      <c r="C7" s="55">
        <v>13</v>
      </c>
      <c r="D7" s="53" t="s">
        <v>23</v>
      </c>
      <c r="E7" s="47"/>
      <c r="H7" s="76" t="s">
        <v>29</v>
      </c>
      <c r="I7" s="48">
        <f>INDEX(($C$4/$C$19:$C$41),MATCH(MIN(P19:P41),$P$19:$P$41,0))</f>
        <v>159.8964121599129</v>
      </c>
      <c r="J7" s="25" t="s">
        <v>21</v>
      </c>
      <c r="K7" s="6"/>
      <c r="L7" s="109"/>
      <c r="M7" s="110"/>
      <c r="N7" s="110"/>
      <c r="O7" s="110"/>
      <c r="P7" s="110"/>
      <c r="Q7" s="111"/>
    </row>
    <row r="8" spans="2:19">
      <c r="B8" s="59" t="s">
        <v>9</v>
      </c>
      <c r="C8" s="57">
        <v>100</v>
      </c>
      <c r="D8" s="53" t="s">
        <v>10</v>
      </c>
      <c r="E8" s="37"/>
      <c r="H8" s="76" t="s">
        <v>48</v>
      </c>
      <c r="I8" s="51">
        <f>INDEX($N$19:N$41,MATCH(MIN(P19:P41),$P$19:$P$41,0))</f>
        <v>8.2247223066196629</v>
      </c>
      <c r="J8" s="25" t="s">
        <v>44</v>
      </c>
      <c r="K8" s="6"/>
      <c r="L8" s="109"/>
      <c r="M8" s="110"/>
      <c r="N8" s="110"/>
      <c r="O8" s="110"/>
      <c r="P8" s="110"/>
      <c r="Q8" s="111"/>
    </row>
    <row r="9" spans="2:19" ht="15.75" customHeight="1" thickBot="1">
      <c r="B9" s="61" t="s">
        <v>37</v>
      </c>
      <c r="C9" s="58">
        <v>300</v>
      </c>
      <c r="D9" s="56" t="s">
        <v>3</v>
      </c>
      <c r="E9" s="37"/>
      <c r="H9" s="78" t="s">
        <v>35</v>
      </c>
      <c r="I9" s="51">
        <f>INDEX($F$19:F$41,MATCH(MIN(P19:P41),$P$19:$P$41,0))</f>
        <v>15.526315789473685</v>
      </c>
      <c r="J9" s="41" t="s">
        <v>44</v>
      </c>
      <c r="L9" s="112"/>
      <c r="M9" s="113"/>
      <c r="N9" s="113"/>
      <c r="O9" s="113"/>
      <c r="P9" s="113"/>
      <c r="Q9" s="114"/>
      <c r="S9" s="26"/>
    </row>
    <row r="10" spans="2:19">
      <c r="E10" s="37"/>
      <c r="H10" s="76" t="s">
        <v>32</v>
      </c>
      <c r="I10" s="48">
        <f>(0.01*C8*C7)/(INDEX($C$19:C$41,MATCH(MIN(P19:P41),$P$19:$P$41,0)))</f>
        <v>159.8964121599129</v>
      </c>
      <c r="J10" s="25" t="s">
        <v>3</v>
      </c>
    </row>
    <row r="11" spans="2:19">
      <c r="E11" s="37"/>
      <c r="H11" s="76" t="s">
        <v>33</v>
      </c>
      <c r="I11" s="48">
        <f>IF(I5&gt;=1,2*I10,0)</f>
        <v>319.7928243198258</v>
      </c>
      <c r="J11" s="25" t="s">
        <v>3</v>
      </c>
      <c r="L11" s="100" t="s">
        <v>56</v>
      </c>
      <c r="M11" s="101"/>
      <c r="N11" s="101"/>
      <c r="O11" s="101"/>
      <c r="P11" s="101"/>
      <c r="Q11" s="101"/>
    </row>
    <row r="12" spans="2:19">
      <c r="B12" s="37"/>
      <c r="C12" s="38"/>
      <c r="D12" s="37"/>
      <c r="H12" s="76" t="s">
        <v>34</v>
      </c>
      <c r="I12" s="48">
        <f>IF(I5&gt;=2,3*I10,0)</f>
        <v>479.68923647973872</v>
      </c>
      <c r="J12" s="25" t="s">
        <v>3</v>
      </c>
    </row>
    <row r="13" spans="2:19">
      <c r="B13" s="37"/>
      <c r="C13" s="38"/>
      <c r="D13" s="37"/>
      <c r="H13" s="76" t="s">
        <v>26</v>
      </c>
      <c r="I13" s="68">
        <f>(C5/100)*(C7/C4)</f>
        <v>1</v>
      </c>
      <c r="J13" s="25" t="s">
        <v>44</v>
      </c>
    </row>
    <row r="14" spans="2:19">
      <c r="B14" s="37"/>
      <c r="C14" s="38"/>
      <c r="D14" s="37"/>
      <c r="H14" s="78" t="s">
        <v>31</v>
      </c>
      <c r="I14" s="68">
        <f>I13+C6</f>
        <v>1.03</v>
      </c>
      <c r="J14" s="41" t="s">
        <v>44</v>
      </c>
    </row>
    <row r="15" spans="2:19" ht="14.65" thickBot="1">
      <c r="B15" s="37"/>
      <c r="C15" s="38"/>
      <c r="D15" s="37"/>
      <c r="H15" s="73" t="s">
        <v>39</v>
      </c>
      <c r="I15" s="69">
        <f>INDEX($G$19:$G$41,MATCH(MIN(P19:P41),$P$19:$P$41,0))</f>
        <v>119.92138998605562</v>
      </c>
      <c r="J15" s="74" t="s">
        <v>23</v>
      </c>
      <c r="N15" s="6"/>
    </row>
    <row r="16" spans="2:19" ht="15.75" thickBot="1">
      <c r="S16" s="27"/>
    </row>
    <row r="17" spans="1:24" ht="45" customHeight="1" thickBot="1">
      <c r="A17" s="31" t="s">
        <v>15</v>
      </c>
      <c r="B17" s="32" t="s">
        <v>14</v>
      </c>
      <c r="C17" s="32" t="s">
        <v>16</v>
      </c>
      <c r="D17" s="32" t="s">
        <v>36</v>
      </c>
      <c r="E17" s="32" t="s">
        <v>17</v>
      </c>
      <c r="F17" s="32" t="s">
        <v>11</v>
      </c>
      <c r="G17" s="79" t="s">
        <v>27</v>
      </c>
      <c r="H17" s="83" t="s">
        <v>22</v>
      </c>
      <c r="I17" s="81" t="s">
        <v>25</v>
      </c>
      <c r="J17" s="32" t="s">
        <v>40</v>
      </c>
      <c r="K17" s="32" t="s">
        <v>41</v>
      </c>
      <c r="L17" s="32" t="s">
        <v>42</v>
      </c>
      <c r="M17" s="32" t="s">
        <v>13</v>
      </c>
      <c r="N17" s="32" t="s">
        <v>47</v>
      </c>
      <c r="O17" s="32" t="s">
        <v>28</v>
      </c>
      <c r="P17" s="32" t="s">
        <v>18</v>
      </c>
      <c r="Q17" s="32" t="s">
        <v>43</v>
      </c>
      <c r="R17" s="30" t="s">
        <v>46</v>
      </c>
      <c r="X17" s="52"/>
    </row>
    <row r="18" spans="1:24" ht="14.65" thickBot="1">
      <c r="A18" s="33" t="s">
        <v>21</v>
      </c>
      <c r="B18" s="34" t="s">
        <v>0</v>
      </c>
      <c r="C18" s="34" t="s">
        <v>24</v>
      </c>
      <c r="D18" s="34" t="s">
        <v>3</v>
      </c>
      <c r="E18" s="34" t="s">
        <v>5</v>
      </c>
      <c r="F18" s="34" t="s">
        <v>44</v>
      </c>
      <c r="G18" s="80" t="s">
        <v>23</v>
      </c>
      <c r="H18" s="84" t="s">
        <v>23</v>
      </c>
      <c r="I18" s="82" t="s">
        <v>8</v>
      </c>
      <c r="J18" s="34" t="s">
        <v>44</v>
      </c>
      <c r="K18" s="34" t="s">
        <v>44</v>
      </c>
      <c r="L18" s="34" t="s">
        <v>44</v>
      </c>
      <c r="M18" s="34" t="s">
        <v>3</v>
      </c>
      <c r="N18" s="34" t="s">
        <v>44</v>
      </c>
      <c r="O18" s="34" t="s">
        <v>21</v>
      </c>
      <c r="P18" s="34" t="s">
        <v>44</v>
      </c>
      <c r="Q18" s="35" t="s">
        <v>44</v>
      </c>
      <c r="R18" s="36" t="s">
        <v>44</v>
      </c>
      <c r="S18" s="28"/>
    </row>
    <row r="19" spans="1:24">
      <c r="A19" s="22">
        <v>30</v>
      </c>
      <c r="B19" s="21">
        <v>27</v>
      </c>
      <c r="C19" s="11">
        <v>2.6580515699390121E-2</v>
      </c>
      <c r="D19" s="43">
        <f t="shared" ref="D19:D41" si="0">$C$7/C19</f>
        <v>489.08005198327584</v>
      </c>
      <c r="E19" s="12">
        <f t="shared" ref="E19:E41" si="1">(($C$7/1000)/(D19/A19))*1000</f>
        <v>0.79741547098170362</v>
      </c>
      <c r="F19" s="12">
        <f t="shared" ref="F19:F41" si="2">$C$3/A19</f>
        <v>49.166666666666664</v>
      </c>
      <c r="G19" s="12">
        <f t="shared" ref="G19:G41" si="3">C19*$C$3</f>
        <v>39.206260656600428</v>
      </c>
      <c r="H19" s="12">
        <f>IF(((G19-$C$7))&gt;=0,(G19-$C$7),"0")</f>
        <v>26.206260656600428</v>
      </c>
      <c r="I19" s="10">
        <f>ROUNDUP((H19/($C$4*$I$13)),0)</f>
        <v>3</v>
      </c>
      <c r="J19" s="13">
        <f>MIN($I$13,N19)</f>
        <v>1</v>
      </c>
      <c r="K19" s="13">
        <f>IF(MIN($I$13,N19-$I$13)&lt;0,0,MIN($I$13,N19-$I$13))</f>
        <v>1</v>
      </c>
      <c r="L19" s="13">
        <f t="shared" ref="L19:L41" si="4">IF(MIN($I$13,N19-$I$13*2)&lt;0,0,MIN($I$13,N19-$I$13*2))</f>
        <v>1.5866204353879088E-2</v>
      </c>
      <c r="M19" s="10">
        <f t="shared" ref="M19:M41" si="5">($I$13*$C$4)/C19</f>
        <v>489.08005198327584</v>
      </c>
      <c r="N19" s="12">
        <f t="shared" ref="N19:N41" si="6">IF(((H19/$C$4))&gt;=0,(H19/$C$4),"0")</f>
        <v>2.0158662043538791</v>
      </c>
      <c r="O19" s="71">
        <f>$C$3/P19</f>
        <v>28.767839570369194</v>
      </c>
      <c r="P19" s="12">
        <f>F19+N19+(I19*$C$6)</f>
        <v>51.272532871020545</v>
      </c>
      <c r="Q19" s="71">
        <f>IF(R19&gt;0,(P19-MIN($P$19:$P$41)),"0")</f>
        <v>27.251494774927199</v>
      </c>
      <c r="R19" s="23">
        <f>IF((F19-$I$9)&gt;=0,(F19-$I$9),"0")</f>
        <v>33.640350877192979</v>
      </c>
    </row>
    <row r="20" spans="1:24">
      <c r="A20" s="22">
        <v>35</v>
      </c>
      <c r="B20" s="21"/>
      <c r="C20" s="11">
        <v>2.8967614218809175E-2</v>
      </c>
      <c r="D20" s="43">
        <f t="shared" si="0"/>
        <v>448.77703430470552</v>
      </c>
      <c r="E20" s="12">
        <f t="shared" si="1"/>
        <v>1.0138664976583209</v>
      </c>
      <c r="F20" s="12">
        <f>$C$3/A20</f>
        <v>42.142857142857146</v>
      </c>
      <c r="G20" s="12">
        <f>C20*$C$3</f>
        <v>42.727230972743534</v>
      </c>
      <c r="H20" s="12">
        <f t="shared" ref="H20:H41" si="7">IF(((G20-$C$7))&gt;=0,(G20-$C$7),"0")</f>
        <v>29.727230972743534</v>
      </c>
      <c r="I20" s="10">
        <f t="shared" ref="I20:I41" si="8">ROUNDUP((H20/($C$4*$I$13)),0)</f>
        <v>3</v>
      </c>
      <c r="J20" s="13">
        <f t="shared" ref="J20:J41" si="9">MIN($I$13,N20)</f>
        <v>1</v>
      </c>
      <c r="K20" s="13">
        <f t="shared" ref="K20:K41" si="10">IF(MIN($I$13,N20-$I$13)&lt;0,0,MIN($I$13,N20-$I$13))</f>
        <v>1</v>
      </c>
      <c r="L20" s="13">
        <f t="shared" si="4"/>
        <v>0.28671007482642574</v>
      </c>
      <c r="M20" s="10">
        <f t="shared" si="5"/>
        <v>448.77703430470552</v>
      </c>
      <c r="N20" s="12">
        <f t="shared" si="6"/>
        <v>2.2867100748264257</v>
      </c>
      <c r="O20" s="71">
        <f>$C$3/P20</f>
        <v>33.131499072931618</v>
      </c>
      <c r="P20" s="12">
        <f t="shared" ref="P20:P41" si="11">F20+N20+(I20*$C$6)</f>
        <v>44.519567217683573</v>
      </c>
      <c r="Q20" s="71">
        <f t="shared" ref="Q20:Q41" si="12">IF(R20&gt;0,(P20-MIN($P$19:$P$41)),"0")</f>
        <v>20.498529121590227</v>
      </c>
      <c r="R20" s="23">
        <f t="shared" ref="R20:R23" si="13">IF((F20-$I$9)&gt;=0,(F20-$I$9),"0")</f>
        <v>26.616541353383461</v>
      </c>
    </row>
    <row r="21" spans="1:24">
      <c r="A21" s="22">
        <v>40</v>
      </c>
      <c r="B21" s="21">
        <v>33</v>
      </c>
      <c r="C21" s="11">
        <v>3.1569089291559868E-2</v>
      </c>
      <c r="D21" s="43">
        <f t="shared" si="0"/>
        <v>411.7952177820855</v>
      </c>
      <c r="E21" s="12">
        <f t="shared" si="1"/>
        <v>1.2627635716623946</v>
      </c>
      <c r="F21" s="12">
        <f t="shared" si="2"/>
        <v>36.875</v>
      </c>
      <c r="G21" s="12">
        <f t="shared" si="3"/>
        <v>46.564406705050807</v>
      </c>
      <c r="H21" s="12">
        <f t="shared" si="7"/>
        <v>33.564406705050807</v>
      </c>
      <c r="I21" s="10">
        <f t="shared" si="8"/>
        <v>3</v>
      </c>
      <c r="J21" s="13">
        <f t="shared" si="9"/>
        <v>1</v>
      </c>
      <c r="K21" s="13">
        <f t="shared" si="10"/>
        <v>1</v>
      </c>
      <c r="L21" s="13">
        <f t="shared" si="4"/>
        <v>0.58187743885006205</v>
      </c>
      <c r="M21" s="10">
        <f t="shared" si="5"/>
        <v>411.7952177820855</v>
      </c>
      <c r="N21" s="12">
        <f t="shared" si="6"/>
        <v>2.581877438850062</v>
      </c>
      <c r="O21" s="71">
        <f t="shared" ref="O21:O41" si="14">$C$3/P21</f>
        <v>37.297508565138678</v>
      </c>
      <c r="P21" s="12">
        <f t="shared" si="11"/>
        <v>39.546877438850068</v>
      </c>
      <c r="Q21" s="71">
        <f t="shared" si="12"/>
        <v>15.525839342756722</v>
      </c>
      <c r="R21" s="23">
        <f t="shared" si="13"/>
        <v>21.348684210526315</v>
      </c>
    </row>
    <row r="22" spans="1:24">
      <c r="A22" s="22">
        <v>45</v>
      </c>
      <c r="B22" s="21"/>
      <c r="C22" s="11">
        <v>3.4404193288771617E-2</v>
      </c>
      <c r="D22" s="43">
        <f t="shared" si="0"/>
        <v>377.86091628088741</v>
      </c>
      <c r="E22" s="12">
        <f t="shared" si="1"/>
        <v>1.5481886979947228</v>
      </c>
      <c r="F22" s="12">
        <f>$C$3/A22</f>
        <v>32.777777777777779</v>
      </c>
      <c r="G22" s="12">
        <f>C22*$C$3</f>
        <v>50.746185100938135</v>
      </c>
      <c r="H22" s="12">
        <f t="shared" si="7"/>
        <v>37.746185100938135</v>
      </c>
      <c r="I22" s="10">
        <f t="shared" si="8"/>
        <v>3</v>
      </c>
      <c r="J22" s="13">
        <f t="shared" si="9"/>
        <v>1</v>
      </c>
      <c r="K22" s="13">
        <f t="shared" si="10"/>
        <v>1</v>
      </c>
      <c r="L22" s="13">
        <f t="shared" si="4"/>
        <v>0.90355270007216415</v>
      </c>
      <c r="M22" s="10">
        <f t="shared" si="5"/>
        <v>377.86091628088741</v>
      </c>
      <c r="N22" s="12">
        <f t="shared" si="6"/>
        <v>2.9035527000721641</v>
      </c>
      <c r="O22" s="71">
        <f>$C$3/P22</f>
        <v>41.234138632705836</v>
      </c>
      <c r="P22" s="12">
        <f t="shared" si="11"/>
        <v>35.771330477849943</v>
      </c>
      <c r="Q22" s="71">
        <f t="shared" si="12"/>
        <v>11.750292381756598</v>
      </c>
      <c r="R22" s="23">
        <f t="shared" si="13"/>
        <v>17.251461988304094</v>
      </c>
    </row>
    <row r="23" spans="1:24">
      <c r="A23" s="9">
        <v>50</v>
      </c>
      <c r="B23" s="10">
        <v>39.75</v>
      </c>
      <c r="C23" s="11">
        <v>3.7493907566336138E-2</v>
      </c>
      <c r="D23" s="43">
        <f t="shared" si="0"/>
        <v>346.72299698290277</v>
      </c>
      <c r="E23" s="12">
        <f t="shared" si="1"/>
        <v>1.8746953783168068</v>
      </c>
      <c r="F23" s="12">
        <f t="shared" si="2"/>
        <v>29.5</v>
      </c>
      <c r="G23" s="12">
        <f t="shared" si="3"/>
        <v>55.3035136603458</v>
      </c>
      <c r="H23" s="12">
        <f t="shared" si="7"/>
        <v>42.3035136603458</v>
      </c>
      <c r="I23" s="10">
        <f t="shared" si="8"/>
        <v>4</v>
      </c>
      <c r="J23" s="13">
        <f t="shared" si="9"/>
        <v>1</v>
      </c>
      <c r="K23" s="13">
        <f t="shared" si="10"/>
        <v>1</v>
      </c>
      <c r="L23" s="13">
        <f t="shared" si="4"/>
        <v>1</v>
      </c>
      <c r="M23" s="10">
        <f t="shared" si="5"/>
        <v>346.72299698290277</v>
      </c>
      <c r="N23" s="12">
        <f t="shared" si="6"/>
        <v>3.2541164354112153</v>
      </c>
      <c r="O23" s="71">
        <f t="shared" si="14"/>
        <v>44.868126049805106</v>
      </c>
      <c r="P23" s="12">
        <f t="shared" si="11"/>
        <v>32.87411643541121</v>
      </c>
      <c r="Q23" s="71">
        <f t="shared" si="12"/>
        <v>8.8530783393178645</v>
      </c>
      <c r="R23" s="23">
        <f t="shared" si="13"/>
        <v>13.973684210526315</v>
      </c>
    </row>
    <row r="24" spans="1:24">
      <c r="A24" s="9">
        <v>55</v>
      </c>
      <c r="B24" s="10"/>
      <c r="C24" s="11">
        <v>4.0861097738680671E-2</v>
      </c>
      <c r="D24" s="43">
        <f t="shared" si="0"/>
        <v>318.15102186287339</v>
      </c>
      <c r="E24" s="12">
        <f t="shared" si="1"/>
        <v>2.2473603756274367</v>
      </c>
      <c r="F24" s="12">
        <f>$C$3/A24</f>
        <v>26.818181818181817</v>
      </c>
      <c r="G24" s="12">
        <f>C24*$C$3</f>
        <v>60.270119164553989</v>
      </c>
      <c r="H24" s="12">
        <f t="shared" si="7"/>
        <v>47.270119164553989</v>
      </c>
      <c r="I24" s="10">
        <f t="shared" si="8"/>
        <v>4</v>
      </c>
      <c r="J24" s="13">
        <f t="shared" si="9"/>
        <v>1</v>
      </c>
      <c r="K24" s="13">
        <f t="shared" si="10"/>
        <v>1</v>
      </c>
      <c r="L24" s="13">
        <f t="shared" si="4"/>
        <v>1</v>
      </c>
      <c r="M24" s="10">
        <f t="shared" si="5"/>
        <v>318.15102186287339</v>
      </c>
      <c r="N24" s="12">
        <f t="shared" si="6"/>
        <v>3.6361630126579993</v>
      </c>
      <c r="O24" s="71">
        <f>$C$3/P24</f>
        <v>48.243061565531661</v>
      </c>
      <c r="P24" s="12">
        <f t="shared" si="11"/>
        <v>30.574344830839816</v>
      </c>
      <c r="Q24" s="71">
        <f t="shared" si="12"/>
        <v>6.5533067347464709</v>
      </c>
      <c r="R24" s="23">
        <f t="shared" ref="R24:R41" si="15">IF((F24-$I$9)&gt;=0,(F24-$I$9),"0")</f>
        <v>11.291866028708132</v>
      </c>
    </row>
    <row r="25" spans="1:24">
      <c r="A25" s="9">
        <v>60</v>
      </c>
      <c r="B25" s="10">
        <v>48.2</v>
      </c>
      <c r="C25" s="11">
        <v>4.4530682897108584E-2</v>
      </c>
      <c r="D25" s="43">
        <f t="shared" si="0"/>
        <v>291.93354231816869</v>
      </c>
      <c r="E25" s="12">
        <f t="shared" si="1"/>
        <v>2.6718409738265145</v>
      </c>
      <c r="F25" s="12">
        <f t="shared" si="2"/>
        <v>24.583333333333332</v>
      </c>
      <c r="G25" s="12">
        <f t="shared" si="3"/>
        <v>65.682757273235154</v>
      </c>
      <c r="H25" s="12">
        <f t="shared" si="7"/>
        <v>52.682757273235154</v>
      </c>
      <c r="I25" s="10">
        <f t="shared" si="8"/>
        <v>5</v>
      </c>
      <c r="J25" s="13">
        <f t="shared" si="9"/>
        <v>1</v>
      </c>
      <c r="K25" s="13">
        <f t="shared" si="10"/>
        <v>1</v>
      </c>
      <c r="L25" s="13">
        <f t="shared" si="4"/>
        <v>1</v>
      </c>
      <c r="M25" s="10">
        <f t="shared" si="5"/>
        <v>291.93354231816869</v>
      </c>
      <c r="N25" s="12">
        <f t="shared" si="6"/>
        <v>4.0525197902488577</v>
      </c>
      <c r="O25" s="71">
        <f t="shared" si="14"/>
        <v>51.240447648627722</v>
      </c>
      <c r="P25" s="12">
        <f t="shared" si="11"/>
        <v>28.785853123582189</v>
      </c>
      <c r="Q25" s="71">
        <f t="shared" si="12"/>
        <v>4.7648150274888437</v>
      </c>
      <c r="R25" s="23">
        <f t="shared" si="15"/>
        <v>9.0570175438596472</v>
      </c>
    </row>
    <row r="26" spans="1:24">
      <c r="A26" s="9">
        <v>65</v>
      </c>
      <c r="B26" s="10"/>
      <c r="C26" s="11">
        <v>4.8529820025017899E-2</v>
      </c>
      <c r="D26" s="43">
        <f t="shared" si="0"/>
        <v>267.87653433081539</v>
      </c>
      <c r="E26" s="12">
        <f t="shared" si="1"/>
        <v>3.1544383016261635</v>
      </c>
      <c r="F26" s="12">
        <f>$C$3/A26</f>
        <v>22.692307692307693</v>
      </c>
      <c r="G26" s="12">
        <f>C26*$C$3</f>
        <v>71.581484536901399</v>
      </c>
      <c r="H26" s="12">
        <f t="shared" si="7"/>
        <v>58.581484536901399</v>
      </c>
      <c r="I26" s="10">
        <f t="shared" si="8"/>
        <v>5</v>
      </c>
      <c r="J26" s="13">
        <f t="shared" si="9"/>
        <v>1</v>
      </c>
      <c r="K26" s="13">
        <f t="shared" si="10"/>
        <v>1</v>
      </c>
      <c r="L26" s="13">
        <f t="shared" si="4"/>
        <v>1</v>
      </c>
      <c r="M26" s="10">
        <f t="shared" si="5"/>
        <v>267.87653433081539</v>
      </c>
      <c r="N26" s="12">
        <f t="shared" si="6"/>
        <v>4.5062680413001077</v>
      </c>
      <c r="O26" s="71">
        <f>$C$3/P26</f>
        <v>53.933338773010369</v>
      </c>
      <c r="P26" s="12">
        <f t="shared" si="11"/>
        <v>27.348575733607799</v>
      </c>
      <c r="Q26" s="71">
        <f t="shared" si="12"/>
        <v>3.3275376375144532</v>
      </c>
      <c r="R26" s="23">
        <f t="shared" si="15"/>
        <v>7.1659919028340084</v>
      </c>
    </row>
    <row r="27" spans="1:24" s="7" customFormat="1">
      <c r="A27" s="14">
        <v>70</v>
      </c>
      <c r="B27" s="15">
        <v>58.35</v>
      </c>
      <c r="C27" s="11">
        <v>5.2888104974773448E-2</v>
      </c>
      <c r="D27" s="43">
        <f t="shared" si="0"/>
        <v>245.80196258120301</v>
      </c>
      <c r="E27" s="12">
        <f t="shared" si="1"/>
        <v>3.7021673482341408</v>
      </c>
      <c r="F27" s="12">
        <f t="shared" si="2"/>
        <v>21.071428571428573</v>
      </c>
      <c r="G27" s="12">
        <f t="shared" si="3"/>
        <v>78.009954837790829</v>
      </c>
      <c r="H27" s="12">
        <f t="shared" si="7"/>
        <v>65.009954837790829</v>
      </c>
      <c r="I27" s="10">
        <f t="shared" si="8"/>
        <v>6</v>
      </c>
      <c r="J27" s="13">
        <f t="shared" si="9"/>
        <v>1</v>
      </c>
      <c r="K27" s="13">
        <f t="shared" si="10"/>
        <v>1</v>
      </c>
      <c r="L27" s="13">
        <f t="shared" si="4"/>
        <v>1</v>
      </c>
      <c r="M27" s="10">
        <f t="shared" si="5"/>
        <v>245.80196258120301</v>
      </c>
      <c r="N27" s="12">
        <f t="shared" si="6"/>
        <v>5.0007657567531405</v>
      </c>
      <c r="O27" s="71">
        <f t="shared" si="14"/>
        <v>56.185779427077776</v>
      </c>
      <c r="P27" s="12">
        <f t="shared" si="11"/>
        <v>26.252194328181712</v>
      </c>
      <c r="Q27" s="71">
        <f t="shared" si="12"/>
        <v>2.2311562320883667</v>
      </c>
      <c r="R27" s="23">
        <f t="shared" si="15"/>
        <v>5.545112781954888</v>
      </c>
      <c r="T27"/>
    </row>
    <row r="28" spans="1:24" s="7" customFormat="1">
      <c r="A28" s="14">
        <v>75</v>
      </c>
      <c r="B28" s="15"/>
      <c r="C28" s="11">
        <v>5.7637791493574071E-2</v>
      </c>
      <c r="D28" s="67">
        <f t="shared" si="0"/>
        <v>225.54646288710325</v>
      </c>
      <c r="E28" s="12">
        <f t="shared" si="1"/>
        <v>4.3228343620180549</v>
      </c>
      <c r="F28" s="12">
        <f t="shared" si="2"/>
        <v>19.666666666666668</v>
      </c>
      <c r="G28" s="8">
        <f t="shared" si="3"/>
        <v>85.015742453021758</v>
      </c>
      <c r="H28" s="12">
        <f t="shared" si="7"/>
        <v>72.015742453021758</v>
      </c>
      <c r="I28" s="10">
        <f t="shared" si="8"/>
        <v>6</v>
      </c>
      <c r="J28" s="13">
        <f t="shared" si="9"/>
        <v>1</v>
      </c>
      <c r="K28" s="13">
        <f t="shared" si="10"/>
        <v>1</v>
      </c>
      <c r="L28" s="13">
        <f t="shared" si="4"/>
        <v>1</v>
      </c>
      <c r="M28" s="10">
        <f t="shared" si="5"/>
        <v>225.54646288710325</v>
      </c>
      <c r="N28" s="12">
        <f t="shared" si="6"/>
        <v>5.5396724963862889</v>
      </c>
      <c r="O28" s="71">
        <f t="shared" si="14"/>
        <v>58.102115099238155</v>
      </c>
      <c r="P28" s="12">
        <f t="shared" si="11"/>
        <v>25.386339163052956</v>
      </c>
      <c r="Q28" s="71">
        <f t="shared" si="12"/>
        <v>1.36530106695961</v>
      </c>
      <c r="R28" s="23">
        <f t="shared" si="15"/>
        <v>4.1403508771929829</v>
      </c>
      <c r="T28"/>
    </row>
    <row r="29" spans="1:24" s="7" customFormat="1">
      <c r="A29" s="14">
        <v>80</v>
      </c>
      <c r="B29" s="15">
        <v>67.95</v>
      </c>
      <c r="C29" s="11">
        <v>6.281402991922852E-2</v>
      </c>
      <c r="D29" s="43">
        <f t="shared" si="0"/>
        <v>206.96013321731587</v>
      </c>
      <c r="E29" s="12">
        <f t="shared" si="1"/>
        <v>5.0251223935382816</v>
      </c>
      <c r="F29" s="12">
        <f t="shared" si="2"/>
        <v>18.4375</v>
      </c>
      <c r="G29" s="12">
        <f t="shared" si="3"/>
        <v>92.650694130862064</v>
      </c>
      <c r="H29" s="12">
        <f t="shared" si="7"/>
        <v>79.650694130862064</v>
      </c>
      <c r="I29" s="10">
        <f t="shared" si="8"/>
        <v>7</v>
      </c>
      <c r="J29" s="13">
        <f t="shared" si="9"/>
        <v>1</v>
      </c>
      <c r="K29" s="13">
        <f t="shared" si="10"/>
        <v>1</v>
      </c>
      <c r="L29" s="13">
        <f t="shared" si="4"/>
        <v>1</v>
      </c>
      <c r="M29" s="10">
        <f t="shared" si="5"/>
        <v>206.96013321731587</v>
      </c>
      <c r="N29" s="12">
        <f t="shared" si="6"/>
        <v>6.1269764716047739</v>
      </c>
      <c r="O29" s="71">
        <f t="shared" si="14"/>
        <v>59.53708049857557</v>
      </c>
      <c r="P29" s="12">
        <f t="shared" si="11"/>
        <v>24.774476471604775</v>
      </c>
      <c r="Q29" s="71">
        <f t="shared" si="12"/>
        <v>0.75343837551142911</v>
      </c>
      <c r="R29" s="23">
        <f t="shared" si="15"/>
        <v>2.911184210526315</v>
      </c>
      <c r="T29"/>
    </row>
    <row r="30" spans="1:24" s="7" customFormat="1">
      <c r="A30" s="14">
        <v>85</v>
      </c>
      <c r="B30" s="15"/>
      <c r="C30" s="11">
        <v>6.8455127312322936E-2</v>
      </c>
      <c r="D30" s="43">
        <f t="shared" si="0"/>
        <v>189.90542433276298</v>
      </c>
      <c r="E30" s="12">
        <f t="shared" si="1"/>
        <v>5.81868582154745</v>
      </c>
      <c r="F30" s="12">
        <f t="shared" si="2"/>
        <v>17.352941176470587</v>
      </c>
      <c r="G30" s="12">
        <f t="shared" si="3"/>
        <v>100.97131278567633</v>
      </c>
      <c r="H30" s="12">
        <f t="shared" si="7"/>
        <v>87.971312785676332</v>
      </c>
      <c r="I30" s="10">
        <f t="shared" si="8"/>
        <v>7</v>
      </c>
      <c r="J30" s="13">
        <f t="shared" si="9"/>
        <v>1</v>
      </c>
      <c r="K30" s="13">
        <f t="shared" si="10"/>
        <v>1</v>
      </c>
      <c r="L30" s="13">
        <f t="shared" si="4"/>
        <v>1</v>
      </c>
      <c r="M30" s="10">
        <f t="shared" si="5"/>
        <v>189.90542433276298</v>
      </c>
      <c r="N30" s="12">
        <f t="shared" si="6"/>
        <v>6.7670240604366407</v>
      </c>
      <c r="O30" s="71">
        <f t="shared" si="14"/>
        <v>60.624829737220736</v>
      </c>
      <c r="P30" s="12">
        <f t="shared" si="11"/>
        <v>24.329965236907228</v>
      </c>
      <c r="Q30" s="71">
        <f t="shared" si="12"/>
        <v>0.30892714081388206</v>
      </c>
      <c r="R30" s="23">
        <f t="shared" si="15"/>
        <v>1.826625386996902</v>
      </c>
      <c r="T30"/>
    </row>
    <row r="31" spans="1:24" s="7" customFormat="1">
      <c r="A31" s="14">
        <v>90</v>
      </c>
      <c r="B31" s="15">
        <v>81.75</v>
      </c>
      <c r="C31" s="11">
        <v>7.460283094990279E-2</v>
      </c>
      <c r="D31" s="67">
        <f t="shared" si="0"/>
        <v>174.25612184515819</v>
      </c>
      <c r="E31" s="12">
        <f t="shared" si="1"/>
        <v>6.7142547854912511</v>
      </c>
      <c r="F31" s="12">
        <f t="shared" si="2"/>
        <v>16.388888888888889</v>
      </c>
      <c r="G31" s="8">
        <f t="shared" si="3"/>
        <v>110.03917565110662</v>
      </c>
      <c r="H31" s="12">
        <f t="shared" si="7"/>
        <v>97.039175651106618</v>
      </c>
      <c r="I31" s="10">
        <f t="shared" si="8"/>
        <v>8</v>
      </c>
      <c r="J31" s="13">
        <f t="shared" si="9"/>
        <v>1</v>
      </c>
      <c r="K31" s="13">
        <f t="shared" si="10"/>
        <v>1</v>
      </c>
      <c r="L31" s="13">
        <f t="shared" si="4"/>
        <v>1</v>
      </c>
      <c r="M31" s="10">
        <f t="shared" si="5"/>
        <v>174.25612184515819</v>
      </c>
      <c r="N31" s="12">
        <f t="shared" si="6"/>
        <v>7.4645519731620471</v>
      </c>
      <c r="O31" s="71">
        <f t="shared" si="14"/>
        <v>61.219981340367241</v>
      </c>
      <c r="P31" s="12">
        <f t="shared" si="11"/>
        <v>24.093440862050937</v>
      </c>
      <c r="Q31" s="71">
        <f t="shared" si="12"/>
        <v>7.2402765957590987E-2</v>
      </c>
      <c r="R31" s="23">
        <f t="shared" si="15"/>
        <v>0.86257309941520433</v>
      </c>
      <c r="T31"/>
    </row>
    <row r="32" spans="1:24" s="7" customFormat="1">
      <c r="A32" s="14">
        <v>95</v>
      </c>
      <c r="B32" s="15"/>
      <c r="C32" s="11">
        <v>8.1302637278681769E-2</v>
      </c>
      <c r="D32" s="67">
        <f t="shared" si="0"/>
        <v>159.8964121599129</v>
      </c>
      <c r="E32" s="12">
        <f t="shared" si="1"/>
        <v>7.723750541474768</v>
      </c>
      <c r="F32" s="12">
        <f t="shared" si="2"/>
        <v>15.526315789473685</v>
      </c>
      <c r="G32" s="8">
        <f t="shared" si="3"/>
        <v>119.92138998605562</v>
      </c>
      <c r="H32" s="12">
        <f t="shared" si="7"/>
        <v>106.92138998605562</v>
      </c>
      <c r="I32" s="10">
        <f t="shared" si="8"/>
        <v>9</v>
      </c>
      <c r="J32" s="13">
        <f t="shared" si="9"/>
        <v>1</v>
      </c>
      <c r="K32" s="13">
        <f t="shared" si="10"/>
        <v>1</v>
      </c>
      <c r="L32" s="13">
        <f t="shared" si="4"/>
        <v>1</v>
      </c>
      <c r="M32" s="10">
        <f t="shared" si="5"/>
        <v>159.8964121599129</v>
      </c>
      <c r="N32" s="12">
        <f t="shared" si="6"/>
        <v>8.2247223066196629</v>
      </c>
      <c r="O32" s="71">
        <f t="shared" si="14"/>
        <v>61.404506920118749</v>
      </c>
      <c r="P32" s="12">
        <f t="shared" si="11"/>
        <v>24.021038096093346</v>
      </c>
      <c r="Q32" s="71" t="str">
        <f t="shared" si="12"/>
        <v>0</v>
      </c>
      <c r="R32" s="23">
        <f t="shared" si="15"/>
        <v>0</v>
      </c>
      <c r="T32"/>
    </row>
    <row r="33" spans="1:22">
      <c r="A33" s="9">
        <v>100</v>
      </c>
      <c r="B33" s="10">
        <v>96</v>
      </c>
      <c r="C33" s="11">
        <v>8.8604128614203873E-2</v>
      </c>
      <c r="D33" s="43">
        <f t="shared" si="0"/>
        <v>146.72002539073566</v>
      </c>
      <c r="E33" s="12">
        <f t="shared" si="1"/>
        <v>8.8604128614203876</v>
      </c>
      <c r="F33" s="12">
        <f t="shared" si="2"/>
        <v>14.75</v>
      </c>
      <c r="G33" s="12">
        <f t="shared" si="3"/>
        <v>130.6910897059507</v>
      </c>
      <c r="H33" s="12">
        <f t="shared" si="7"/>
        <v>117.6910897059507</v>
      </c>
      <c r="I33" s="10">
        <f t="shared" si="8"/>
        <v>10</v>
      </c>
      <c r="J33" s="13">
        <f t="shared" si="9"/>
        <v>1</v>
      </c>
      <c r="K33" s="13">
        <f t="shared" si="10"/>
        <v>1</v>
      </c>
      <c r="L33" s="13">
        <f t="shared" si="4"/>
        <v>1</v>
      </c>
      <c r="M33" s="10">
        <f t="shared" si="5"/>
        <v>146.72002539073566</v>
      </c>
      <c r="N33" s="12">
        <f t="shared" si="6"/>
        <v>9.0531607466115922</v>
      </c>
      <c r="O33" s="71">
        <f t="shared" si="14"/>
        <v>61.195293659042399</v>
      </c>
      <c r="P33" s="12">
        <f t="shared" si="11"/>
        <v>24.103160746611593</v>
      </c>
      <c r="Q33" s="71">
        <f t="shared" si="12"/>
        <v>8.2122650518247298E-2</v>
      </c>
      <c r="R33" s="23" t="str">
        <f t="shared" si="15"/>
        <v>0</v>
      </c>
    </row>
    <row r="34" spans="1:22" ht="14.65" thickBot="1">
      <c r="A34" s="9">
        <v>105</v>
      </c>
      <c r="B34" s="10"/>
      <c r="C34" s="11">
        <v>9.6561340077720909E-2</v>
      </c>
      <c r="D34" s="43">
        <f t="shared" si="0"/>
        <v>134.62944890301313</v>
      </c>
      <c r="E34" s="12">
        <f t="shared" si="1"/>
        <v>10.138940708160694</v>
      </c>
      <c r="F34" s="12">
        <f t="shared" si="2"/>
        <v>14.047619047619047</v>
      </c>
      <c r="G34" s="12">
        <f t="shared" si="3"/>
        <v>142.42797661463834</v>
      </c>
      <c r="H34" s="12">
        <f t="shared" si="7"/>
        <v>129.42797661463834</v>
      </c>
      <c r="I34" s="10">
        <f t="shared" si="8"/>
        <v>10</v>
      </c>
      <c r="J34" s="13">
        <f t="shared" si="9"/>
        <v>1</v>
      </c>
      <c r="K34" s="13">
        <f t="shared" si="10"/>
        <v>1</v>
      </c>
      <c r="L34" s="13">
        <f t="shared" si="4"/>
        <v>1</v>
      </c>
      <c r="M34" s="10">
        <f t="shared" si="5"/>
        <v>134.62944890301313</v>
      </c>
      <c r="N34" s="12">
        <f t="shared" si="6"/>
        <v>9.9559982011260253</v>
      </c>
      <c r="O34" s="71">
        <f t="shared" si="14"/>
        <v>60.690554204484201</v>
      </c>
      <c r="P34" s="12">
        <f t="shared" si="11"/>
        <v>24.303617248745073</v>
      </c>
      <c r="Q34" s="71">
        <f t="shared" si="12"/>
        <v>0.28257915265172784</v>
      </c>
      <c r="R34" s="23" t="str">
        <f t="shared" si="15"/>
        <v>0</v>
      </c>
    </row>
    <row r="35" spans="1:22" ht="14.65" thickBot="1">
      <c r="A35" s="9">
        <v>110</v>
      </c>
      <c r="B35" s="16">
        <v>117.46946821968433</v>
      </c>
      <c r="C35" s="11">
        <v>0.10523315948632388</v>
      </c>
      <c r="D35" s="44">
        <f t="shared" si="0"/>
        <v>123.53520566575294</v>
      </c>
      <c r="E35" s="12">
        <f t="shared" si="1"/>
        <v>11.575647543495625</v>
      </c>
      <c r="F35" s="12">
        <f t="shared" si="2"/>
        <v>13.409090909090908</v>
      </c>
      <c r="G35" s="12">
        <f t="shared" si="3"/>
        <v>155.21891024232772</v>
      </c>
      <c r="H35" s="12">
        <f t="shared" si="7"/>
        <v>142.21891024232772</v>
      </c>
      <c r="I35" s="10">
        <f t="shared" si="8"/>
        <v>11</v>
      </c>
      <c r="J35" s="13">
        <f t="shared" si="9"/>
        <v>1</v>
      </c>
      <c r="K35" s="13">
        <f t="shared" si="10"/>
        <v>1</v>
      </c>
      <c r="L35" s="13">
        <f t="shared" si="4"/>
        <v>1</v>
      </c>
      <c r="M35" s="10">
        <f t="shared" si="5"/>
        <v>123.53520566575294</v>
      </c>
      <c r="N35" s="12">
        <f t="shared" si="6"/>
        <v>10.939916172486749</v>
      </c>
      <c r="O35" s="71">
        <f t="shared" si="14"/>
        <v>59.767396440396325</v>
      </c>
      <c r="P35" s="12">
        <f t="shared" si="11"/>
        <v>24.679007081577655</v>
      </c>
      <c r="Q35" s="71">
        <f t="shared" si="12"/>
        <v>0.6579689854843096</v>
      </c>
      <c r="R35" s="23" t="str">
        <f t="shared" si="15"/>
        <v>0</v>
      </c>
      <c r="V35" s="52"/>
    </row>
    <row r="36" spans="1:22">
      <c r="A36" s="9">
        <v>115</v>
      </c>
      <c r="B36" s="16"/>
      <c r="C36" s="11">
        <v>0.11468376315573867</v>
      </c>
      <c r="D36" s="44">
        <f t="shared" si="0"/>
        <v>113.35519207148978</v>
      </c>
      <c r="E36" s="12">
        <f t="shared" si="1"/>
        <v>13.188632762909947</v>
      </c>
      <c r="F36" s="12">
        <f t="shared" si="2"/>
        <v>12.826086956521738</v>
      </c>
      <c r="G36" s="12">
        <f t="shared" si="3"/>
        <v>169.15855065471453</v>
      </c>
      <c r="H36" s="12">
        <f t="shared" si="7"/>
        <v>156.15855065471453</v>
      </c>
      <c r="I36" s="10">
        <f t="shared" si="8"/>
        <v>13</v>
      </c>
      <c r="J36" s="13">
        <f t="shared" si="9"/>
        <v>1</v>
      </c>
      <c r="K36" s="13">
        <f t="shared" si="10"/>
        <v>1</v>
      </c>
      <c r="L36" s="13">
        <f t="shared" si="4"/>
        <v>1</v>
      </c>
      <c r="M36" s="10">
        <f t="shared" si="5"/>
        <v>113.35519207148978</v>
      </c>
      <c r="N36" s="12">
        <f t="shared" si="6"/>
        <v>12.012196204208809</v>
      </c>
      <c r="O36" s="71">
        <f t="shared" si="14"/>
        <v>58.466126711941016</v>
      </c>
      <c r="P36" s="12">
        <f t="shared" si="11"/>
        <v>25.228283160730548</v>
      </c>
      <c r="Q36" s="71">
        <f t="shared" si="12"/>
        <v>1.2072450646372026</v>
      </c>
      <c r="R36" s="23" t="str">
        <f t="shared" si="15"/>
        <v>0</v>
      </c>
    </row>
    <row r="37" spans="1:22">
      <c r="A37" s="9">
        <v>120</v>
      </c>
      <c r="B37" s="10">
        <v>140.9180414238534</v>
      </c>
      <c r="C37" s="11">
        <v>0.12498309084097055</v>
      </c>
      <c r="D37" s="44">
        <f t="shared" si="0"/>
        <v>104.01407032365123</v>
      </c>
      <c r="E37" s="12">
        <f t="shared" si="1"/>
        <v>14.997970900916465</v>
      </c>
      <c r="F37" s="12">
        <f t="shared" si="2"/>
        <v>12.291666666666666</v>
      </c>
      <c r="G37" s="12">
        <f t="shared" si="3"/>
        <v>184.35005899043156</v>
      </c>
      <c r="H37" s="12">
        <f t="shared" si="7"/>
        <v>171.35005899043156</v>
      </c>
      <c r="I37" s="10">
        <f t="shared" si="8"/>
        <v>14</v>
      </c>
      <c r="J37" s="13">
        <f t="shared" si="9"/>
        <v>1</v>
      </c>
      <c r="K37" s="13">
        <f t="shared" si="10"/>
        <v>1</v>
      </c>
      <c r="L37" s="13">
        <f t="shared" si="4"/>
        <v>1</v>
      </c>
      <c r="M37" s="10">
        <f t="shared" si="5"/>
        <v>104.01407032365123</v>
      </c>
      <c r="N37" s="12">
        <f t="shared" si="6"/>
        <v>13.180773768494735</v>
      </c>
      <c r="O37" s="71">
        <f t="shared" si="14"/>
        <v>56.966434032883981</v>
      </c>
      <c r="P37" s="12">
        <f t="shared" si="11"/>
        <v>25.892440435161404</v>
      </c>
      <c r="Q37" s="71">
        <f t="shared" si="12"/>
        <v>1.8714023390680588</v>
      </c>
      <c r="R37" s="23" t="str">
        <f t="shared" si="15"/>
        <v>0</v>
      </c>
    </row>
    <row r="38" spans="1:22">
      <c r="A38" s="9">
        <v>125</v>
      </c>
      <c r="B38" s="10"/>
      <c r="C38" s="11">
        <v>0.13620736332962446</v>
      </c>
      <c r="D38" s="44">
        <f t="shared" si="0"/>
        <v>95.442710894709464</v>
      </c>
      <c r="E38" s="12">
        <f t="shared" si="1"/>
        <v>17.025920416203057</v>
      </c>
      <c r="F38" s="12">
        <f t="shared" si="2"/>
        <v>11.8</v>
      </c>
      <c r="G38" s="12">
        <f t="shared" si="3"/>
        <v>200.90586091119607</v>
      </c>
      <c r="H38" s="12">
        <f t="shared" si="7"/>
        <v>187.90586091119607</v>
      </c>
      <c r="I38" s="10">
        <f t="shared" si="8"/>
        <v>15</v>
      </c>
      <c r="J38" s="13">
        <f t="shared" si="9"/>
        <v>1</v>
      </c>
      <c r="K38" s="13">
        <f t="shared" si="10"/>
        <v>1</v>
      </c>
      <c r="L38" s="13">
        <f t="shared" si="4"/>
        <v>1</v>
      </c>
      <c r="M38" s="10">
        <f t="shared" si="5"/>
        <v>95.442710894709464</v>
      </c>
      <c r="N38" s="12">
        <f t="shared" si="6"/>
        <v>14.454296993168928</v>
      </c>
      <c r="O38" s="71">
        <f t="shared" si="14"/>
        <v>55.23455646023227</v>
      </c>
      <c r="P38" s="12">
        <f t="shared" si="11"/>
        <v>26.704296993168928</v>
      </c>
      <c r="Q38" s="71">
        <f t="shared" si="12"/>
        <v>2.6832588970755822</v>
      </c>
      <c r="R38" s="23" t="str">
        <f t="shared" si="15"/>
        <v>0</v>
      </c>
    </row>
    <row r="39" spans="1:22">
      <c r="A39" s="9">
        <v>130</v>
      </c>
      <c r="B39" s="10">
        <v>169</v>
      </c>
      <c r="C39" s="11">
        <v>0.14843964651838068</v>
      </c>
      <c r="D39" s="44">
        <f t="shared" si="0"/>
        <v>87.577680928998049</v>
      </c>
      <c r="E39" s="12">
        <f t="shared" si="1"/>
        <v>19.297154047389487</v>
      </c>
      <c r="F39" s="12">
        <f t="shared" si="2"/>
        <v>11.346153846153847</v>
      </c>
      <c r="G39" s="12">
        <f t="shared" si="3"/>
        <v>218.9484786146115</v>
      </c>
      <c r="H39" s="12">
        <f t="shared" si="7"/>
        <v>205.9484786146115</v>
      </c>
      <c r="I39" s="10">
        <f t="shared" si="8"/>
        <v>16</v>
      </c>
      <c r="J39" s="13">
        <f t="shared" si="9"/>
        <v>1</v>
      </c>
      <c r="K39" s="13">
        <f t="shared" si="10"/>
        <v>1</v>
      </c>
      <c r="L39" s="13">
        <f t="shared" si="4"/>
        <v>1</v>
      </c>
      <c r="M39" s="10">
        <f t="shared" si="5"/>
        <v>87.577680928998049</v>
      </c>
      <c r="N39" s="12">
        <f t="shared" si="6"/>
        <v>15.842190662662423</v>
      </c>
      <c r="O39" s="71">
        <f t="shared" si="14"/>
        <v>53.310020031375721</v>
      </c>
      <c r="P39" s="12">
        <f t="shared" si="11"/>
        <v>27.668344508816272</v>
      </c>
      <c r="Q39" s="71">
        <f t="shared" si="12"/>
        <v>3.6473064127229264</v>
      </c>
      <c r="R39" s="23" t="str">
        <f t="shared" si="15"/>
        <v>0</v>
      </c>
    </row>
    <row r="40" spans="1:22">
      <c r="A40" s="9">
        <v>135</v>
      </c>
      <c r="B40" s="10"/>
      <c r="C40" s="11">
        <v>0.16177046614710761</v>
      </c>
      <c r="D40" s="44">
        <f t="shared" si="0"/>
        <v>80.360774804087654</v>
      </c>
      <c r="E40" s="12">
        <f t="shared" si="1"/>
        <v>21.839012929859528</v>
      </c>
      <c r="F40" s="12">
        <f t="shared" si="2"/>
        <v>10.925925925925926</v>
      </c>
      <c r="G40" s="12">
        <f t="shared" si="3"/>
        <v>238.61143756698371</v>
      </c>
      <c r="H40" s="12">
        <f t="shared" si="7"/>
        <v>225.61143756698371</v>
      </c>
      <c r="I40" s="10">
        <f t="shared" si="8"/>
        <v>18</v>
      </c>
      <c r="J40" s="13">
        <f t="shared" si="9"/>
        <v>1</v>
      </c>
      <c r="K40" s="13">
        <f t="shared" si="10"/>
        <v>1</v>
      </c>
      <c r="L40" s="13">
        <f t="shared" si="4"/>
        <v>1</v>
      </c>
      <c r="M40" s="10">
        <f t="shared" si="5"/>
        <v>80.360774804087654</v>
      </c>
      <c r="N40" s="12">
        <f t="shared" si="6"/>
        <v>17.354725966691056</v>
      </c>
      <c r="O40" s="71">
        <f t="shared" si="14"/>
        <v>51.178578662818261</v>
      </c>
      <c r="P40" s="12">
        <f t="shared" si="11"/>
        <v>28.820651892616979</v>
      </c>
      <c r="Q40" s="71">
        <f t="shared" si="12"/>
        <v>4.7996137965236336</v>
      </c>
      <c r="R40" s="23" t="str">
        <f t="shared" si="15"/>
        <v>0</v>
      </c>
    </row>
    <row r="41" spans="1:22" ht="14.65" thickBot="1">
      <c r="A41" s="17">
        <v>140</v>
      </c>
      <c r="B41" s="18">
        <v>202.79151972272285</v>
      </c>
      <c r="C41" s="45">
        <v>0.17629847773998841</v>
      </c>
      <c r="D41" s="46">
        <f t="shared" si="0"/>
        <v>73.73858337661251</v>
      </c>
      <c r="E41" s="19">
        <f t="shared" si="1"/>
        <v>24.681786883598377</v>
      </c>
      <c r="F41" s="19">
        <f t="shared" si="2"/>
        <v>10.535714285714286</v>
      </c>
      <c r="G41" s="19">
        <f t="shared" si="3"/>
        <v>260.04025466648289</v>
      </c>
      <c r="H41" s="19">
        <f t="shared" si="7"/>
        <v>247.04025466648289</v>
      </c>
      <c r="I41" s="18">
        <f t="shared" si="8"/>
        <v>20</v>
      </c>
      <c r="J41" s="20">
        <f t="shared" si="9"/>
        <v>1</v>
      </c>
      <c r="K41" s="20">
        <f t="shared" si="10"/>
        <v>1</v>
      </c>
      <c r="L41" s="20">
        <f t="shared" si="4"/>
        <v>1</v>
      </c>
      <c r="M41" s="18">
        <f t="shared" si="5"/>
        <v>73.73858337661251</v>
      </c>
      <c r="N41" s="19">
        <f t="shared" si="6"/>
        <v>19.003096512806376</v>
      </c>
      <c r="O41" s="72">
        <f t="shared" si="14"/>
        <v>48.940218970829427</v>
      </c>
      <c r="P41" s="19">
        <f t="shared" si="11"/>
        <v>30.138810798520666</v>
      </c>
      <c r="Q41" s="72">
        <f t="shared" si="12"/>
        <v>6.1177727024273203</v>
      </c>
      <c r="R41" s="39" t="str">
        <f t="shared" si="15"/>
        <v>0</v>
      </c>
    </row>
    <row r="42" spans="1:22">
      <c r="A42" s="37"/>
      <c r="B42" s="37"/>
      <c r="C42" s="37"/>
      <c r="D42" s="37"/>
      <c r="E42" s="37"/>
      <c r="F42" s="37"/>
      <c r="G42" s="37"/>
      <c r="H42" s="37"/>
      <c r="I42" s="37"/>
      <c r="J42" s="13"/>
      <c r="K42" s="13"/>
      <c r="L42" s="13"/>
      <c r="M42" s="37"/>
      <c r="N42" s="37"/>
      <c r="O42" s="37"/>
      <c r="P42" s="37"/>
      <c r="Q42" s="38"/>
      <c r="R42" s="38"/>
    </row>
    <row r="43" spans="1:22">
      <c r="J43" s="6"/>
      <c r="K43" s="6"/>
      <c r="L43" s="6"/>
    </row>
    <row r="44" spans="1:22">
      <c r="J44" s="6"/>
      <c r="K44" s="6"/>
      <c r="L44" s="6"/>
      <c r="N44" s="6"/>
      <c r="P44" s="12"/>
    </row>
  </sheetData>
  <mergeCells count="4">
    <mergeCell ref="L11:Q11"/>
    <mergeCell ref="B2:D2"/>
    <mergeCell ref="H2:J2"/>
    <mergeCell ref="L6:Q9"/>
  </mergeCells>
  <conditionalFormatting sqref="P19:P41">
    <cfRule type="colorScale" priority="2">
      <colorScale>
        <cfvo type="min" val="0"/>
        <cfvo type="percentile" val="20"/>
        <cfvo type="max" val="0"/>
        <color rgb="FF63BE7B"/>
        <color rgb="FFFFEB84"/>
        <color rgb="FFF8696B"/>
      </colorScale>
    </cfRule>
  </conditionalFormatting>
  <conditionalFormatting sqref="P44">
    <cfRule type="colorScale" priority="1">
      <colorScale>
        <cfvo type="min" val="0"/>
        <cfvo type="percentile" val="20"/>
        <cfvo type="max" val="0"/>
        <color rgb="FF63BE7B"/>
        <color rgb="FFFFEB84"/>
        <color rgb="FFF8696B"/>
      </colorScale>
    </cfRule>
  </conditionalFormatting>
  <conditionalFormatting sqref="D19:D41">
    <cfRule type="cellIs" dxfId="0" priority="6" stopIfTrue="1" operator="greaterThanOrEqual">
      <formula>$C$9</formula>
    </cfRule>
  </conditionalFormatting>
  <pageMargins left="0.25" right="0.25" top="1.5" bottom="0.75" header="0.3" footer="0.3"/>
  <pageSetup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F26"/>
  <sheetViews>
    <sheetView workbookViewId="0">
      <selection activeCell="F4" sqref="F4"/>
    </sheetView>
  </sheetViews>
  <sheetFormatPr baseColWidth="10" defaultRowHeight="14.25"/>
  <cols>
    <col min="2" max="2" width="16.19921875" customWidth="1"/>
    <col min="3" max="3" width="23.53125" customWidth="1"/>
  </cols>
  <sheetData>
    <row r="3" spans="1:6">
      <c r="A3" s="1"/>
      <c r="B3" s="1"/>
      <c r="C3" s="1"/>
      <c r="D3" s="1"/>
      <c r="E3" s="1"/>
      <c r="F3" s="1"/>
    </row>
    <row r="4" spans="1:6" ht="48" customHeight="1" thickBot="1">
      <c r="A4" s="115" t="s">
        <v>54</v>
      </c>
      <c r="B4" s="115"/>
      <c r="C4" s="115"/>
      <c r="D4" s="1"/>
      <c r="E4" s="1"/>
      <c r="F4" s="1"/>
    </row>
    <row r="5" spans="1:6">
      <c r="A5" s="85" t="s">
        <v>49</v>
      </c>
      <c r="B5" s="86" t="s">
        <v>51</v>
      </c>
      <c r="C5" s="87" t="s">
        <v>52</v>
      </c>
      <c r="D5" s="1"/>
      <c r="E5" s="1"/>
      <c r="F5" s="1"/>
    </row>
    <row r="6" spans="1:6">
      <c r="A6" s="88" t="s">
        <v>5</v>
      </c>
      <c r="B6" s="89" t="s">
        <v>50</v>
      </c>
      <c r="C6" s="90" t="s">
        <v>53</v>
      </c>
      <c r="D6" s="1"/>
      <c r="E6" s="1"/>
      <c r="F6" s="1"/>
    </row>
    <row r="7" spans="1:6">
      <c r="A7" s="91">
        <v>6.6</v>
      </c>
      <c r="B7" s="92">
        <v>75</v>
      </c>
      <c r="C7" s="93">
        <v>44</v>
      </c>
      <c r="D7" s="1"/>
      <c r="E7" s="1"/>
      <c r="F7" s="1"/>
    </row>
    <row r="8" spans="1:6">
      <c r="A8" s="91">
        <v>9.9</v>
      </c>
      <c r="B8" s="92">
        <v>85</v>
      </c>
      <c r="C8" s="93">
        <v>52</v>
      </c>
      <c r="D8" s="1"/>
      <c r="E8" s="1"/>
      <c r="F8" s="1"/>
    </row>
    <row r="9" spans="1:6">
      <c r="A9" s="91">
        <v>13.2</v>
      </c>
      <c r="B9" s="92">
        <v>90</v>
      </c>
      <c r="C9" s="93">
        <v>58</v>
      </c>
      <c r="D9" s="1"/>
      <c r="E9" s="1"/>
      <c r="F9" s="1"/>
    </row>
    <row r="10" spans="1:6">
      <c r="A10" s="91">
        <v>16.5</v>
      </c>
      <c r="B10" s="92">
        <v>95</v>
      </c>
      <c r="C10" s="93">
        <v>62</v>
      </c>
      <c r="D10" s="1"/>
      <c r="E10" s="1"/>
      <c r="F10" s="1"/>
    </row>
    <row r="11" spans="1:6">
      <c r="A11" s="91">
        <v>19.8</v>
      </c>
      <c r="B11" s="92">
        <v>100</v>
      </c>
      <c r="C11" s="93">
        <v>66</v>
      </c>
      <c r="D11" s="1"/>
      <c r="E11" s="1"/>
      <c r="F11" s="1"/>
    </row>
    <row r="12" spans="1:6">
      <c r="A12" s="91">
        <f>A11+3.3</f>
        <v>23.1</v>
      </c>
      <c r="B12" s="92">
        <v>105</v>
      </c>
      <c r="C12" s="93">
        <v>70</v>
      </c>
      <c r="D12" s="1"/>
      <c r="E12" s="1"/>
      <c r="F12" s="1"/>
    </row>
    <row r="13" spans="1:6">
      <c r="A13" s="91">
        <f t="shared" ref="A13:A16" si="0">A12+3.3</f>
        <v>26.400000000000002</v>
      </c>
      <c r="B13" s="92">
        <v>110</v>
      </c>
      <c r="C13" s="93">
        <v>73</v>
      </c>
      <c r="D13" s="1"/>
      <c r="E13" s="1"/>
      <c r="F13" s="1"/>
    </row>
    <row r="14" spans="1:6">
      <c r="A14" s="91">
        <f t="shared" si="0"/>
        <v>29.700000000000003</v>
      </c>
      <c r="B14" s="92">
        <v>110</v>
      </c>
      <c r="C14" s="93">
        <v>75</v>
      </c>
      <c r="D14" s="1"/>
      <c r="E14" s="1"/>
      <c r="F14" s="1"/>
    </row>
    <row r="15" spans="1:6">
      <c r="A15" s="91">
        <f t="shared" si="0"/>
        <v>33</v>
      </c>
      <c r="B15" s="92">
        <v>115</v>
      </c>
      <c r="C15" s="93">
        <v>78</v>
      </c>
      <c r="D15" s="1"/>
      <c r="E15" s="1"/>
      <c r="F15" s="1"/>
    </row>
    <row r="16" spans="1:6">
      <c r="A16" s="91">
        <f t="shared" si="0"/>
        <v>36.299999999999997</v>
      </c>
      <c r="B16" s="92">
        <v>115</v>
      </c>
      <c r="C16" s="93">
        <v>80</v>
      </c>
      <c r="D16" s="1"/>
      <c r="E16" s="1"/>
      <c r="F16" s="1"/>
    </row>
    <row r="17" spans="1:6" ht="14.65" thickBot="1">
      <c r="A17" s="94">
        <f>A16+3.3</f>
        <v>39.599999999999994</v>
      </c>
      <c r="B17" s="95">
        <v>120</v>
      </c>
      <c r="C17" s="96">
        <v>82</v>
      </c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</sheetData>
  <mergeCells count="1">
    <mergeCell ref="A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Wh-km Zero</vt:lpstr>
      <vt:lpstr>OPTITRIP CALCULATOR</vt:lpstr>
      <vt:lpstr>tableau compilé</vt:lpstr>
    </vt:vector>
  </TitlesOfParts>
  <Manager>Stephane Melançon</Manager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OPTITRIP EV v1.4</dc:title>
  <dc:subject>EV trip optiimizer</dc:subject>
  <dc:creator>Stephane Melançon</dc:creator>
  <cp:keywords>Optitrip</cp:keywords>
  <dc:description>Please use it, apprecaite it, share it but NEVER SELL IT
It is also apprecaited to give me the credit when you share it.
Doctorbass</dc:description>
  <cp:lastModifiedBy>DOCTORBASS</cp:lastModifiedBy>
  <cp:lastPrinted>2013-09-20T16:27:43Z</cp:lastPrinted>
  <dcterms:created xsi:type="dcterms:W3CDTF">2013-05-02T03:28:49Z</dcterms:created>
  <dcterms:modified xsi:type="dcterms:W3CDTF">2022-05-02T21:50:33Z</dcterms:modified>
</cp:coreProperties>
</file>