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" sheetId="1" r:id="rId3"/>
    <sheet state="visible" name="Hub" sheetId="2" r:id="rId4"/>
    <sheet state="visible" name="Misc Costs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G1">
      <text>
        <t xml:space="preserve">Change number of nodes (CELL G2) and Total Cost (CELL H2) should reflect this change.  All individual part quantities and costs are dependent on the number of nodes entered.
	-Ryan Bradshaw Murphy</t>
      </text>
    </comment>
    <comment authorId="0" ref="A20">
      <text>
        <t xml:space="preserve">Assuming 8 Strain Gauges per node
	-Ryan Bradshaw Murphy</t>
      </text>
    </comment>
    <comment authorId="0" ref="A41">
      <text>
        <t xml:space="preserve">MIKKEL: not sure if we need any caps/resistors for this guy
	-Ryan Bradshaw Murphy</t>
      </text>
    </comment>
    <comment authorId="0" ref="B5">
      <text>
        <t xml:space="preserve">we have 4 of these
	-Ryan Bradshaw Murphy</t>
      </text>
    </comment>
    <comment authorId="0" ref="B12">
      <text>
        <t xml:space="preserve">we have 9 of these
	-Ryan Bradshaw Murphy</t>
      </text>
    </comment>
    <comment authorId="0" ref="B18">
      <text>
        <t xml:space="preserve">we have 24 of these
	-Ryan Bradshaw Murphy</t>
      </text>
    </comment>
    <comment authorId="0" ref="B17">
      <text>
        <t xml:space="preserve">we have 24 of these
	-Ryan Bradshaw Murphy</t>
      </text>
    </comment>
    <comment authorId="0" ref="B4">
      <text>
        <t xml:space="preserve">we have 2 of these
	-Ryan Bradshaw Murphy</t>
      </text>
    </comment>
    <comment authorId="0" ref="B14">
      <text>
        <t xml:space="preserve">we have 9 of these
	-Ryan Bradshaw Murphy</t>
      </text>
    </comment>
    <comment authorId="0" ref="B13">
      <text>
        <t xml:space="preserve">we have 7 of these
	-Ryan Bradshaw Murphy</t>
      </text>
    </comment>
    <comment authorId="0" ref="B11">
      <text>
        <t xml:space="preserve">we have 9 of these
	-Ryan Bradshaw Murphy</t>
      </text>
    </comment>
    <comment authorId="0" ref="B10">
      <text>
        <t xml:space="preserve">we have 23 of these
	-Ryan Bradshaw Murphy</t>
      </text>
    </comment>
    <comment authorId="0" ref="B9">
      <text>
        <t xml:space="preserve">we have 24 of these
	-Ryan Bradshaw Murphy</t>
      </text>
    </comment>
    <comment authorId="0" ref="B8">
      <text>
        <t xml:space="preserve">we have 24 of these
	-Ryan Bradshaw Murphy</t>
      </text>
    </comment>
    <comment authorId="0" ref="B7">
      <text>
        <t xml:space="preserve">we have 24 of these
	-Ryan Bradshaw Murphy</t>
      </text>
    </comment>
    <comment authorId="0" ref="B6">
      <text>
        <t xml:space="preserve">we have 24 of these
	-Ryan Bradshaw Murphy</t>
      </text>
    </comment>
    <comment authorId="0" ref="B16">
      <text>
        <t xml:space="preserve">These caps are more expensive since they are rated to 50V for the power rail
	-Ryan Bradshaw Murphy
we have 9 of these
	-Ryan Bradshaw Murphy</t>
      </text>
    </comment>
    <comment authorId="0" ref="B15">
      <text>
        <t xml:space="preserve">These caps are more expensive since they are rated to 50V for the power rail
	-Ryan Bradshaw Murphy
we have 7 of these
	-Ryan Bradshaw Murphy</t>
      </text>
    </comment>
    <comment authorId="0" ref="B23">
      <text>
        <t xml:space="preserve">Using 348+2 ohm in series because 350Ohm resistors cost ~$5.50
	-Ryan Bradshaw Murphy</t>
      </text>
    </comment>
  </commentList>
</comments>
</file>

<file path=xl/sharedStrings.xml><?xml version="1.0" encoding="utf-8"?>
<sst xmlns="http://schemas.openxmlformats.org/spreadsheetml/2006/main" count="229" uniqueCount="135">
  <si>
    <t>Block</t>
  </si>
  <si>
    <t>Description/Part</t>
  </si>
  <si>
    <t>Package (if applicable)</t>
  </si>
  <si>
    <t>Digikey # (if applicable)</t>
  </si>
  <si>
    <t>Quantity</t>
  </si>
  <si>
    <t>Cost</t>
  </si>
  <si>
    <t># of Nodes (CHANGE ME)</t>
  </si>
  <si>
    <t>Total Cost</t>
  </si>
  <si>
    <t>Main PCB</t>
  </si>
  <si>
    <t>N/A</t>
  </si>
  <si>
    <t>Sensor PCB</t>
  </si>
  <si>
    <t>Battery Charger</t>
  </si>
  <si>
    <t>Battery Charger Chip</t>
  </si>
  <si>
    <t>12-TSSOP</t>
  </si>
  <si>
    <t>LT3652EMSE#PBF-ND</t>
  </si>
  <si>
    <t>Battery (3400mAh)</t>
  </si>
  <si>
    <t>270KOhm Resistor</t>
  </si>
  <si>
    <t>311-270KHRCT-ND</t>
  </si>
  <si>
    <t>100KOhm Resistor</t>
  </si>
  <si>
    <t>311-100KHRCT-ND</t>
  </si>
  <si>
    <t>649KOhm Resistor</t>
  </si>
  <si>
    <t>311-649KHRCT-ND</t>
  </si>
  <si>
    <t>470KOhm Resistor</t>
  </si>
  <si>
    <t>311-470KHRCT-ND</t>
  </si>
  <si>
    <t>10K Ohm Resistor</t>
  </si>
  <si>
    <t>311-10.0KHRCT-ND</t>
  </si>
  <si>
    <t>.5 Ohm Sense Resistor</t>
  </si>
  <si>
    <t>CSRN2512FKR500CT-ND</t>
  </si>
  <si>
    <t>Diode</t>
  </si>
  <si>
    <t>DO-214AC</t>
  </si>
  <si>
    <t>S1AFSCT-ND</t>
  </si>
  <si>
    <t>Schottky Diode</t>
  </si>
  <si>
    <t>CMSH3-40MA TR13CT-ND</t>
  </si>
  <si>
    <t>10uH Inductor</t>
  </si>
  <si>
    <t>732-3052-1-ND</t>
  </si>
  <si>
    <t>Ripple Capacitor 10uF (50V)</t>
  </si>
  <si>
    <t>1276-2876-1-ND</t>
  </si>
  <si>
    <t>Ripple Capacitor 1uF (50V)</t>
  </si>
  <si>
    <t>1276-1066-1-ND</t>
  </si>
  <si>
    <t>LED (Green)</t>
  </si>
  <si>
    <t>475-1410-1-ND</t>
  </si>
  <si>
    <t>LED (Red)</t>
  </si>
  <si>
    <t>475-1415-1-ND</t>
  </si>
  <si>
    <t>10k Thermistor</t>
  </si>
  <si>
    <t>490-4800-1-ND</t>
  </si>
  <si>
    <t>Strain Gauge</t>
  </si>
  <si>
    <t>IC Op Amp</t>
  </si>
  <si>
    <t>8-TSSOP</t>
  </si>
  <si>
    <t>LTC6081HMS8#PBF-ND</t>
  </si>
  <si>
    <t>IC Vref 1.25V</t>
  </si>
  <si>
    <t>TSOT-23-6</t>
  </si>
  <si>
    <t>LT1790BCS6-1.25#TRMPBFCT-ND</t>
  </si>
  <si>
    <t>348 Ohm Resistor</t>
  </si>
  <si>
    <t>311-348KHRCT-ND</t>
  </si>
  <si>
    <t>2 Ohm Resistor</t>
  </si>
  <si>
    <t>311-2.00HRCT-ND</t>
  </si>
  <si>
    <t>10 MOhm Resistor</t>
  </si>
  <si>
    <t>311-10.0MHRCT-ND</t>
  </si>
  <si>
    <t>9.76MOhm Resistor</t>
  </si>
  <si>
    <t>541-9.76MHCT-ND</t>
  </si>
  <si>
    <t>500K Ohm Resistor (Pot)</t>
  </si>
  <si>
    <t>TC33X-2-504ECT-ND</t>
  </si>
  <si>
    <t>100K Ohm Resistor</t>
  </si>
  <si>
    <t>311-10.0KLRCT-ND</t>
  </si>
  <si>
    <t>100 Ohm Resistor</t>
  </si>
  <si>
    <t>311-100HRCT-ND</t>
  </si>
  <si>
    <t>.1uF Capacitor</t>
  </si>
  <si>
    <t>1276-1936-1-ND</t>
  </si>
  <si>
    <t>.01uF Capacitor</t>
  </si>
  <si>
    <t>399-1091-1-ND</t>
  </si>
  <si>
    <t>Solar Panel</t>
  </si>
  <si>
    <t>Power Delivery</t>
  </si>
  <si>
    <t>IC Regulator 3.3V</t>
  </si>
  <si>
    <t>TO-263-3</t>
  </si>
  <si>
    <t>LM317BD2TGOS-ND</t>
  </si>
  <si>
    <t>IC Regulator 5V</t>
  </si>
  <si>
    <t>TO-252-3</t>
  </si>
  <si>
    <t>LP38691DT-5.0/NOPB-ND</t>
  </si>
  <si>
    <t>390 Ohm Resistor</t>
  </si>
  <si>
    <t>1276-4610-1-ND</t>
  </si>
  <si>
    <t>240 Ohm Resistor</t>
  </si>
  <si>
    <t>1276-4590-1-ND</t>
  </si>
  <si>
    <t>Ripple Capacitor 1uF</t>
  </si>
  <si>
    <t>1276-1184-1-ND</t>
  </si>
  <si>
    <t>Ripple Capacitor 10uF</t>
  </si>
  <si>
    <t>1276-2890-1-ND</t>
  </si>
  <si>
    <t>Moteino</t>
  </si>
  <si>
    <t>Moteino (+Transceiver)</t>
  </si>
  <si>
    <t>Custom</t>
  </si>
  <si>
    <t>ADC</t>
  </si>
  <si>
    <t>ADC Chip</t>
  </si>
  <si>
    <t>16-SSOP</t>
  </si>
  <si>
    <t>LTC1867LCGN#PBF-ND</t>
  </si>
  <si>
    <t>0 Ohm Resistor</t>
  </si>
  <si>
    <t>311-0.0GRCT-ND</t>
  </si>
  <si>
    <t>Male Headers</t>
  </si>
  <si>
    <t>S1211EC-08-ND</t>
  </si>
  <si>
    <t>Enclosure</t>
  </si>
  <si>
    <t>Node Enclosure</t>
  </si>
  <si>
    <t>SR193-CB-ND</t>
  </si>
  <si>
    <t>Node Gasket</t>
  </si>
  <si>
    <t>SRPS-19-ND</t>
  </si>
  <si>
    <t>Description</t>
  </si>
  <si>
    <t>1276-1029-1-ND</t>
  </si>
  <si>
    <t>1276-1871-6-ND</t>
  </si>
  <si>
    <t>3G Modem</t>
  </si>
  <si>
    <t>Adafruit FONA 3G Modem</t>
  </si>
  <si>
    <t>Ting SIM Card</t>
  </si>
  <si>
    <t>Antenna</t>
  </si>
  <si>
    <t>Hub Enclosure</t>
  </si>
  <si>
    <t>SR172-CB-ND</t>
  </si>
  <si>
    <t>Hub Gasket</t>
  </si>
  <si>
    <t>SRPS-17-ND</t>
  </si>
  <si>
    <t>Miscellaneous Costs</t>
  </si>
  <si>
    <t>Digikey Part Number</t>
  </si>
  <si>
    <t>Cost of Transmitting Data ofver 3G (T-Mobile)</t>
  </si>
  <si>
    <t>Cost of Renting/Buying a Database Server</t>
  </si>
  <si>
    <t>Load Switch MOSFET</t>
  </si>
  <si>
    <t>DMP2104V-7</t>
  </si>
  <si>
    <t>maybe relay</t>
  </si>
  <si>
    <t>G6DN-1A DC4.5</t>
  </si>
  <si>
    <t>Male Headers (Amazon)</t>
  </si>
  <si>
    <t>10 pieces, 40 pins/piece</t>
  </si>
  <si>
    <t>Female Headers (Amazon)</t>
  </si>
  <si>
    <t>90 degree Female Headers</t>
  </si>
  <si>
    <t>10 pieces, 8 pins/piece</t>
  </si>
  <si>
    <t>S5444-ND</t>
  </si>
  <si>
    <t>90 degree Male Headers</t>
  </si>
  <si>
    <t>952-1997-ND</t>
  </si>
  <si>
    <t>3/8" Plastic Spacers</t>
  </si>
  <si>
    <t>492-1046-ND</t>
  </si>
  <si>
    <t>3/4" #2-56 Screws</t>
  </si>
  <si>
    <t>H702-ND</t>
  </si>
  <si>
    <t>#2-56 Nuts, 1/16" thick</t>
  </si>
  <si>
    <t>H212-ND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</si>
</sst>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u/>
      <color rgb="FF0000FF"/>
    </font>
    <font>
      <sz val="9.0"/>
      <name val="Arial"/>
    </font>
    <font>
      <sz val="11.0"/>
      <color rgb="FF000000"/>
      <name val="Inconsolata"/>
    </font>
    <font>
      <sz val="9.0"/>
      <color rgb="FF000000"/>
      <name val="Arial"/>
    </font>
    <font>
      <sz val="11.0"/>
      <color rgb="FF000000"/>
      <name val="Arial"/>
    </font>
    <font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</border>
    <border>
      <left/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2" xfId="0" applyAlignment="1" applyFont="1" applyNumberFormat="1">
      <alignment/>
    </xf>
    <xf borderId="0" fillId="2" fontId="5" numFmtId="2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2" numFmtId="2" xfId="0" applyFont="1" applyNumberFormat="1"/>
    <xf borderId="0" fillId="2" fontId="6" numFmtId="0" xfId="0" applyAlignment="1" applyFont="1">
      <alignment horizontal="left"/>
    </xf>
    <xf borderId="0" fillId="0" fontId="6" numFmtId="0" xfId="0" applyAlignment="1" applyFont="1">
      <alignment/>
    </xf>
    <xf borderId="1" fillId="0" fontId="6" numFmtId="0" xfId="0" applyAlignment="1" applyBorder="1" applyFont="1">
      <alignment/>
    </xf>
    <xf borderId="0" fillId="2" fontId="7" numFmtId="2" xfId="0" applyFont="1" applyNumberFormat="1"/>
    <xf borderId="0" fillId="0" fontId="6" numFmtId="0" xfId="0" applyAlignment="1" applyFont="1">
      <alignment/>
    </xf>
    <xf borderId="0" fillId="0" fontId="8" numFmtId="0" xfId="0" applyFont="1"/>
    <xf borderId="0" fillId="0" fontId="8" numFmtId="0" xfId="0" applyAlignment="1" applyFont="1">
      <alignment/>
    </xf>
    <xf borderId="0" fillId="2" fontId="7" numFmtId="0" xfId="0" applyFont="1"/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/>
    </xf>
    <xf borderId="0" fillId="2" fontId="7" numFmtId="0" xfId="0" applyAlignment="1" applyFont="1">
      <alignment horizontal="right"/>
    </xf>
    <xf borderId="0" fillId="0" fontId="8" numFmtId="0" xfId="0" applyFont="1"/>
    <xf borderId="0" fillId="2" fontId="9" numFmtId="0" xfId="0" applyAlignment="1" applyFont="1">
      <alignment/>
    </xf>
    <xf borderId="0" fillId="2" fontId="5" numFmtId="0" xfId="0" applyFont="1"/>
    <xf borderId="0" fillId="2" fontId="5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oshpark.com/" TargetMode="External"/><Relationship Id="rId3" Type="http://schemas.openxmlformats.org/officeDocument/2006/relationships/hyperlink" Target="https://oshpark.com/" TargetMode="External"/><Relationship Id="rId4" Type="http://schemas.openxmlformats.org/officeDocument/2006/relationships/hyperlink" Target="http://www.digikey.com/product-detail/en/193C,BK/SR193-CB-ND/2286059" TargetMode="External"/><Relationship Id="rId5" Type="http://schemas.openxmlformats.org/officeDocument/2006/relationships/hyperlink" Target="http://www.digikey.com/product-search/en/boxes-enclosures-racks/box-accessories/2163623?k=PS19" TargetMode="External"/><Relationship Id="rId6" Type="http://schemas.openxmlformats.org/officeDocument/2006/relationships/drawing" Target="../drawings/worksheet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://www.digikey.com/product-detail/en/172C,BK/SR172-CB-ND/2286035" TargetMode="External"/><Relationship Id="rId3" Type="http://schemas.openxmlformats.org/officeDocument/2006/relationships/hyperlink" Target="http://www.digikey.com/product-search/en/boxes-enclosures-racks/box-accessories/2163623?k=PS17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43"/>
    <col customWidth="1" min="3" max="3" width="23.57"/>
    <col customWidth="1" min="4" max="4" width="22.14"/>
    <col customWidth="1" min="5" max="5" width="21.43"/>
    <col customWidth="1" min="7" max="7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 t="s">
        <v>8</v>
      </c>
      <c r="B2" s="5" t="str">
        <f t="shared" ref="B2:B3" si="1">HYPERLINK("https://oshpark.com/","Ordering from OSHPark.com")</f>
        <v>Ordering from OSHPark.com</v>
      </c>
      <c r="C2" s="6" t="s">
        <v>9</v>
      </c>
      <c r="D2" s="7" t="s">
        <v>9</v>
      </c>
      <c r="E2" s="4" t="str">
        <f>SUM(G2)</f>
        <v>1</v>
      </c>
      <c r="F2" s="8" t="str">
        <f>PRODUCT(E2,20.83)</f>
        <v>20.83</v>
      </c>
      <c r="G2" s="4">
        <v>1.0</v>
      </c>
      <c r="H2" s="9" t="str">
        <f>SUM(F2,F3,F4,F5,F6,F7,F8,F9,F10,F11,F12,F13,F14,F15,F16,F17,F18,F19,F20,F21,F22,F23,F24,F25,F26,F27,F28,F29,F32,F31,F32,F33,F34,F35,F36,F37,F38,F39,F40,F41,F42,F43,F44,F45)</f>
        <v>190.29</v>
      </c>
    </row>
    <row r="3">
      <c r="A3" s="4" t="s">
        <v>10</v>
      </c>
      <c r="B3" s="5" t="str">
        <f t="shared" si="1"/>
        <v>Ordering from OSHPark.com</v>
      </c>
      <c r="C3" s="6" t="s">
        <v>9</v>
      </c>
      <c r="D3" s="7" t="s">
        <v>9</v>
      </c>
      <c r="E3" s="4" t="str">
        <f>SUM(G2)</f>
        <v>1</v>
      </c>
      <c r="F3" s="8" t="str">
        <f>PRODUCT(E3,26.15)</f>
        <v>26.15</v>
      </c>
      <c r="G3" s="4"/>
    </row>
    <row r="4">
      <c r="A4" s="4" t="s">
        <v>11</v>
      </c>
      <c r="B4" s="4" t="s">
        <v>12</v>
      </c>
      <c r="C4" s="10" t="s">
        <v>13</v>
      </c>
      <c r="D4" s="11" t="s">
        <v>14</v>
      </c>
      <c r="E4" t="str">
        <f>SUM(G2)</f>
        <v>1</v>
      </c>
      <c r="F4" s="12" t="str">
        <f>PRODUCT(6.53,E4)</f>
        <v>6.53</v>
      </c>
    </row>
    <row r="5">
      <c r="A5" s="4"/>
      <c r="B5" s="4" t="s">
        <v>15</v>
      </c>
      <c r="C5" s="10" t="s">
        <v>9</v>
      </c>
      <c r="D5" s="11" t="s">
        <v>9</v>
      </c>
      <c r="E5" t="str">
        <f>PRODUCT(2,G2)</f>
        <v>2</v>
      </c>
      <c r="F5" s="12" t="str">
        <f>PRODUCT(E5,5.73)</f>
        <v>11.46</v>
      </c>
    </row>
    <row r="6">
      <c r="A6" s="4"/>
      <c r="B6" s="4" t="s">
        <v>16</v>
      </c>
      <c r="C6" s="10">
        <v>603.0</v>
      </c>
      <c r="D6" s="11" t="s">
        <v>17</v>
      </c>
      <c r="E6" t="str">
        <f>(G2)</f>
        <v>1</v>
      </c>
      <c r="F6" s="12" t="str">
        <f t="shared" ref="F6:F10" si="2">PRODUCT(E6,0.1)</f>
        <v>0.10</v>
      </c>
    </row>
    <row r="7">
      <c r="A7" s="4"/>
      <c r="B7" s="4" t="s">
        <v>18</v>
      </c>
      <c r="C7" s="10">
        <v>603.0</v>
      </c>
      <c r="D7" s="13" t="s">
        <v>19</v>
      </c>
      <c r="E7" t="str">
        <f>(G2)</f>
        <v>1</v>
      </c>
      <c r="F7" s="12" t="str">
        <f t="shared" si="2"/>
        <v>0.10</v>
      </c>
    </row>
    <row r="8">
      <c r="A8" s="4"/>
      <c r="B8" s="4" t="s">
        <v>20</v>
      </c>
      <c r="C8" s="10">
        <v>603.0</v>
      </c>
      <c r="D8" s="14" t="s">
        <v>21</v>
      </c>
      <c r="E8" t="str">
        <f>(G2)</f>
        <v>1</v>
      </c>
      <c r="F8" s="12" t="str">
        <f t="shared" si="2"/>
        <v>0.10</v>
      </c>
    </row>
    <row r="9">
      <c r="A9" s="4"/>
      <c r="B9" s="4" t="s">
        <v>22</v>
      </c>
      <c r="C9" s="10">
        <v>603.0</v>
      </c>
      <c r="D9" s="14" t="s">
        <v>23</v>
      </c>
      <c r="E9" t="str">
        <f>(G2)</f>
        <v>1</v>
      </c>
      <c r="F9" s="12" t="str">
        <f t="shared" si="2"/>
        <v>0.10</v>
      </c>
    </row>
    <row r="10">
      <c r="A10" s="4"/>
      <c r="B10" s="4" t="s">
        <v>24</v>
      </c>
      <c r="C10" s="10">
        <v>603.0</v>
      </c>
      <c r="D10" s="15" t="s">
        <v>25</v>
      </c>
      <c r="E10" t="str">
        <f>PRODUCT(G2,2)</f>
        <v>2</v>
      </c>
      <c r="F10" s="12" t="str">
        <f t="shared" si="2"/>
        <v>0.20</v>
      </c>
    </row>
    <row r="11">
      <c r="A11" s="4"/>
      <c r="B11" s="4" t="s">
        <v>26</v>
      </c>
      <c r="C11" s="10">
        <v>2512.0</v>
      </c>
      <c r="D11" s="13" t="s">
        <v>27</v>
      </c>
      <c r="E11" t="str">
        <f>(G2)</f>
        <v>1</v>
      </c>
      <c r="F11" s="16" t="str">
        <f>PRODUCT(E11,0.54)</f>
        <v>0.54</v>
      </c>
    </row>
    <row r="12">
      <c r="A12" s="4"/>
      <c r="B12" s="4" t="s">
        <v>28</v>
      </c>
      <c r="C12" s="10" t="s">
        <v>29</v>
      </c>
      <c r="D12" s="14" t="s">
        <v>30</v>
      </c>
      <c r="E12" t="str">
        <f>(G2)</f>
        <v>1</v>
      </c>
      <c r="F12" s="12" t="str">
        <f>PRODUCT(E12,0.24)</f>
        <v>0.24</v>
      </c>
    </row>
    <row r="13">
      <c r="A13" s="4"/>
      <c r="B13" s="4" t="s">
        <v>31</v>
      </c>
      <c r="C13" s="10" t="s">
        <v>29</v>
      </c>
      <c r="D13" s="13" t="s">
        <v>32</v>
      </c>
      <c r="E13" t="str">
        <f>PRODUCT(G2,3)</f>
        <v>3</v>
      </c>
      <c r="F13" s="12" t="str">
        <f>PRODUCT(E13,0.62)</f>
        <v>1.86</v>
      </c>
    </row>
    <row r="14">
      <c r="A14" s="4"/>
      <c r="B14" s="4" t="s">
        <v>33</v>
      </c>
      <c r="C14" s="10">
        <v>1210.0</v>
      </c>
      <c r="D14" s="13" t="s">
        <v>34</v>
      </c>
      <c r="E14" t="str">
        <f>(G2)</f>
        <v>1</v>
      </c>
      <c r="F14" s="12" t="str">
        <f>PRODUCT(E14,0.73)</f>
        <v>0.73</v>
      </c>
    </row>
    <row r="15">
      <c r="A15" s="4"/>
      <c r="B15" s="4" t="s">
        <v>35</v>
      </c>
      <c r="C15" s="10">
        <v>805.0</v>
      </c>
      <c r="D15" s="15" t="s">
        <v>36</v>
      </c>
      <c r="E15" t="str">
        <f>PRODUCT(G2,3)</f>
        <v>3</v>
      </c>
      <c r="F15" s="8" t="str">
        <f>PRODUCT(E15,0.22)</f>
        <v>0.66</v>
      </c>
    </row>
    <row r="16">
      <c r="A16" s="4"/>
      <c r="B16" s="4" t="s">
        <v>37</v>
      </c>
      <c r="C16" s="10">
        <v>805.0</v>
      </c>
      <c r="D16" s="17" t="s">
        <v>38</v>
      </c>
      <c r="E16" t="str">
        <f>(G2)</f>
        <v>1</v>
      </c>
      <c r="F16" s="12" t="str">
        <f>PRODUCT(E16,0.11)</f>
        <v>0.11</v>
      </c>
    </row>
    <row r="17">
      <c r="A17" s="4"/>
      <c r="B17" s="4" t="s">
        <v>39</v>
      </c>
      <c r="C17" s="10">
        <v>805.0</v>
      </c>
      <c r="D17" s="15" t="s">
        <v>40</v>
      </c>
      <c r="E17" t="str">
        <f>(G2)</f>
        <v>1</v>
      </c>
      <c r="F17" s="12" t="str">
        <f t="shared" ref="F17:F18" si="3">PRODUCT(E17,0.26)</f>
        <v>0.26</v>
      </c>
    </row>
    <row r="18">
      <c r="A18" s="4"/>
      <c r="B18" s="4" t="s">
        <v>41</v>
      </c>
      <c r="C18" s="10">
        <v>805.0</v>
      </c>
      <c r="D18" s="15" t="s">
        <v>42</v>
      </c>
      <c r="E18" s="18" t="str">
        <f>(G2)</f>
        <v>1</v>
      </c>
      <c r="F18" s="12" t="str">
        <f t="shared" si="3"/>
        <v>0.26</v>
      </c>
    </row>
    <row r="19">
      <c r="A19" s="4"/>
      <c r="B19" s="4" t="s">
        <v>43</v>
      </c>
      <c r="C19" s="6">
        <v>603.0</v>
      </c>
      <c r="D19" s="17" t="s">
        <v>44</v>
      </c>
      <c r="E19" s="19">
        <v>1.0</v>
      </c>
      <c r="F19" s="8">
        <v>0.23</v>
      </c>
    </row>
    <row r="20">
      <c r="A20" s="4" t="s">
        <v>45</v>
      </c>
      <c r="B20" s="4" t="s">
        <v>45</v>
      </c>
      <c r="C20" s="6" t="s">
        <v>9</v>
      </c>
      <c r="D20" s="7" t="s">
        <v>9</v>
      </c>
      <c r="E20" s="19" t="str">
        <f>PRODUCT(G2,8)</f>
        <v>8</v>
      </c>
      <c r="F20" s="12"/>
    </row>
    <row r="21">
      <c r="A21" s="4"/>
      <c r="B21" s="4" t="s">
        <v>46</v>
      </c>
      <c r="C21" s="10" t="s">
        <v>47</v>
      </c>
      <c r="D21" s="11" t="s">
        <v>48</v>
      </c>
      <c r="E21" s="20" t="str">
        <f>PRODUCT(G2,8)</f>
        <v>8</v>
      </c>
      <c r="F21" s="12" t="str">
        <f t="shared" ref="F21:F22" si="4">PRODUCT(E21, 3.18)</f>
        <v>25.44</v>
      </c>
    </row>
    <row r="22">
      <c r="A22" s="4"/>
      <c r="B22" s="4" t="s">
        <v>49</v>
      </c>
      <c r="C22" s="10" t="s">
        <v>50</v>
      </c>
      <c r="D22" s="21" t="s">
        <v>51</v>
      </c>
      <c r="E22" s="20" t="str">
        <f>(G2)</f>
        <v>1</v>
      </c>
      <c r="F22" s="12" t="str">
        <f t="shared" si="4"/>
        <v>3.18</v>
      </c>
    </row>
    <row r="23">
      <c r="A23" s="4"/>
      <c r="B23" s="4" t="s">
        <v>52</v>
      </c>
      <c r="C23" s="10">
        <v>603.0</v>
      </c>
      <c r="D23" s="22" t="s">
        <v>53</v>
      </c>
      <c r="E23" s="19" t="str">
        <f>PRODUCT(G2,24)</f>
        <v>24</v>
      </c>
      <c r="F23" s="12" t="str">
        <f t="shared" ref="F23:F24" si="5">PRODUCT(E23,0.01)</f>
        <v>0.24</v>
      </c>
    </row>
    <row r="24">
      <c r="A24" s="4"/>
      <c r="B24" s="4" t="s">
        <v>54</v>
      </c>
      <c r="C24" s="10">
        <v>603.0</v>
      </c>
      <c r="D24" s="17" t="s">
        <v>55</v>
      </c>
      <c r="E24" s="23" t="str">
        <f>PRODUCT(G2,24)</f>
        <v>24</v>
      </c>
      <c r="F24" s="12" t="str">
        <f t="shared" si="5"/>
        <v>0.24</v>
      </c>
    </row>
    <row r="25">
      <c r="A25" s="4"/>
      <c r="B25" s="4" t="s">
        <v>56</v>
      </c>
      <c r="C25" s="10">
        <v>603.0</v>
      </c>
      <c r="D25" s="17" t="s">
        <v>57</v>
      </c>
      <c r="E25" s="23" t="str">
        <f>PRODUCT(G2,24)</f>
        <v>24</v>
      </c>
      <c r="F25" s="12" t="str">
        <f>PRODUCT(E25,0.0092)</f>
        <v>0.22</v>
      </c>
    </row>
    <row r="26">
      <c r="A26" s="4"/>
      <c r="B26" s="4" t="s">
        <v>58</v>
      </c>
      <c r="C26" s="10">
        <v>603.0</v>
      </c>
      <c r="D26" s="22" t="s">
        <v>59</v>
      </c>
      <c r="E26" s="20" t="str">
        <f>PRODUCT(G2,8)</f>
        <v>8</v>
      </c>
      <c r="F26" s="12" t="str">
        <f>PRODUCT(E26,0.08)</f>
        <v>0.64</v>
      </c>
    </row>
    <row r="27">
      <c r="A27" s="4"/>
      <c r="B27" s="4" t="s">
        <v>60</v>
      </c>
      <c r="C27" s="10">
        <v>603.0</v>
      </c>
      <c r="D27" s="17" t="s">
        <v>61</v>
      </c>
      <c r="E27" s="20" t="str">
        <f>PRODUCT(G2,8)</f>
        <v>8</v>
      </c>
      <c r="F27" s="12" t="str">
        <f>PRODUCT(E27,0.27)</f>
        <v>2.16</v>
      </c>
    </row>
    <row r="28">
      <c r="A28" s="4"/>
      <c r="B28" s="4" t="s">
        <v>62</v>
      </c>
      <c r="C28" s="10">
        <v>603.0</v>
      </c>
      <c r="D28" s="17" t="s">
        <v>19</v>
      </c>
      <c r="E28" s="20" t="str">
        <f>PRODUCT(G2,8)</f>
        <v>8</v>
      </c>
      <c r="F28" s="12" t="str">
        <f>PRODUCT(E28,0.014)</f>
        <v>0.11</v>
      </c>
    </row>
    <row r="29">
      <c r="A29" s="4"/>
      <c r="B29" s="4" t="s">
        <v>24</v>
      </c>
      <c r="C29" s="10">
        <v>603.0</v>
      </c>
      <c r="D29" s="22" t="s">
        <v>63</v>
      </c>
      <c r="E29" s="20" t="str">
        <f>PRODUCT(G2,8)</f>
        <v>8</v>
      </c>
      <c r="F29" s="12" t="str">
        <f>PRODUCT(E29,0.013)</f>
        <v>0.10</v>
      </c>
    </row>
    <row r="30">
      <c r="A30" s="4"/>
      <c r="B30" s="4" t="s">
        <v>64</v>
      </c>
      <c r="C30" s="10">
        <v>603.0</v>
      </c>
      <c r="D30" s="22" t="s">
        <v>65</v>
      </c>
      <c r="E30" s="20" t="str">
        <f>PRODUCT(G2,8)</f>
        <v>8</v>
      </c>
      <c r="F30" t="str">
        <f>PRODUCT(E30,0.014)</f>
        <v>0.112</v>
      </c>
    </row>
    <row r="31">
      <c r="A31" s="4"/>
      <c r="B31" s="4" t="s">
        <v>66</v>
      </c>
      <c r="C31" s="10">
        <v>603.0</v>
      </c>
      <c r="D31" s="17" t="s">
        <v>67</v>
      </c>
      <c r="E31" s="23" t="str">
        <f>PRODUCT(G2,16)</f>
        <v>16</v>
      </c>
      <c r="F31" s="16" t="str">
        <f>PRODUCT(E31,0.019)</f>
        <v>0.30</v>
      </c>
    </row>
    <row r="32">
      <c r="A32" s="4"/>
      <c r="B32" s="4" t="s">
        <v>68</v>
      </c>
      <c r="C32" s="10">
        <v>603.0</v>
      </c>
      <c r="D32" s="17" t="s">
        <v>69</v>
      </c>
      <c r="E32" s="20" t="str">
        <f>PRODUCT(G2,8)</f>
        <v>8</v>
      </c>
      <c r="F32" s="16" t="str">
        <f>PRODUCT(E30,0.019)</f>
        <v>0.15</v>
      </c>
    </row>
    <row r="33">
      <c r="A33" s="4" t="s">
        <v>70</v>
      </c>
      <c r="B33" s="4" t="s">
        <v>70</v>
      </c>
      <c r="C33" s="6" t="s">
        <v>9</v>
      </c>
      <c r="D33" s="7" t="s">
        <v>9</v>
      </c>
      <c r="E33" s="24" t="str">
        <f>PRODUCT(G2,2)</f>
        <v>2</v>
      </c>
      <c r="F33" s="12" t="str">
        <f>PRODUCT(E33,9.99)</f>
        <v>19.98</v>
      </c>
    </row>
    <row r="34">
      <c r="A34" s="4" t="s">
        <v>71</v>
      </c>
      <c r="B34" s="4" t="s">
        <v>72</v>
      </c>
      <c r="C34" s="10" t="s">
        <v>73</v>
      </c>
      <c r="D34" s="11" t="s">
        <v>74</v>
      </c>
      <c r="E34" s="18" t="str">
        <f>(G2)</f>
        <v>1</v>
      </c>
      <c r="F34" s="12" t="str">
        <f>PRODUCT(E34,0.95)</f>
        <v>0.95</v>
      </c>
    </row>
    <row r="35">
      <c r="A35" s="4"/>
      <c r="B35" s="4" t="s">
        <v>75</v>
      </c>
      <c r="C35" s="10" t="s">
        <v>76</v>
      </c>
      <c r="D35" s="11" t="s">
        <v>77</v>
      </c>
      <c r="E35" s="18" t="str">
        <f>(G2)</f>
        <v>1</v>
      </c>
      <c r="F35" s="12" t="str">
        <f>PRODUCT(E35,1.59)</f>
        <v>1.59</v>
      </c>
    </row>
    <row r="36">
      <c r="A36" s="4"/>
      <c r="B36" s="4" t="s">
        <v>78</v>
      </c>
      <c r="C36" s="10">
        <v>603.0</v>
      </c>
      <c r="D36" s="21" t="s">
        <v>79</v>
      </c>
      <c r="E36" s="18" t="str">
        <f>(G2)</f>
        <v>1</v>
      </c>
      <c r="F36" s="8" t="str">
        <f t="shared" ref="F36:F38" si="6">PRODUCT(E36,0.1)</f>
        <v>0.10</v>
      </c>
    </row>
    <row r="37">
      <c r="A37" s="4"/>
      <c r="B37" s="4" t="s">
        <v>80</v>
      </c>
      <c r="C37" s="10">
        <v>603.0</v>
      </c>
      <c r="D37" s="11" t="s">
        <v>81</v>
      </c>
      <c r="E37" t="str">
        <f>(G2)</f>
        <v>1</v>
      </c>
      <c r="F37" s="8" t="str">
        <f t="shared" si="6"/>
        <v>0.10</v>
      </c>
    </row>
    <row r="38">
      <c r="A38" s="4"/>
      <c r="B38" s="4" t="s">
        <v>82</v>
      </c>
      <c r="C38" s="10">
        <v>603.0</v>
      </c>
      <c r="D38" s="11" t="s">
        <v>83</v>
      </c>
      <c r="E38" t="str">
        <f>PRODUCT(G2,2)</f>
        <v>2</v>
      </c>
      <c r="F38" s="8" t="str">
        <f t="shared" si="6"/>
        <v>0.20</v>
      </c>
    </row>
    <row r="39">
      <c r="A39" s="4"/>
      <c r="B39" s="4" t="s">
        <v>84</v>
      </c>
      <c r="C39" s="10">
        <v>603.0</v>
      </c>
      <c r="D39" s="11" t="s">
        <v>85</v>
      </c>
      <c r="E39" t="str">
        <f>PRODUCT(G2,2)</f>
        <v>2</v>
      </c>
      <c r="F39" s="8" t="str">
        <f>PRODUCT(E39,0.35)</f>
        <v>0.70</v>
      </c>
    </row>
    <row r="40">
      <c r="A40" s="4" t="s">
        <v>86</v>
      </c>
      <c r="B40" s="4" t="s">
        <v>87</v>
      </c>
      <c r="C40" s="6" t="s">
        <v>88</v>
      </c>
      <c r="D40" s="11" t="s">
        <v>9</v>
      </c>
      <c r="E40" t="str">
        <f>(G2)</f>
        <v>1</v>
      </c>
      <c r="F40" s="8" t="str">
        <f>PRODUCT(E40,18.95)</f>
        <v>18.95</v>
      </c>
    </row>
    <row r="41">
      <c r="A41" s="4" t="s">
        <v>89</v>
      </c>
      <c r="B41" s="4" t="s">
        <v>90</v>
      </c>
      <c r="C41" s="6" t="s">
        <v>91</v>
      </c>
      <c r="D41" s="13" t="s">
        <v>92</v>
      </c>
      <c r="E41" t="str">
        <f>(G2)</f>
        <v>1</v>
      </c>
      <c r="F41" s="12" t="str">
        <f>PRODUCT(E41,15.58)</f>
        <v>15.58</v>
      </c>
    </row>
    <row r="42">
      <c r="A42" s="4"/>
      <c r="B42" s="4" t="s">
        <v>93</v>
      </c>
      <c r="C42" s="6">
        <v>603.0</v>
      </c>
      <c r="D42" s="13" t="s">
        <v>94</v>
      </c>
      <c r="E42" t="str">
        <f>(G2)</f>
        <v>1</v>
      </c>
      <c r="F42" s="12" t="str">
        <f>PRODUCT(E42,0.1)</f>
        <v>0.10</v>
      </c>
    </row>
    <row r="43">
      <c r="A43" s="4"/>
      <c r="B43" s="4" t="s">
        <v>95</v>
      </c>
      <c r="C43" s="6" t="s">
        <v>9</v>
      </c>
      <c r="D43" s="17" t="s">
        <v>96</v>
      </c>
      <c r="E43" t="str">
        <f>(G2)</f>
        <v>1</v>
      </c>
      <c r="F43" s="12" t="str">
        <f>PRODUCT(G2,0.3)</f>
        <v>0.30</v>
      </c>
    </row>
    <row r="44">
      <c r="A44" s="4" t="s">
        <v>97</v>
      </c>
      <c r="B44" s="4" t="s">
        <v>98</v>
      </c>
      <c r="C44" s="4" t="s">
        <v>9</v>
      </c>
      <c r="D44" s="25" t="s">
        <v>99</v>
      </c>
      <c r="E44" s="4">
        <v>1.0</v>
      </c>
      <c r="F44" s="4">
        <v>19.79</v>
      </c>
    </row>
    <row r="45">
      <c r="A45" s="3"/>
      <c r="B45" s="4" t="s">
        <v>100</v>
      </c>
      <c r="D45" s="25" t="s">
        <v>101</v>
      </c>
      <c r="E45" s="4">
        <v>1.0</v>
      </c>
      <c r="F45" s="8">
        <v>8.55</v>
      </c>
    </row>
    <row r="46">
      <c r="A46" s="4"/>
      <c r="B46" s="4"/>
    </row>
  </sheetData>
  <hyperlinks>
    <hyperlink r:id="rId2" ref="B2"/>
    <hyperlink r:id="rId3" ref="B3"/>
    <hyperlink r:id="rId4" ref="D44"/>
    <hyperlink r:id="rId5" ref="D4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57"/>
    <col customWidth="1" min="3" max="3" width="22.71"/>
    <col customWidth="1" min="4" max="4" width="22.57"/>
    <col customWidth="1" min="5" max="5" width="11.0"/>
    <col customWidth="1" min="7" max="7" width="24.14"/>
  </cols>
  <sheetData>
    <row r="1">
      <c r="A1" s="3" t="s">
        <v>0</v>
      </c>
      <c r="B1" s="3" t="s">
        <v>102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</row>
    <row r="2">
      <c r="A2" s="4" t="s">
        <v>8</v>
      </c>
      <c r="B2" s="5" t="str">
        <f>HYPERLINK("https://oshpark.com/","Ordering from OSHPark.com")</f>
        <v>Ordering from OSHPark.com</v>
      </c>
      <c r="C2" s="4" t="s">
        <v>9</v>
      </c>
      <c r="D2" s="4" t="s">
        <v>9</v>
      </c>
      <c r="E2" s="4" t="str">
        <f>(G2)</f>
        <v>1</v>
      </c>
      <c r="F2" s="4" t="str">
        <f>PRODUCT(E2,20.83)</f>
        <v>20.83</v>
      </c>
      <c r="G2" s="4">
        <v>1.0</v>
      </c>
      <c r="H2" t="str">
        <f>SUM(F2,F3,F4,F5,F6,F7,F8,F9,F10,F11,F12,F13,F14,F15,F16,F17,F18,F19,F20,F21,F22,F23,F24,F25,F26,F27,F28,F29,F30)</f>
        <v>207.19</v>
      </c>
    </row>
    <row r="3">
      <c r="A3" s="4" t="s">
        <v>11</v>
      </c>
      <c r="B3" s="4" t="s">
        <v>12</v>
      </c>
      <c r="C3" s="10" t="s">
        <v>13</v>
      </c>
      <c r="D3" s="11" t="s">
        <v>14</v>
      </c>
      <c r="E3" s="26" t="str">
        <f>(G2)</f>
        <v>1</v>
      </c>
      <c r="F3" s="12" t="str">
        <f>PRODUCT(6.53,E3)</f>
        <v>6.53</v>
      </c>
    </row>
    <row r="4">
      <c r="A4" s="4"/>
      <c r="B4" s="4" t="s">
        <v>15</v>
      </c>
      <c r="C4" s="10" t="s">
        <v>9</v>
      </c>
      <c r="D4" s="11" t="s">
        <v>9</v>
      </c>
      <c r="E4" s="27" t="str">
        <f>PRODUCT(G2,2)</f>
        <v>2</v>
      </c>
      <c r="F4" s="12" t="str">
        <f>PRODUCT(E4,5.73)</f>
        <v>11.46</v>
      </c>
    </row>
    <row r="5">
      <c r="A5" s="4"/>
      <c r="B5" s="4" t="s">
        <v>16</v>
      </c>
      <c r="C5" s="10">
        <v>603.0</v>
      </c>
      <c r="D5" s="11" t="s">
        <v>17</v>
      </c>
      <c r="E5" s="26" t="str">
        <f>(G2)</f>
        <v>1</v>
      </c>
      <c r="F5" s="12" t="str">
        <f t="shared" ref="F5:F9" si="1">PRODUCT(E5,0.1)</f>
        <v>0.10</v>
      </c>
    </row>
    <row r="6">
      <c r="A6" s="4"/>
      <c r="B6" s="4" t="s">
        <v>18</v>
      </c>
      <c r="C6" s="10">
        <v>603.0</v>
      </c>
      <c r="D6" s="13" t="s">
        <v>19</v>
      </c>
      <c r="E6" s="26" t="str">
        <f>(G2)</f>
        <v>1</v>
      </c>
      <c r="F6" s="12" t="str">
        <f t="shared" si="1"/>
        <v>0.10</v>
      </c>
    </row>
    <row r="7">
      <c r="A7" s="4"/>
      <c r="B7" s="4" t="s">
        <v>20</v>
      </c>
      <c r="C7" s="10">
        <v>603.0</v>
      </c>
      <c r="D7" s="14" t="s">
        <v>21</v>
      </c>
      <c r="E7" s="26" t="str">
        <f>(G2)</f>
        <v>1</v>
      </c>
      <c r="F7" s="12" t="str">
        <f t="shared" si="1"/>
        <v>0.10</v>
      </c>
    </row>
    <row r="8">
      <c r="A8" s="4"/>
      <c r="B8" s="4" t="s">
        <v>22</v>
      </c>
      <c r="C8" s="10">
        <v>603.0</v>
      </c>
      <c r="D8" s="14" t="s">
        <v>23</v>
      </c>
      <c r="E8" s="26" t="str">
        <f>(G2)</f>
        <v>1</v>
      </c>
      <c r="F8" s="12" t="str">
        <f t="shared" si="1"/>
        <v>0.10</v>
      </c>
    </row>
    <row r="9">
      <c r="A9" s="4"/>
      <c r="B9" s="4" t="s">
        <v>24</v>
      </c>
      <c r="C9" s="10">
        <v>603.0</v>
      </c>
      <c r="D9" s="15" t="s">
        <v>25</v>
      </c>
      <c r="E9" s="26" t="str">
        <f>(G2)</f>
        <v>1</v>
      </c>
      <c r="F9" s="12" t="str">
        <f t="shared" si="1"/>
        <v>0.10</v>
      </c>
    </row>
    <row r="10">
      <c r="A10" s="4"/>
      <c r="B10" s="4" t="s">
        <v>26</v>
      </c>
      <c r="C10" s="10">
        <v>2512.0</v>
      </c>
      <c r="D10" s="13" t="s">
        <v>27</v>
      </c>
      <c r="E10" s="26" t="str">
        <f>(G2)</f>
        <v>1</v>
      </c>
      <c r="F10" s="9" t="str">
        <f>PRODUCT(E10,0.54)</f>
        <v>0.54</v>
      </c>
    </row>
    <row r="11">
      <c r="A11" s="4"/>
      <c r="B11" s="4" t="s">
        <v>28</v>
      </c>
      <c r="C11" s="10" t="s">
        <v>29</v>
      </c>
      <c r="D11" s="14" t="s">
        <v>30</v>
      </c>
      <c r="E11" s="26" t="str">
        <f>(G2)</f>
        <v>1</v>
      </c>
      <c r="F11" s="12" t="str">
        <f>PRODUCT(E11,0.24)</f>
        <v>0.24</v>
      </c>
    </row>
    <row r="12">
      <c r="A12" s="4"/>
      <c r="B12" s="4" t="s">
        <v>31</v>
      </c>
      <c r="C12" s="10" t="s">
        <v>29</v>
      </c>
      <c r="D12" s="13" t="s">
        <v>32</v>
      </c>
      <c r="E12" s="27" t="str">
        <f>PRODUCT(G2,3)</f>
        <v>3</v>
      </c>
      <c r="F12" s="12" t="str">
        <f>PRODUCT(E12,0.62)</f>
        <v>1.86</v>
      </c>
    </row>
    <row r="13">
      <c r="A13" s="4"/>
      <c r="B13" s="4" t="s">
        <v>33</v>
      </c>
      <c r="C13" s="10">
        <v>1210.0</v>
      </c>
      <c r="D13" s="13" t="s">
        <v>34</v>
      </c>
      <c r="E13" s="26" t="str">
        <f>(G2)</f>
        <v>1</v>
      </c>
      <c r="F13" s="12" t="str">
        <f>PRODUCT(E13,0.73)</f>
        <v>0.73</v>
      </c>
    </row>
    <row r="14">
      <c r="A14" s="4"/>
      <c r="B14" s="4" t="s">
        <v>35</v>
      </c>
      <c r="C14" s="10">
        <v>1206.0</v>
      </c>
      <c r="D14" s="15" t="s">
        <v>36</v>
      </c>
      <c r="E14" s="27" t="str">
        <f>PRODUCT(G2,3)</f>
        <v>3</v>
      </c>
      <c r="F14" s="8" t="str">
        <f>PRODUCT(E14,0.65)</f>
        <v>1.95</v>
      </c>
    </row>
    <row r="15">
      <c r="A15" s="4"/>
      <c r="B15" s="4" t="s">
        <v>37</v>
      </c>
      <c r="C15" s="10">
        <v>805.0</v>
      </c>
      <c r="D15" s="14" t="s">
        <v>103</v>
      </c>
      <c r="E15" s="26" t="str">
        <f>(G2)</f>
        <v>1</v>
      </c>
      <c r="F15" s="12" t="str">
        <f>PRODUCT(E15,0.21)</f>
        <v>0.21</v>
      </c>
    </row>
    <row r="16">
      <c r="A16" s="4"/>
      <c r="B16" s="4" t="s">
        <v>39</v>
      </c>
      <c r="C16" s="10">
        <v>805.0</v>
      </c>
      <c r="D16" s="15" t="s">
        <v>40</v>
      </c>
      <c r="E16" s="26" t="str">
        <f>(G2)</f>
        <v>1</v>
      </c>
      <c r="F16" s="12" t="str">
        <f t="shared" ref="F16:F17" si="2">PRODUCT(E16,0.26)</f>
        <v>0.26</v>
      </c>
    </row>
    <row r="17">
      <c r="A17" s="4"/>
      <c r="B17" s="4" t="s">
        <v>41</v>
      </c>
      <c r="C17" s="10">
        <v>805.0</v>
      </c>
      <c r="D17" s="15" t="s">
        <v>42</v>
      </c>
      <c r="E17" s="26" t="str">
        <f>(G2)</f>
        <v>1</v>
      </c>
      <c r="F17" s="12" t="str">
        <f t="shared" si="2"/>
        <v>0.26</v>
      </c>
    </row>
    <row r="18">
      <c r="A18" s="4" t="s">
        <v>70</v>
      </c>
      <c r="B18" s="4" t="s">
        <v>70</v>
      </c>
      <c r="C18" s="6" t="s">
        <v>9</v>
      </c>
      <c r="D18" s="7" t="s">
        <v>9</v>
      </c>
      <c r="E18" s="27" t="str">
        <f>PRODUCT(G2,2)</f>
        <v>2</v>
      </c>
      <c r="F18" s="12" t="str">
        <f>PRODUCT(E18,9.99)</f>
        <v>19.98</v>
      </c>
    </row>
    <row r="19">
      <c r="A19" s="4" t="s">
        <v>71</v>
      </c>
      <c r="B19" s="4" t="s">
        <v>72</v>
      </c>
      <c r="C19" s="10" t="s">
        <v>73</v>
      </c>
      <c r="D19" s="11" t="s">
        <v>74</v>
      </c>
      <c r="E19" s="26" t="str">
        <f>(G2)</f>
        <v>1</v>
      </c>
      <c r="F19" s="12" t="str">
        <f>PRODUCT(E19,0.95)</f>
        <v>0.95</v>
      </c>
    </row>
    <row r="20">
      <c r="A20" s="4"/>
      <c r="B20" s="4" t="s">
        <v>75</v>
      </c>
      <c r="C20" s="10" t="s">
        <v>76</v>
      </c>
      <c r="D20" s="11" t="s">
        <v>77</v>
      </c>
      <c r="E20" s="26" t="str">
        <f>(G2)</f>
        <v>1</v>
      </c>
      <c r="F20" s="12" t="str">
        <f>PRODUCT(E20,1.59)</f>
        <v>1.59</v>
      </c>
    </row>
    <row r="21">
      <c r="A21" s="4"/>
      <c r="B21" s="4" t="s">
        <v>78</v>
      </c>
      <c r="C21" s="10">
        <v>603.0</v>
      </c>
      <c r="D21" s="21" t="s">
        <v>79</v>
      </c>
      <c r="E21" s="26" t="str">
        <f>(G2)</f>
        <v>1</v>
      </c>
      <c r="F21" s="8" t="str">
        <f t="shared" ref="F21:F23" si="3">PRODUCT(E21,0.1)</f>
        <v>0.10</v>
      </c>
    </row>
    <row r="22">
      <c r="A22" s="4"/>
      <c r="B22" s="4" t="s">
        <v>80</v>
      </c>
      <c r="C22" s="10">
        <v>603.0</v>
      </c>
      <c r="D22" s="11" t="s">
        <v>81</v>
      </c>
      <c r="E22" s="26" t="str">
        <f>(G2)</f>
        <v>1</v>
      </c>
      <c r="F22" s="8" t="str">
        <f t="shared" si="3"/>
        <v>0.10</v>
      </c>
    </row>
    <row r="23">
      <c r="A23" s="4"/>
      <c r="B23" s="4" t="s">
        <v>82</v>
      </c>
      <c r="C23" s="10">
        <v>603.0</v>
      </c>
      <c r="D23" s="11" t="s">
        <v>83</v>
      </c>
      <c r="E23" s="27" t="str">
        <f>PRODUCT(G2,2)</f>
        <v>2</v>
      </c>
      <c r="F23" s="8" t="str">
        <f t="shared" si="3"/>
        <v>0.20</v>
      </c>
    </row>
    <row r="24">
      <c r="A24" s="4"/>
      <c r="B24" s="4" t="s">
        <v>84</v>
      </c>
      <c r="C24" s="10">
        <v>603.0</v>
      </c>
      <c r="D24" s="11" t="s">
        <v>104</v>
      </c>
      <c r="E24" s="27" t="str">
        <f>PRODUCT(G2,2)</f>
        <v>2</v>
      </c>
      <c r="F24" s="8" t="str">
        <f>PRODUCT(E24,0.35)</f>
        <v>0.70</v>
      </c>
    </row>
    <row r="25">
      <c r="A25" s="4" t="s">
        <v>86</v>
      </c>
      <c r="B25" s="4" t="s">
        <v>87</v>
      </c>
      <c r="C25" s="6" t="s">
        <v>88</v>
      </c>
      <c r="D25" s="11" t="s">
        <v>9</v>
      </c>
      <c r="E25" s="26" t="str">
        <f>(G2)</f>
        <v>1</v>
      </c>
      <c r="F25" s="12" t="str">
        <f>PRODUCT(E25,26.95)</f>
        <v>26.95</v>
      </c>
    </row>
    <row r="26">
      <c r="A26" s="4" t="s">
        <v>105</v>
      </c>
      <c r="B26" s="4" t="s">
        <v>106</v>
      </c>
      <c r="C26" s="6" t="s">
        <v>88</v>
      </c>
      <c r="D26" s="11" t="s">
        <v>9</v>
      </c>
      <c r="E26" s="26" t="str">
        <f>(G2)</f>
        <v>1</v>
      </c>
      <c r="F26" s="12" t="str">
        <f>PRODUCT(E26,79.95)</f>
        <v>79.95</v>
      </c>
    </row>
    <row r="27">
      <c r="A27" s="4"/>
      <c r="B27" s="4" t="s">
        <v>107</v>
      </c>
      <c r="C27" s="6" t="s">
        <v>9</v>
      </c>
      <c r="D27" s="11" t="s">
        <v>9</v>
      </c>
      <c r="E27" s="26" t="str">
        <f>(G2)</f>
        <v>1</v>
      </c>
      <c r="F27" s="12" t="str">
        <f>PRODUCT(E27,9)</f>
        <v>9.00</v>
      </c>
    </row>
    <row r="28">
      <c r="A28" s="4"/>
      <c r="B28" s="4" t="s">
        <v>108</v>
      </c>
      <c r="C28" s="6"/>
      <c r="D28" s="11"/>
      <c r="E28" s="27"/>
      <c r="F28" s="12"/>
    </row>
    <row r="29">
      <c r="A29" s="4" t="s">
        <v>97</v>
      </c>
      <c r="B29" s="4" t="s">
        <v>109</v>
      </c>
      <c r="C29" s="4" t="s">
        <v>9</v>
      </c>
      <c r="D29" s="25" t="s">
        <v>110</v>
      </c>
      <c r="E29" s="4">
        <v>1.0</v>
      </c>
      <c r="F29" s="8">
        <v>14.04</v>
      </c>
    </row>
    <row r="30">
      <c r="B30" s="4" t="s">
        <v>111</v>
      </c>
      <c r="D30" s="25" t="s">
        <v>112</v>
      </c>
      <c r="E30" s="4">
        <v>1.0</v>
      </c>
      <c r="F30" s="4">
        <v>8.26</v>
      </c>
    </row>
  </sheetData>
  <hyperlinks>
    <hyperlink r:id="rId1" ref="B2"/>
    <hyperlink r:id="rId2" ref="D29"/>
    <hyperlink r:id="rId3" ref="D3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29"/>
    <col customWidth="1" min="2" max="2" width="22.86"/>
    <col customWidth="1" min="3" max="3" width="27.0"/>
  </cols>
  <sheetData>
    <row r="1">
      <c r="A1" s="3" t="s">
        <v>113</v>
      </c>
      <c r="B1" s="3" t="s">
        <v>102</v>
      </c>
      <c r="C1" s="3" t="s">
        <v>114</v>
      </c>
      <c r="D1" s="3" t="s">
        <v>4</v>
      </c>
      <c r="E1" s="3" t="s">
        <v>5</v>
      </c>
    </row>
    <row r="2">
      <c r="A2" s="4" t="s">
        <v>115</v>
      </c>
    </row>
    <row r="3">
      <c r="A3" s="4" t="s">
        <v>116</v>
      </c>
    </row>
    <row r="4">
      <c r="A4" s="4" t="s">
        <v>117</v>
      </c>
      <c r="B4" s="28"/>
      <c r="C4" s="28" t="s">
        <v>118</v>
      </c>
      <c r="E4" s="4"/>
    </row>
    <row r="5">
      <c r="A5" s="4" t="s">
        <v>119</v>
      </c>
      <c r="C5" s="28" t="s">
        <v>120</v>
      </c>
    </row>
    <row r="6">
      <c r="A6" s="4" t="s">
        <v>121</v>
      </c>
      <c r="B6" s="4" t="s">
        <v>122</v>
      </c>
      <c r="D6" s="4">
        <v>1.0</v>
      </c>
      <c r="E6" s="4">
        <v>4.99</v>
      </c>
    </row>
    <row r="7">
      <c r="A7" s="4" t="s">
        <v>123</v>
      </c>
      <c r="B7" s="4" t="s">
        <v>122</v>
      </c>
      <c r="D7" s="4">
        <v>1.0</v>
      </c>
      <c r="E7" s="4">
        <v>7.98</v>
      </c>
    </row>
    <row r="8">
      <c r="A8" s="4" t="s">
        <v>124</v>
      </c>
      <c r="B8" s="4" t="s">
        <v>125</v>
      </c>
      <c r="C8" s="17" t="s">
        <v>126</v>
      </c>
      <c r="D8" s="4">
        <v>1.0</v>
      </c>
      <c r="E8" s="4">
        <v>7.37</v>
      </c>
    </row>
    <row r="9">
      <c r="A9" s="4" t="s">
        <v>127</v>
      </c>
      <c r="B9" s="4" t="s">
        <v>125</v>
      </c>
      <c r="C9" s="17" t="s">
        <v>128</v>
      </c>
      <c r="D9" s="4">
        <v>1.0</v>
      </c>
      <c r="E9" s="4">
        <v>3.19</v>
      </c>
    </row>
    <row r="10">
      <c r="A10" s="4" t="s">
        <v>129</v>
      </c>
      <c r="C10" s="17" t="s">
        <v>130</v>
      </c>
      <c r="D10" s="4">
        <v>100.0</v>
      </c>
      <c r="E10" s="4">
        <v>4.46</v>
      </c>
    </row>
    <row r="11">
      <c r="A11" s="4" t="s">
        <v>131</v>
      </c>
      <c r="C11" s="17" t="s">
        <v>132</v>
      </c>
      <c r="D11" s="4">
        <v>100.0</v>
      </c>
      <c r="E11" s="4">
        <v>7.32</v>
      </c>
    </row>
    <row r="12">
      <c r="A12" s="4" t="s">
        <v>133</v>
      </c>
      <c r="C12" s="17" t="s">
        <v>134</v>
      </c>
      <c r="D12" s="4">
        <v>100.0</v>
      </c>
      <c r="E12" s="4">
        <v>3.53</v>
      </c>
    </row>
  </sheetData>
  <drawing r:id="rId1"/>
</worksheet>
</file>